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vl365.sharepoint.com/sites/Bachelor673/Delte dokumenter/General/Bachelor/"/>
    </mc:Choice>
  </mc:AlternateContent>
  <xr:revisionPtr revIDLastSave="5375" documentId="11_0572E7C0B1A8552BBF8DD18642D594EA3B73FE6C" xr6:coauthVersionLast="47" xr6:coauthVersionMax="47" xr10:uidLastSave="{DD895B8F-9DF0-4329-9307-A35E1976FC65}"/>
  <bookViews>
    <workbookView xWindow="-110" yWindow="-110" windowWidth="19420" windowHeight="12220" xr2:uid="{00000000-000D-0000-FFFF-FFFF00000000}"/>
  </bookViews>
  <sheets>
    <sheet name="Kostnadsberegninger" sheetId="7" r:id="rId1"/>
    <sheet name="Utslippsreduksjon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7" l="1"/>
  <c r="C8" i="7"/>
  <c r="W43" i="7"/>
  <c r="H6" i="7"/>
  <c r="H7" i="7" s="1"/>
  <c r="H8" i="7" s="1"/>
  <c r="S37" i="7"/>
  <c r="S38" i="7"/>
  <c r="S39" i="7"/>
  <c r="S40" i="7"/>
  <c r="S41" i="7"/>
  <c r="S42" i="7"/>
  <c r="S43" i="7"/>
  <c r="S44" i="7"/>
  <c r="S45" i="7"/>
  <c r="S46" i="7"/>
  <c r="S47" i="7"/>
  <c r="S36" i="7"/>
  <c r="L36" i="7"/>
  <c r="L57" i="7"/>
  <c r="L58" i="7"/>
  <c r="L52" i="7"/>
  <c r="L53" i="7"/>
  <c r="L54" i="7"/>
  <c r="L55" i="7"/>
  <c r="L56" i="7"/>
  <c r="L51" i="7"/>
  <c r="L47" i="7"/>
  <c r="L48" i="7"/>
  <c r="L49" i="7"/>
  <c r="L50" i="7"/>
  <c r="H6" i="4"/>
  <c r="C33" i="4" s="1"/>
  <c r="E4" i="4"/>
  <c r="H3" i="4" s="1"/>
  <c r="D6" i="4" s="1"/>
  <c r="E23" i="7"/>
  <c r="D36" i="7"/>
  <c r="D37" i="7"/>
  <c r="D38" i="7"/>
  <c r="D39" i="7"/>
  <c r="D40" i="7"/>
  <c r="D42" i="7"/>
  <c r="D43" i="7"/>
  <c r="D44" i="7"/>
  <c r="D45" i="7"/>
  <c r="D46" i="7"/>
  <c r="D41" i="7"/>
  <c r="C14" i="7"/>
  <c r="L37" i="7"/>
  <c r="L38" i="7"/>
  <c r="L39" i="7"/>
  <c r="L40" i="7"/>
  <c r="L41" i="7"/>
  <c r="L42" i="7"/>
  <c r="L43" i="7"/>
  <c r="L44" i="7"/>
  <c r="L45" i="7"/>
  <c r="L46" i="7"/>
  <c r="I37" i="7"/>
  <c r="I38" i="7"/>
  <c r="I39" i="7"/>
  <c r="I40" i="7"/>
  <c r="I41" i="7"/>
  <c r="I42" i="7"/>
  <c r="I43" i="7"/>
  <c r="I44" i="7"/>
  <c r="I45" i="7"/>
  <c r="I46" i="7"/>
  <c r="I36" i="7"/>
  <c r="B42" i="7"/>
  <c r="B43" i="7"/>
  <c r="B44" i="7"/>
  <c r="B45" i="7"/>
  <c r="B46" i="7"/>
  <c r="B36" i="7"/>
  <c r="B37" i="7"/>
  <c r="B38" i="7"/>
  <c r="B39" i="7"/>
  <c r="B40" i="7"/>
  <c r="B41" i="7"/>
  <c r="D24" i="7"/>
  <c r="E17" i="7"/>
  <c r="D17" i="7"/>
  <c r="C17" i="7"/>
  <c r="G11" i="4"/>
  <c r="C8" i="4"/>
  <c r="B8" i="4"/>
  <c r="P37" i="7" l="1"/>
  <c r="C15" i="7"/>
  <c r="W46" i="7"/>
  <c r="W42" i="7"/>
  <c r="C19" i="7"/>
  <c r="C28" i="7" s="1"/>
  <c r="F41" i="7"/>
  <c r="E54" i="7" s="1"/>
  <c r="D19" i="7"/>
  <c r="D29" i="7" s="1"/>
  <c r="W45" i="7"/>
  <c r="W36" i="7"/>
  <c r="D54" i="7"/>
  <c r="F46" i="7"/>
  <c r="E59" i="7" s="1"/>
  <c r="F45" i="7"/>
  <c r="E58" i="7" s="1"/>
  <c r="D59" i="7"/>
  <c r="F44" i="7"/>
  <c r="E57" i="7" s="1"/>
  <c r="W40" i="7"/>
  <c r="W38" i="7"/>
  <c r="F39" i="7"/>
  <c r="E52" i="7" s="1"/>
  <c r="W37" i="7"/>
  <c r="D52" i="7"/>
  <c r="F37" i="7"/>
  <c r="E50" i="7" s="1"/>
  <c r="D51" i="7"/>
  <c r="D50" i="7"/>
  <c r="D49" i="7"/>
  <c r="P36" i="7"/>
  <c r="W44" i="7"/>
  <c r="F43" i="7"/>
  <c r="E56" i="7" s="1"/>
  <c r="F42" i="7"/>
  <c r="E55" i="7" s="1"/>
  <c r="W39" i="7"/>
  <c r="F40" i="7"/>
  <c r="E53" i="7" s="1"/>
  <c r="D53" i="7"/>
  <c r="F38" i="7"/>
  <c r="E51" i="7" s="1"/>
  <c r="W47" i="7"/>
  <c r="F36" i="7"/>
  <c r="E49" i="7" s="1"/>
  <c r="W41" i="7"/>
  <c r="J55" i="7"/>
  <c r="P41" i="7"/>
  <c r="P44" i="7"/>
  <c r="P43" i="7"/>
  <c r="C18" i="7"/>
  <c r="P51" i="7"/>
  <c r="P56" i="7"/>
  <c r="P54" i="7"/>
  <c r="P53" i="7"/>
  <c r="P58" i="7"/>
  <c r="P42" i="7"/>
  <c r="P38" i="7"/>
  <c r="P55" i="7"/>
  <c r="P52" i="7"/>
  <c r="P57" i="7"/>
  <c r="P40" i="7"/>
  <c r="J58" i="7"/>
  <c r="C54" i="7"/>
  <c r="D58" i="7"/>
  <c r="D28" i="7"/>
  <c r="C57" i="7"/>
  <c r="J59" i="7"/>
  <c r="C55" i="7"/>
  <c r="P39" i="7"/>
  <c r="P50" i="7"/>
  <c r="P48" i="7"/>
  <c r="C56" i="7"/>
  <c r="J57" i="7"/>
  <c r="C53" i="7"/>
  <c r="D57" i="7"/>
  <c r="P49" i="7"/>
  <c r="C50" i="7"/>
  <c r="P46" i="7"/>
  <c r="C49" i="7"/>
  <c r="P45" i="7"/>
  <c r="P47" i="7"/>
  <c r="C35" i="4"/>
  <c r="C38" i="4" s="1"/>
  <c r="C11" i="4"/>
  <c r="C22" i="4"/>
  <c r="C24" i="4" s="1"/>
  <c r="C27" i="4" s="1"/>
  <c r="C59" i="7"/>
  <c r="J56" i="7"/>
  <c r="C58" i="7"/>
  <c r="D30" i="7"/>
  <c r="D56" i="7"/>
  <c r="J53" i="7"/>
  <c r="J49" i="7"/>
  <c r="J52" i="7"/>
  <c r="J50" i="7"/>
  <c r="E18" i="7"/>
  <c r="E19" i="7"/>
  <c r="E29" i="7" s="1"/>
  <c r="C52" i="7"/>
  <c r="J54" i="7"/>
  <c r="C51" i="7"/>
  <c r="D55" i="7"/>
  <c r="J51" i="7"/>
  <c r="D18" i="7"/>
  <c r="C29" i="7" l="1"/>
  <c r="E30" i="7"/>
  <c r="C13" i="4"/>
  <c r="C16" i="4" s="1"/>
  <c r="C18" i="4" s="1"/>
  <c r="C29" i="4"/>
  <c r="G13" i="4"/>
  <c r="H13" i="4"/>
  <c r="C40" i="4"/>
  <c r="G14" i="4"/>
  <c r="H14" i="4"/>
  <c r="C30" i="7"/>
  <c r="E28" i="7"/>
  <c r="H12" i="4" l="1"/>
  <c r="G12" i="4"/>
</calcChain>
</file>

<file path=xl/sharedStrings.xml><?xml version="1.0" encoding="utf-8"?>
<sst xmlns="http://schemas.openxmlformats.org/spreadsheetml/2006/main" count="109" uniqueCount="82">
  <si>
    <t>Energikrav (L)</t>
  </si>
  <si>
    <t>Energikrav (H)</t>
  </si>
  <si>
    <t>Kapasitet [GW]</t>
  </si>
  <si>
    <t>Energikrav (M)</t>
  </si>
  <si>
    <t>Kostnader:</t>
  </si>
  <si>
    <t>[J/Wh]:</t>
  </si>
  <si>
    <t>Kull konsum Tyskland [joule]:</t>
  </si>
  <si>
    <t>Timer per år:</t>
  </si>
  <si>
    <t>Prosentmenge utslipp fra kull:</t>
  </si>
  <si>
    <t>Reduksjon CO2-utslipp [Mtonn]:</t>
  </si>
  <si>
    <t>Ny GH2 pipeline</t>
  </si>
  <si>
    <t>Reduksjon i tysk CO2-utslipp [Prosent]:</t>
  </si>
  <si>
    <t>Levetid [år]</t>
  </si>
  <si>
    <t>Rente [%]</t>
  </si>
  <si>
    <t>LCOET [EUR/MWh]</t>
  </si>
  <si>
    <t>Coal consumption 2022 [joule]</t>
  </si>
  <si>
    <t>Beregninger:</t>
  </si>
  <si>
    <t>km</t>
  </si>
  <si>
    <t>CASE 1</t>
  </si>
  <si>
    <t>CASE 2</t>
  </si>
  <si>
    <t>CASE 3</t>
  </si>
  <si>
    <t>Totalt utslipp fra Tyskland [Mtonn CO2]:</t>
  </si>
  <si>
    <t>Pris per km</t>
  </si>
  <si>
    <t>Nåverdi OPEX</t>
  </si>
  <si>
    <t>CAPEX [EUR]</t>
  </si>
  <si>
    <t>OPEX [EUR/år]</t>
  </si>
  <si>
    <t xml:space="preserve">km </t>
  </si>
  <si>
    <t>Hydrogenproduksjon</t>
  </si>
  <si>
    <t>Grønt (Enova)</t>
  </si>
  <si>
    <t>kWh/kg</t>
  </si>
  <si>
    <t>Blått, estimat fra Gassco rapport</t>
  </si>
  <si>
    <t>Kapasiteter</t>
  </si>
  <si>
    <t>Blått, lavt</t>
  </si>
  <si>
    <t>Blått, høyt</t>
  </si>
  <si>
    <t>Grønt</t>
  </si>
  <si>
    <t>10 GW</t>
  </si>
  <si>
    <t>14 GW</t>
  </si>
  <si>
    <t>18 GW</t>
  </si>
  <si>
    <t>Kapasitet</t>
  </si>
  <si>
    <t>0 GW (totalt utslipp)</t>
  </si>
  <si>
    <t>Rente</t>
  </si>
  <si>
    <t>Levetid</t>
  </si>
  <si>
    <t>Brukstid [h/år]</t>
  </si>
  <si>
    <t>Investeringskostnad</t>
  </si>
  <si>
    <t>Avvik</t>
  </si>
  <si>
    <t>LCOH [EUR/MWh]</t>
  </si>
  <si>
    <t>Totalkostnad [EUR/MWh]</t>
  </si>
  <si>
    <t>Brukstid</t>
  </si>
  <si>
    <t>Total levetidskostnad</t>
  </si>
  <si>
    <t>NV transportert energi [MWh]</t>
  </si>
  <si>
    <t>OPEX</t>
  </si>
  <si>
    <t>CAPEX</t>
  </si>
  <si>
    <t>=($C$8+NÅVERDI($C$11;$C$10;-$C$9))/NÅVERDI($C$11;$C$10;-$C$17*$C$12*1000)</t>
  </si>
  <si>
    <t>Prosentavvik</t>
  </si>
  <si>
    <t>LCOET sensitivitetsanalyse</t>
  </si>
  <si>
    <t>Blått, lavt estimat</t>
  </si>
  <si>
    <t>Blått, høyt estimat</t>
  </si>
  <si>
    <t>Utslippsreduksjojn</t>
  </si>
  <si>
    <t>Elektrisitet generert av kull [TWh]:</t>
  </si>
  <si>
    <t>Virkningsgrad hydrogen</t>
  </si>
  <si>
    <t>10GW  hydrogen fra Norge * virkningsgrad:</t>
  </si>
  <si>
    <t>14GW hydrogen fra Norge * virkningsgrad:</t>
  </si>
  <si>
    <t>18GW hydrogen fra Norge * Virkningsgrad:</t>
  </si>
  <si>
    <t>Erstatning av energi fra kull i prosent:</t>
  </si>
  <si>
    <t>erstatning av tot energi fra kull i prosent:</t>
  </si>
  <si>
    <t>Utslipp fra kullkraft [Mtonn CO2]:</t>
  </si>
  <si>
    <t>Totalt utslipp ved ulik hydrogenimport</t>
  </si>
  <si>
    <t>Kapasitet kullkraft [GW]:</t>
  </si>
  <si>
    <t>Vrikningsgrad lagring hydrogen:</t>
  </si>
  <si>
    <t>[Wh]</t>
  </si>
  <si>
    <t>Beregnet virkningsgrad kull (statistical review)</t>
  </si>
  <si>
    <t>80 år med 20% steg</t>
  </si>
  <si>
    <t xml:space="preserve">Verdier er hentet fra Statista, Euracoal og Energy institute (statistical review). Alle benyttede kilder er referert til i Hovedoppgaven. </t>
  </si>
  <si>
    <t>Virkningsgrad elektrolyse:</t>
  </si>
  <si>
    <t>CAPEX for strekning i case-studie</t>
  </si>
  <si>
    <t>Fra Concept 2</t>
  </si>
  <si>
    <t>Nyhamna - Kollsnes/Mongstad/Kårstø</t>
  </si>
  <si>
    <t>Kollsnes/Mongstad/Kårstø - Wilhelmshaven</t>
  </si>
  <si>
    <t>Total lengde</t>
  </si>
  <si>
    <t>/km</t>
  </si>
  <si>
    <t>LCOH [NOK/kg]</t>
  </si>
  <si>
    <t>NOK/EUR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</si>
</sst>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kr&quot;\ #,##0.00;[Red]\-&quot;kr&quot;\ #,##0.00"/>
    <numFmt numFmtId="44" formatCode="_-&quot;kr&quot;\ * #,##0.00_-;\-&quot;kr&quot;\ * #,##0.00_-;_-&quot;kr&quot;\ * &quot;-&quot;??_-;_-@_-"/>
    <numFmt numFmtId="164" formatCode="_-[$€-2]\ * #,##0.00_-;\-[$€-2]\ * #,##0.00_-;_-[$€-2]\ * &quot;-&quot;??_-;_-@_-"/>
    <numFmt numFmtId="165" formatCode="_-[$kr-414]\ * #,##0.00_-;\-[$kr-414]\ * #,##0.00_-;_-[$kr-414]\ * &quot;-&quot;??_-;_-@_-"/>
    <numFmt numFmtId="166" formatCode="_([$€-2]\ * #,##0.00_);_([$€-2]\ * \(#,##0.00\);_([$€-2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105">
    <xf numFmtId="0" fontId="0" fillId="0" borderId="0" xfId="0"/>
    <xf numFmtId="0" fontId="0" fillId="3" borderId="0" xfId="0" applyFill="1"/>
    <xf numFmtId="0" fontId="0" fillId="0" borderId="1" xfId="0" applyBorder="1"/>
    <xf numFmtId="9" fontId="0" fillId="0" borderId="0" xfId="2" applyFont="1"/>
    <xf numFmtId="0" fontId="3" fillId="0" borderId="0" xfId="0" applyFont="1"/>
    <xf numFmtId="9" fontId="0" fillId="0" borderId="0" xfId="0" applyNumberFormat="1"/>
    <xf numFmtId="4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2" fillId="5" borderId="1" xfId="3" applyBorder="1" applyAlignment="1">
      <alignment horizontal="center"/>
    </xf>
    <xf numFmtId="0" fontId="2" fillId="6" borderId="0" xfId="4"/>
    <xf numFmtId="0" fontId="2" fillId="5" borderId="0" xfId="3" applyBorder="1" applyAlignment="1">
      <alignment horizontal="center"/>
    </xf>
    <xf numFmtId="164" fontId="3" fillId="0" borderId="0" xfId="0" applyNumberFormat="1" applyFont="1"/>
    <xf numFmtId="8" fontId="0" fillId="0" borderId="0" xfId="0" applyNumberFormat="1"/>
    <xf numFmtId="0" fontId="0" fillId="0" borderId="0" xfId="0" quotePrefix="1"/>
    <xf numFmtId="0" fontId="0" fillId="0" borderId="2" xfId="0" applyBorder="1"/>
    <xf numFmtId="166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49" fontId="0" fillId="0" borderId="0" xfId="0" quotePrefix="1" applyNumberFormat="1"/>
    <xf numFmtId="1" fontId="0" fillId="0" borderId="0" xfId="0" applyNumberFormat="1"/>
    <xf numFmtId="0" fontId="2" fillId="5" borderId="0" xfId="3" applyBorder="1" applyAlignment="1">
      <alignment horizontal="left"/>
    </xf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0" xfId="0" applyAlignment="1">
      <alignment horizontal="left" vertical="center"/>
    </xf>
    <xf numFmtId="164" fontId="2" fillId="5" borderId="0" xfId="3" applyNumberFormat="1" applyBorder="1"/>
    <xf numFmtId="164" fontId="2" fillId="7" borderId="0" xfId="5" applyNumberFormat="1" applyBorder="1"/>
    <xf numFmtId="165" fontId="2" fillId="5" borderId="0" xfId="3" applyNumberFormat="1" applyBorder="1"/>
    <xf numFmtId="165" fontId="2" fillId="7" borderId="0" xfId="5" applyNumberFormat="1" applyBorder="1"/>
    <xf numFmtId="0" fontId="3" fillId="0" borderId="1" xfId="0" applyFont="1" applyBorder="1"/>
    <xf numFmtId="164" fontId="0" fillId="0" borderId="1" xfId="0" applyNumberFormat="1" applyBorder="1"/>
    <xf numFmtId="10" fontId="0" fillId="0" borderId="13" xfId="0" applyNumberFormat="1" applyBorder="1"/>
    <xf numFmtId="10" fontId="3" fillId="0" borderId="13" xfId="0" applyNumberFormat="1" applyFont="1" applyBorder="1"/>
    <xf numFmtId="10" fontId="0" fillId="0" borderId="14" xfId="0" applyNumberFormat="1" applyBorder="1"/>
    <xf numFmtId="164" fontId="3" fillId="0" borderId="13" xfId="0" applyNumberFormat="1" applyFont="1" applyBorder="1"/>
    <xf numFmtId="0" fontId="0" fillId="0" borderId="4" xfId="0" applyBorder="1"/>
    <xf numFmtId="9" fontId="0" fillId="0" borderId="10" xfId="2" applyFont="1" applyBorder="1"/>
    <xf numFmtId="164" fontId="0" fillId="0" borderId="11" xfId="0" applyNumberFormat="1" applyBorder="1"/>
    <xf numFmtId="9" fontId="3" fillId="0" borderId="10" xfId="2" applyFont="1" applyBorder="1"/>
    <xf numFmtId="164" fontId="0" fillId="0" borderId="9" xfId="0" applyNumberFormat="1" applyBorder="1"/>
    <xf numFmtId="0" fontId="0" fillId="0" borderId="12" xfId="0" applyBorder="1"/>
    <xf numFmtId="0" fontId="3" fillId="0" borderId="5" xfId="0" applyFont="1" applyBorder="1"/>
    <xf numFmtId="0" fontId="3" fillId="0" borderId="7" xfId="0" applyFont="1" applyBorder="1"/>
    <xf numFmtId="164" fontId="3" fillId="0" borderId="11" xfId="0" applyNumberFormat="1" applyFont="1" applyBorder="1"/>
    <xf numFmtId="0" fontId="3" fillId="0" borderId="11" xfId="0" applyFont="1" applyBorder="1"/>
    <xf numFmtId="0" fontId="0" fillId="0" borderId="13" xfId="0" applyBorder="1"/>
    <xf numFmtId="0" fontId="0" fillId="0" borderId="14" xfId="0" applyBorder="1"/>
    <xf numFmtId="9" fontId="0" fillId="0" borderId="14" xfId="2" applyFont="1" applyBorder="1"/>
    <xf numFmtId="0" fontId="3" fillId="0" borderId="13" xfId="0" applyFont="1" applyBorder="1"/>
    <xf numFmtId="0" fontId="3" fillId="0" borderId="12" xfId="0" applyFont="1" applyBorder="1"/>
    <xf numFmtId="9" fontId="3" fillId="0" borderId="13" xfId="2" applyFont="1" applyBorder="1"/>
    <xf numFmtId="9" fontId="0" fillId="0" borderId="13" xfId="2" applyFont="1" applyBorder="1"/>
    <xf numFmtId="9" fontId="3" fillId="0" borderId="5" xfId="0" applyNumberFormat="1" applyFont="1" applyBorder="1"/>
    <xf numFmtId="164" fontId="3" fillId="0" borderId="7" xfId="0" applyNumberFormat="1" applyFont="1" applyBorder="1"/>
    <xf numFmtId="9" fontId="0" fillId="0" borderId="10" xfId="0" applyNumberFormat="1" applyBorder="1"/>
    <xf numFmtId="164" fontId="0" fillId="0" borderId="6" xfId="0" applyNumberFormat="1" applyBorder="1"/>
    <xf numFmtId="9" fontId="0" fillId="0" borderId="8" xfId="0" applyNumberFormat="1" applyBorder="1"/>
    <xf numFmtId="9" fontId="0" fillId="0" borderId="5" xfId="0" applyNumberFormat="1" applyBorder="1"/>
    <xf numFmtId="164" fontId="0" fillId="0" borderId="7" xfId="0" applyNumberFormat="1" applyBorder="1"/>
    <xf numFmtId="0" fontId="5" fillId="0" borderId="0" xfId="0" applyFont="1"/>
    <xf numFmtId="0" fontId="5" fillId="4" borderId="0" xfId="0" applyFont="1" applyFill="1"/>
    <xf numFmtId="0" fontId="5" fillId="3" borderId="5" xfId="0" applyFont="1" applyFill="1" applyBorder="1"/>
    <xf numFmtId="0" fontId="5" fillId="3" borderId="8" xfId="0" applyFont="1" applyFill="1" applyBorder="1"/>
    <xf numFmtId="0" fontId="5" fillId="2" borderId="5" xfId="0" applyFont="1" applyFill="1" applyBorder="1"/>
    <xf numFmtId="0" fontId="0" fillId="2" borderId="7" xfId="0" applyFill="1" applyBorder="1"/>
    <xf numFmtId="0" fontId="5" fillId="2" borderId="8" xfId="0" applyFont="1" applyFill="1" applyBorder="1"/>
    <xf numFmtId="0" fontId="0" fillId="2" borderId="9" xfId="0" applyFill="1" applyBorder="1"/>
    <xf numFmtId="0" fontId="0" fillId="3" borderId="2" xfId="0" applyFill="1" applyBorder="1"/>
    <xf numFmtId="164" fontId="2" fillId="5" borderId="6" xfId="3" applyNumberFormat="1" applyBorder="1"/>
    <xf numFmtId="0" fontId="2" fillId="5" borderId="0" xfId="3" applyBorder="1"/>
    <xf numFmtId="0" fontId="2" fillId="5" borderId="3" xfId="3" applyBorder="1"/>
    <xf numFmtId="0" fontId="2" fillId="5" borderId="15" xfId="3" applyBorder="1"/>
    <xf numFmtId="0" fontId="2" fillId="5" borderId="4" xfId="3" applyBorder="1"/>
    <xf numFmtId="0" fontId="2" fillId="5" borderId="10" xfId="3" applyBorder="1"/>
    <xf numFmtId="0" fontId="2" fillId="5" borderId="11" xfId="3" applyBorder="1"/>
    <xf numFmtId="4" fontId="2" fillId="5" borderId="10" xfId="3" applyNumberFormat="1" applyBorder="1"/>
    <xf numFmtId="0" fontId="2" fillId="5" borderId="10" xfId="3" applyBorder="1" applyAlignment="1">
      <alignment wrapText="1"/>
    </xf>
    <xf numFmtId="0" fontId="2" fillId="5" borderId="5" xfId="3" applyBorder="1"/>
    <xf numFmtId="0" fontId="2" fillId="5" borderId="7" xfId="3" applyBorder="1"/>
    <xf numFmtId="0" fontId="2" fillId="5" borderId="8" xfId="3" applyBorder="1"/>
    <xf numFmtId="164" fontId="2" fillId="5" borderId="1" xfId="3" applyNumberFormat="1" applyBorder="1"/>
    <xf numFmtId="0" fontId="2" fillId="5" borderId="9" xfId="3" applyBorder="1"/>
    <xf numFmtId="0" fontId="6" fillId="8" borderId="5" xfId="0" applyFont="1" applyFill="1" applyBorder="1"/>
    <xf numFmtId="0" fontId="5" fillId="8" borderId="7" xfId="0" applyFont="1" applyFill="1" applyBorder="1"/>
    <xf numFmtId="0" fontId="5" fillId="9" borderId="10" xfId="0" applyFont="1" applyFill="1" applyBorder="1"/>
    <xf numFmtId="0" fontId="5" fillId="9" borderId="11" xfId="0" applyFont="1" applyFill="1" applyBorder="1"/>
    <xf numFmtId="0" fontId="5" fillId="8" borderId="10" xfId="0" applyFont="1" applyFill="1" applyBorder="1"/>
    <xf numFmtId="0" fontId="0" fillId="8" borderId="11" xfId="0" applyFill="1" applyBorder="1"/>
    <xf numFmtId="10" fontId="1" fillId="8" borderId="11" xfId="0" applyNumberFormat="1" applyFont="1" applyFill="1" applyBorder="1"/>
    <xf numFmtId="0" fontId="0" fillId="8" borderId="10" xfId="0" applyFill="1" applyBorder="1"/>
    <xf numFmtId="0" fontId="1" fillId="8" borderId="10" xfId="0" applyFont="1" applyFill="1" applyBorder="1"/>
    <xf numFmtId="0" fontId="1" fillId="8" borderId="11" xfId="0" applyFont="1" applyFill="1" applyBorder="1"/>
    <xf numFmtId="0" fontId="0" fillId="8" borderId="8" xfId="0" applyFill="1" applyBorder="1"/>
    <xf numFmtId="10" fontId="1" fillId="8" borderId="9" xfId="0" applyNumberFormat="1" applyFont="1" applyFill="1" applyBorder="1"/>
    <xf numFmtId="0" fontId="0" fillId="8" borderId="7" xfId="0" applyFill="1" applyBorder="1"/>
    <xf numFmtId="0" fontId="5" fillId="2" borderId="12" xfId="0" applyFont="1" applyFill="1" applyBorder="1"/>
    <xf numFmtId="0" fontId="5" fillId="2" borderId="14" xfId="0" applyFont="1" applyFill="1" applyBorder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6">
    <cellStyle name="20 % – uthevingsfarge 1" xfId="3" builtinId="30"/>
    <cellStyle name="20 % – uthevingsfarge 3" xfId="4" builtinId="38"/>
    <cellStyle name="20 % – uthevingsfarge 6" xfId="5" builtinId="50"/>
    <cellStyle name="Normal" xfId="0" builtinId="0"/>
    <cellStyle name="Prosent" xfId="2" builtinId="5"/>
    <cellStyle name="Valuta" xfId="1" builtinId="4"/>
  </cellStyles>
  <dxfs count="0"/>
  <tableStyles count="0" defaultTableStyle="TableStyleMedium2" defaultPivotStyle="PivotStyleMedium9"/>
  <colors>
    <mruColors>
      <color rgb="FFFFCDCD"/>
      <color rgb="FFFFB3BD"/>
      <color rgb="FFF0BDFE"/>
      <color rgb="FFE99CFF"/>
      <color rgb="FFDAB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LCOET</a:t>
            </a:r>
            <a:r>
              <a:rPr lang="nb-NO" baseline="0"/>
              <a:t> for 18 GW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Kostnadsberegninger!$C$48</c:f>
              <c:strCache>
                <c:ptCount val="1"/>
                <c:pt idx="0">
                  <c:v>Rente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Kostnadsberegninger!$B$49:$B$59</c:f>
              <c:numCache>
                <c:formatCode>0%</c:formatCode>
                <c:ptCount val="11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</c:numCache>
            </c:numRef>
          </c:cat>
          <c:val>
            <c:numRef>
              <c:f>Kostnadsberegninger!$C$49:$C$59</c:f>
              <c:numCache>
                <c:formatCode>_-[$€-2]\ * #\ ##0.00_-;\-[$€-2]\ * #\ ##0.00_-;_-[$€-2]\ * "-"??_-;_-@_-</c:formatCode>
                <c:ptCount val="11"/>
                <c:pt idx="0">
                  <c:v>1.3128204161282875</c:v>
                </c:pt>
                <c:pt idx="1">
                  <c:v>1.4071106214146665</c:v>
                </c:pt>
                <c:pt idx="2">
                  <c:v>1.5048637202900936</c:v>
                </c:pt>
                <c:pt idx="3">
                  <c:v>1.6059228653753952</c:v>
                </c:pt>
                <c:pt idx="4">
                  <c:v>1.7101231814575846</c:v>
                </c:pt>
                <c:pt idx="5">
                  <c:v>1.8172943393441632</c:v>
                </c:pt>
                <c:pt idx="6">
                  <c:v>1.9272629748283512</c:v>
                </c:pt>
                <c:pt idx="7">
                  <c:v>2.0398549068986389</c:v>
                </c:pt>
                <c:pt idx="8">
                  <c:v>2.1548971227111124</c:v>
                </c:pt>
                <c:pt idx="9">
                  <c:v>2.2722195095723356</c:v>
                </c:pt>
                <c:pt idx="10">
                  <c:v>2.3916563256751777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ED-4E77-9FAB-C8A411DCFCDA}"/>
            </c:ext>
          </c:extLst>
        </c:ser>
        <c:ser>
          <c:idx val="1"/>
          <c:order val="1"/>
          <c:tx>
            <c:strRef>
              <c:f>Kostnadsberegninger!$D$48</c:f>
              <c:strCache>
                <c:ptCount val="1"/>
                <c:pt idx="0">
                  <c:v>OPEX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Kostnadsberegninger!$B$49:$B$59</c:f>
              <c:numCache>
                <c:formatCode>0%</c:formatCode>
                <c:ptCount val="11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</c:numCache>
            </c:numRef>
          </c:cat>
          <c:val>
            <c:numRef>
              <c:f>Kostnadsberegninger!$D$49:$D$59</c:f>
              <c:numCache>
                <c:formatCode>_-[$€-2]\ * #\ ##0.00_-;\-[$€-2]\ * #\ ##0.00_-;_-[$€-2]\ * "-"??_-;_-@_-</c:formatCode>
                <c:ptCount val="11"/>
                <c:pt idx="0">
                  <c:v>1.7697296513685163</c:v>
                </c:pt>
                <c:pt idx="1">
                  <c:v>1.7792425889636456</c:v>
                </c:pt>
                <c:pt idx="2">
                  <c:v>1.7887555265587751</c:v>
                </c:pt>
                <c:pt idx="3">
                  <c:v>1.7982684641539046</c:v>
                </c:pt>
                <c:pt idx="4">
                  <c:v>1.8077814017490337</c:v>
                </c:pt>
                <c:pt idx="5">
                  <c:v>1.8172943393441632</c:v>
                </c:pt>
                <c:pt idx="6">
                  <c:v>1.8268072769392927</c:v>
                </c:pt>
                <c:pt idx="7">
                  <c:v>1.836320214534422</c:v>
                </c:pt>
                <c:pt idx="8">
                  <c:v>1.8458331521295512</c:v>
                </c:pt>
                <c:pt idx="9">
                  <c:v>1.8553460897246807</c:v>
                </c:pt>
                <c:pt idx="10">
                  <c:v>1.8648590273198102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ED-4E77-9FAB-C8A411DCFCDA}"/>
            </c:ext>
          </c:extLst>
        </c:ser>
        <c:ser>
          <c:idx val="2"/>
          <c:order val="2"/>
          <c:tx>
            <c:strRef>
              <c:f>Kostnadsberegninger!$E$48</c:f>
              <c:strCache>
                <c:ptCount val="1"/>
                <c:pt idx="0">
                  <c:v>CAPEX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Kostnadsberegninger!$B$49:$B$59</c:f>
              <c:numCache>
                <c:formatCode>0%</c:formatCode>
                <c:ptCount val="11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</c:numCache>
            </c:numRef>
          </c:cat>
          <c:val>
            <c:numRef>
              <c:f>Kostnadsberegninger!$E$49:$E$59</c:f>
              <c:numCache>
                <c:formatCode>_-[$€-2]\ * #\ ##0.00_-;\-[$€-2]\ * #\ ##0.00_-;_-[$€-2]\ * "-"??_-;_-@_-</c:formatCode>
                <c:ptCount val="11"/>
                <c:pt idx="0">
                  <c:v>0.95621185764772842</c:v>
                </c:pt>
                <c:pt idx="1">
                  <c:v>1.1284283539870155</c:v>
                </c:pt>
                <c:pt idx="2">
                  <c:v>1.3006448503263022</c:v>
                </c:pt>
                <c:pt idx="3">
                  <c:v>1.4728613466655893</c:v>
                </c:pt>
                <c:pt idx="4">
                  <c:v>1.6450778430048763</c:v>
                </c:pt>
                <c:pt idx="5">
                  <c:v>1.8172943393441632</c:v>
                </c:pt>
                <c:pt idx="6">
                  <c:v>1.9895108356834503</c:v>
                </c:pt>
                <c:pt idx="7">
                  <c:v>2.1617273320227373</c:v>
                </c:pt>
                <c:pt idx="8">
                  <c:v>2.333943828362024</c:v>
                </c:pt>
                <c:pt idx="9">
                  <c:v>2.5061603247013111</c:v>
                </c:pt>
                <c:pt idx="10">
                  <c:v>2.6783768210405978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ED-4E77-9FAB-C8A411DCF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275328"/>
        <c:axId val="1688269088"/>
      </c:lineChart>
      <c:catAx>
        <c:axId val="1688275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Prosentavvik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88269088"/>
        <c:crosses val="autoZero"/>
        <c:auto val="1"/>
        <c:lblAlgn val="ctr"/>
        <c:lblOffset val="100"/>
        <c:noMultiLvlLbl val="0"/>
      </c:catAx>
      <c:valAx>
        <c:axId val="1688269088"/>
        <c:scaling>
          <c:orientation val="minMax"/>
          <c:max val="2.7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[EUR/MWh]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[$€-2]\ * #\ ##0.00_-;\-[$€-2]\ * #\ 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8827532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LCOET</a:t>
            </a:r>
            <a:r>
              <a:rPr lang="nb-NO" baseline="0"/>
              <a:t> med varierende b</a:t>
            </a:r>
            <a:r>
              <a:rPr lang="nb-NO"/>
              <a:t>rukstid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Kostnadsberegninger!$I$49:$I$59</c:f>
              <c:numCache>
                <c:formatCode>0%</c:formatCode>
                <c:ptCount val="11"/>
                <c:pt idx="0">
                  <c:v>0</c:v>
                </c:pt>
                <c:pt idx="1">
                  <c:v>-0.05</c:v>
                </c:pt>
                <c:pt idx="2">
                  <c:v>-0.1</c:v>
                </c:pt>
                <c:pt idx="3">
                  <c:v>-0.15</c:v>
                </c:pt>
                <c:pt idx="4">
                  <c:v>-0.2</c:v>
                </c:pt>
                <c:pt idx="5">
                  <c:v>-0.25</c:v>
                </c:pt>
                <c:pt idx="6">
                  <c:v>-0.3</c:v>
                </c:pt>
                <c:pt idx="7">
                  <c:v>-0.35</c:v>
                </c:pt>
                <c:pt idx="8">
                  <c:v>-0.4</c:v>
                </c:pt>
                <c:pt idx="9">
                  <c:v>-0.45</c:v>
                </c:pt>
                <c:pt idx="10">
                  <c:v>-0.5</c:v>
                </c:pt>
              </c:numCache>
            </c:numRef>
          </c:cat>
          <c:val>
            <c:numRef>
              <c:f>Kostnadsberegninger!$J$49:$J$59</c:f>
              <c:numCache>
                <c:formatCode>_-[$€-2]\ * #\ ##0.00_-;\-[$€-2]\ * #\ ##0.00_-;_-[$€-2]\ * "-"??_-;_-@_-</c:formatCode>
                <c:ptCount val="11"/>
                <c:pt idx="0">
                  <c:v>1.8172943393441632</c:v>
                </c:pt>
                <c:pt idx="1">
                  <c:v>1.9129414098359612</c:v>
                </c:pt>
                <c:pt idx="2">
                  <c:v>2.019215932604626</c:v>
                </c:pt>
                <c:pt idx="3">
                  <c:v>2.1379933404048979</c:v>
                </c:pt>
                <c:pt idx="4">
                  <c:v>2.2716179241802039</c:v>
                </c:pt>
                <c:pt idx="5">
                  <c:v>2.4230591191255511</c:v>
                </c:pt>
                <c:pt idx="6">
                  <c:v>2.5961347704916617</c:v>
                </c:pt>
                <c:pt idx="7">
                  <c:v>2.7958374451448664</c:v>
                </c:pt>
                <c:pt idx="8">
                  <c:v>3.0288238989069387</c:v>
                </c:pt>
                <c:pt idx="9">
                  <c:v>3.3041715260802964</c:v>
                </c:pt>
                <c:pt idx="10">
                  <c:v>3.6345886786883264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1-4562-A7DB-3D4F4EE76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274848"/>
        <c:axId val="1688261888"/>
      </c:lineChart>
      <c:catAx>
        <c:axId val="1688274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Prosentavvik i prosjektets brukstid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88261888"/>
        <c:crosses val="autoZero"/>
        <c:auto val="1"/>
        <c:lblAlgn val="ctr"/>
        <c:lblOffset val="100"/>
        <c:noMultiLvlLbl val="0"/>
      </c:catAx>
      <c:valAx>
        <c:axId val="1688261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[EUR/MWh]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[$€-2]\ * #\ ##0.00_-;\-[$€-2]\ * #\ 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8827484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Levetid opp til 80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Kostnadsberegninger!$P$35</c:f>
              <c:strCache>
                <c:ptCount val="1"/>
                <c:pt idx="0">
                  <c:v>Levetid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Kostnadsberegninger!$O$36:$O$58</c:f>
              <c:numCache>
                <c:formatCode>0%</c:formatCode>
                <c:ptCount val="2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</c:numCache>
            </c:numRef>
          </c:cat>
          <c:val>
            <c:numRef>
              <c:f>Kostnadsberegninger!$P$36:$P$58</c:f>
              <c:numCache>
                <c:formatCode>_-[$€-2]\ * #\ ##0.00_-;\-[$€-2]\ * #\ ##0.00_-;_-[$€-2]\ * "-"??_-;_-@_-</c:formatCode>
                <c:ptCount val="23"/>
                <c:pt idx="0">
                  <c:v>1.8172943393441632</c:v>
                </c:pt>
                <c:pt idx="1">
                  <c:v>1.7588191558396546</c:v>
                </c:pt>
                <c:pt idx="2">
                  <c:v>1.712449550071546</c:v>
                </c:pt>
                <c:pt idx="3">
                  <c:v>1.675262202238192</c:v>
                </c:pt>
                <c:pt idx="4">
                  <c:v>1.6451680378739553</c:v>
                </c:pt>
                <c:pt idx="5">
                  <c:v>1.6206354596126304</c:v>
                </c:pt>
                <c:pt idx="6">
                  <c:v>1.6005172361621165</c:v>
                </c:pt>
                <c:pt idx="7">
                  <c:v>1.5839383549925856</c:v>
                </c:pt>
                <c:pt idx="8">
                  <c:v>1.5702211256745682</c:v>
                </c:pt>
                <c:pt idx="9">
                  <c:v>1.5588338099026189</c:v>
                </c:pt>
                <c:pt idx="10">
                  <c:v>1.5493545475457473</c:v>
                </c:pt>
                <c:pt idx="11">
                  <c:v>1.5414454863743168</c:v>
                </c:pt>
                <c:pt idx="12">
                  <c:v>1.5348338768744916</c:v>
                </c:pt>
                <c:pt idx="13">
                  <c:v>1.52929802131005</c:v>
                </c:pt>
                <c:pt idx="14">
                  <c:v>1.524656670493709</c:v>
                </c:pt>
                <c:pt idx="15">
                  <c:v>1.5207609120391374</c:v>
                </c:pt>
                <c:pt idx="16">
                  <c:v>1.5174878879490445</c:v>
                </c:pt>
                <c:pt idx="17">
                  <c:v>1.5147358751915128</c:v>
                </c:pt>
                <c:pt idx="18">
                  <c:v>1.5124203955982665</c:v>
                </c:pt>
                <c:pt idx="19">
                  <c:v>1.5104711128087156</c:v>
                </c:pt>
                <c:pt idx="20">
                  <c:v>1.5088293378958604</c:v>
                </c:pt>
                <c:pt idx="21">
                  <c:v>1.5074460106475585</c:v>
                </c:pt>
                <c:pt idx="22">
                  <c:v>1.5062800560735334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9C-41B6-B16D-F17F2E459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290992"/>
        <c:axId val="847291472"/>
      </c:lineChart>
      <c:catAx>
        <c:axId val="847290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Prosentavvik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47291472"/>
        <c:crosses val="autoZero"/>
        <c:auto val="1"/>
        <c:lblAlgn val="ctr"/>
        <c:lblOffset val="100"/>
        <c:noMultiLvlLbl val="0"/>
      </c:catAx>
      <c:valAx>
        <c:axId val="847291472"/>
        <c:scaling>
          <c:orientation val="minMax"/>
          <c:min val="1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LCOET [EUR/MWh]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[$€-2]\ * #\ ##0.00_-;\-[$€-2]\ * #\ 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4729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Kostnadsberegninger!$W$35</c:f>
              <c:strCache>
                <c:ptCount val="1"/>
                <c:pt idx="0">
                  <c:v>Levetid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91-46A8-A96C-1CAE6486DE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91-46A8-A96C-1CAE6486DE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91-46A8-A96C-1CAE6486DE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91-46A8-A96C-1CAE6486DE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91-46A8-A96C-1CAE6486DE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91-46A8-A96C-1CAE6486DE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91-46A8-A96C-1CAE6486DE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91-46A8-A96C-1CAE6486DE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91-46A8-A96C-1CAE6486DE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91-46A8-A96C-1CAE6486D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Kostnadsberegninger!$V$36:$V$47</c:f>
              <c:numCache>
                <c:formatCode>0%</c:formatCode>
                <c:ptCount val="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</c:numCache>
            </c:numRef>
          </c:cat>
          <c:val>
            <c:numRef>
              <c:f>Kostnadsberegninger!$W$36:$W$47</c:f>
              <c:numCache>
                <c:formatCode>_-[$€-2]\ * #\ ##0.00_-;\-[$€-2]\ * #\ ##0.00_-;_-[$€-2]\ * "-"??_-;_-@_-</c:formatCode>
                <c:ptCount val="12"/>
                <c:pt idx="0">
                  <c:v>1.8172943393441632</c:v>
                </c:pt>
                <c:pt idx="1">
                  <c:v>1.712449550071546</c:v>
                </c:pt>
                <c:pt idx="2">
                  <c:v>1.6451680378739553</c:v>
                </c:pt>
                <c:pt idx="3">
                  <c:v>1.6005172361621165</c:v>
                </c:pt>
                <c:pt idx="4">
                  <c:v>1.5702211256745682</c:v>
                </c:pt>
                <c:pt idx="5">
                  <c:v>1.5493545475457473</c:v>
                </c:pt>
                <c:pt idx="6">
                  <c:v>1.5348338768744916</c:v>
                </c:pt>
                <c:pt idx="7">
                  <c:v>1.524656670493709</c:v>
                </c:pt>
                <c:pt idx="8">
                  <c:v>1.5174878879490445</c:v>
                </c:pt>
                <c:pt idx="9">
                  <c:v>1.5124203955982665</c:v>
                </c:pt>
                <c:pt idx="10">
                  <c:v>1.5088293378958604</c:v>
                </c:pt>
                <c:pt idx="11">
                  <c:v>1.5062800560735334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91-46A8-A96C-1CAE6486DED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06076528"/>
        <c:axId val="2106077968"/>
      </c:lineChart>
      <c:catAx>
        <c:axId val="210607652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6077968"/>
        <c:crosses val="autoZero"/>
        <c:auto val="1"/>
        <c:lblAlgn val="ctr"/>
        <c:lblOffset val="100"/>
        <c:noMultiLvlLbl val="0"/>
      </c:catAx>
      <c:valAx>
        <c:axId val="210607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[$€-2]\ * #\ ##0.00_-;\-[$€-2]\ * #\ 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607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Totalkostnad</a:t>
            </a:r>
            <a:r>
              <a:rPr lang="nb-NO" baseline="0"/>
              <a:t> for hydrogen importert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Kostnadsberegninger!$B$28</c:f>
              <c:strCache>
                <c:ptCount val="1"/>
                <c:pt idx="0">
                  <c:v>Blått, lavt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Kostnadsberegninger!$C$27:$E$27</c:f>
              <c:strCache>
                <c:ptCount val="3"/>
                <c:pt idx="0">
                  <c:v>10 GW</c:v>
                </c:pt>
                <c:pt idx="1">
                  <c:v>14 GW</c:v>
                </c:pt>
                <c:pt idx="2">
                  <c:v>18 GW</c:v>
                </c:pt>
              </c:strCache>
            </c:strRef>
          </c:cat>
          <c:val>
            <c:numRef>
              <c:f>Kostnadsberegninger!$C$28:$E$28</c:f>
              <c:numCache>
                <c:formatCode>_-[$€-2]\ * #\ ##0.00_-;\-[$€-2]\ * #\ ##0.00_-;_-[$€-2]\ * "-"??_-;_-@_-</c:formatCode>
                <c:ptCount val="3"/>
                <c:pt idx="0">
                  <c:v>73.271129810819488</c:v>
                </c:pt>
                <c:pt idx="1">
                  <c:v>72.336521293442502</c:v>
                </c:pt>
                <c:pt idx="2">
                  <c:v>71.817294339344159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E-4081-B68B-6F5E306E3702}"/>
            </c:ext>
          </c:extLst>
        </c:ser>
        <c:ser>
          <c:idx val="1"/>
          <c:order val="1"/>
          <c:tx>
            <c:strRef>
              <c:f>Kostnadsberegninger!$B$29</c:f>
              <c:strCache>
                <c:ptCount val="1"/>
                <c:pt idx="0">
                  <c:v>Blått, høyt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Kostnadsberegninger!$C$27:$E$27</c:f>
              <c:strCache>
                <c:ptCount val="3"/>
                <c:pt idx="0">
                  <c:v>10 GW</c:v>
                </c:pt>
                <c:pt idx="1">
                  <c:v>14 GW</c:v>
                </c:pt>
                <c:pt idx="2">
                  <c:v>18 GW</c:v>
                </c:pt>
              </c:strCache>
            </c:strRef>
          </c:cat>
          <c:val>
            <c:numRef>
              <c:f>Kostnadsberegninger!$C$29:$E$29</c:f>
              <c:numCache>
                <c:formatCode>_-[$€-2]\ * #\ ##0.00_-;\-[$€-2]\ * #\ ##0.00_-;_-[$€-2]\ * "-"??_-;_-@_-</c:formatCode>
                <c:ptCount val="3"/>
                <c:pt idx="0">
                  <c:v>113.27112981081949</c:v>
                </c:pt>
                <c:pt idx="1">
                  <c:v>112.3365212934425</c:v>
                </c:pt>
                <c:pt idx="2">
                  <c:v>111.81729433934416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E-4081-B68B-6F5E306E3702}"/>
            </c:ext>
          </c:extLst>
        </c:ser>
        <c:ser>
          <c:idx val="2"/>
          <c:order val="2"/>
          <c:tx>
            <c:strRef>
              <c:f>Kostnadsberegninger!$B$30</c:f>
              <c:strCache>
                <c:ptCount val="1"/>
                <c:pt idx="0">
                  <c:v>Grønt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Kostnadsberegninger!$C$27:$E$27</c:f>
              <c:strCache>
                <c:ptCount val="3"/>
                <c:pt idx="0">
                  <c:v>10 GW</c:v>
                </c:pt>
                <c:pt idx="1">
                  <c:v>14 GW</c:v>
                </c:pt>
                <c:pt idx="2">
                  <c:v>18 GW</c:v>
                </c:pt>
              </c:strCache>
            </c:strRef>
          </c:cat>
          <c:val>
            <c:numRef>
              <c:f>Kostnadsberegninger!$C$30:$E$30</c:f>
              <c:numCache>
                <c:formatCode>_-[$€-2]\ * #\ ##0.00_-;\-[$€-2]\ * #\ ##0.00_-;_-[$€-2]\ * "-"??_-;_-@_-</c:formatCode>
                <c:ptCount val="3"/>
                <c:pt idx="0">
                  <c:v>157.35919243294776</c:v>
                </c:pt>
                <c:pt idx="1">
                  <c:v>156.42458391557076</c:v>
                </c:pt>
                <c:pt idx="2">
                  <c:v>155.90535696147242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E-4081-B68B-6F5E306E37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6026240"/>
        <c:axId val="1046024320"/>
      </c:barChart>
      <c:catAx>
        <c:axId val="104602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6024320"/>
        <c:crosses val="autoZero"/>
        <c:auto val="1"/>
        <c:lblAlgn val="ctr"/>
        <c:lblOffset val="100"/>
        <c:noMultiLvlLbl val="0"/>
      </c:catAx>
      <c:valAx>
        <c:axId val="104602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€-2]\ * #\ ##0.00_-;\-[$€-2]\ * #\ 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602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Utslipp</a:t>
            </a:r>
            <a:r>
              <a:rPr lang="nb-NO" baseline="0"/>
              <a:t> ved ulik import av Hydrogen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Utslippsreduksjon!$G$10</c:f>
              <c:strCache>
                <c:ptCount val="1"/>
                <c:pt idx="0">
                  <c:v>Totalt utslipp ved ulik hydrogenimport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Utslippsreduksjon!$F$11:$F$14</c:f>
              <c:strCache>
                <c:ptCount val="4"/>
                <c:pt idx="0">
                  <c:v>0 GW (totalt utslipp)</c:v>
                </c:pt>
                <c:pt idx="1">
                  <c:v>10 GW</c:v>
                </c:pt>
                <c:pt idx="2">
                  <c:v>14 GW</c:v>
                </c:pt>
                <c:pt idx="3">
                  <c:v>18 GW</c:v>
                </c:pt>
              </c:strCache>
            </c:strRef>
          </c:cat>
          <c:val>
            <c:numRef>
              <c:f>Utslippsreduksjon!$G$11:$G$14</c:f>
              <c:numCache>
                <c:formatCode>General</c:formatCode>
                <c:ptCount val="4"/>
                <c:pt idx="0">
                  <c:v>634.9</c:v>
                </c:pt>
                <c:pt idx="1">
                  <c:v>566.58364119601333</c:v>
                </c:pt>
                <c:pt idx="2">
                  <c:v>539.25709767441856</c:v>
                </c:pt>
                <c:pt idx="3">
                  <c:v>511.9305541528239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2-4E46-AF1A-0B191033243A}"/>
            </c:ext>
          </c:extLst>
        </c:ser>
        <c:ser>
          <c:idx val="1"/>
          <c:order val="1"/>
          <c:tx>
            <c:strRef>
              <c:f>Utslippsreduksjon!$H$10</c:f>
              <c:strCache>
                <c:ptCount val="1"/>
                <c:pt idx="0">
                  <c:v>Utslippsreduksjojn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Utslippsreduksjon!$F$11:$F$14</c:f>
              <c:strCache>
                <c:ptCount val="4"/>
                <c:pt idx="0">
                  <c:v>0 GW (totalt utslipp)</c:v>
                </c:pt>
                <c:pt idx="1">
                  <c:v>10 GW</c:v>
                </c:pt>
                <c:pt idx="2">
                  <c:v>14 GW</c:v>
                </c:pt>
                <c:pt idx="3">
                  <c:v>18 GW</c:v>
                </c:pt>
              </c:strCache>
            </c:strRef>
          </c:cat>
          <c:val>
            <c:numRef>
              <c:f>Utslippsreduksjon!$H$11:$H$14</c:f>
              <c:numCache>
                <c:formatCode>General</c:formatCode>
                <c:ptCount val="4"/>
                <c:pt idx="0">
                  <c:v>0</c:v>
                </c:pt>
                <c:pt idx="1">
                  <c:v>68.316358803986702</c:v>
                </c:pt>
                <c:pt idx="2">
                  <c:v>95.642902325581389</c:v>
                </c:pt>
                <c:pt idx="3">
                  <c:v>122.96944584717608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2-4E46-AF1A-0B1910332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862688"/>
        <c:axId val="381644032"/>
      </c:barChart>
      <c:catAx>
        <c:axId val="7486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1644032"/>
        <c:crosses val="autoZero"/>
        <c:auto val="1"/>
        <c:lblAlgn val="ctr"/>
        <c:lblOffset val="100"/>
        <c:noMultiLvlLbl val="0"/>
      </c:catAx>
      <c:valAx>
        <c:axId val="38164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486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747705</xdr:colOff>
      <xdr:row>60</xdr:row>
      <xdr:rowOff>73396</xdr:rowOff>
    </xdr:from>
    <xdr:to>
      <xdr:col>5</xdr:col>
      <xdr:colOff>32679</xdr:colOff>
      <xdr:row>80</xdr:row>
      <xdr:rowOff>85780</xdr:rowOff>
    </xdr:to>
    <xdr:graphicFrame macro="">
      <xdr:nvGraphicFramePr>
        <xdr:cNvPr id="233" name="Diagram 14">
          <a:extLst>
            <a:ext uri="{FF2B5EF4-FFF2-40B4-BE49-F238E27FC236}">
              <a16:creationId xmlns:a16="http://schemas.microsoft.com/office/drawing/2014/main" id="{FD14A473-BBEF-4996-F7A8-31422B4C62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897262</xdr:colOff>
      <xdr:row>60</xdr:row>
      <xdr:rowOff>62741</xdr:rowOff>
    </xdr:from>
    <xdr:to>
      <xdr:col>10</xdr:col>
      <xdr:colOff>439879</xdr:colOff>
      <xdr:row>80</xdr:row>
      <xdr:rowOff>143915</xdr:rowOff>
    </xdr:to>
    <xdr:graphicFrame macro="">
      <xdr:nvGraphicFramePr>
        <xdr:cNvPr id="259" name="Diagram 15">
          <a:extLst>
            <a:ext uri="{FF2B5EF4-FFF2-40B4-BE49-F238E27FC236}">
              <a16:creationId xmlns:a16="http://schemas.microsoft.com/office/drawing/2014/main" id="{089B0240-AF26-5833-732A-654ECD83B1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368710</xdr:colOff>
      <xdr:row>60</xdr:row>
      <xdr:rowOff>10243</xdr:rowOff>
    </xdr:from>
    <xdr:to>
      <xdr:col>20</xdr:col>
      <xdr:colOff>102419</xdr:colOff>
      <xdr:row>83</xdr:row>
      <xdr:rowOff>81935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C1440ED-7241-7D19-5F7C-764A6E26BF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604144</xdr:colOff>
      <xdr:row>33</xdr:row>
      <xdr:rowOff>129781</xdr:rowOff>
    </xdr:from>
    <xdr:to>
      <xdr:col>30</xdr:col>
      <xdr:colOff>234451</xdr:colOff>
      <xdr:row>53</xdr:row>
      <xdr:rowOff>69653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987FE3D5-C77D-0DE3-7494-1955A7E6A7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794945</xdr:colOff>
      <xdr:row>12</xdr:row>
      <xdr:rowOff>90004</xdr:rowOff>
    </xdr:from>
    <xdr:to>
      <xdr:col>11</xdr:col>
      <xdr:colOff>766384</xdr:colOff>
      <xdr:row>28</xdr:row>
      <xdr:rowOff>14023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9201323-F069-E987-B299-5CAC22013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1413922</xdr:colOff>
      <xdr:row>16</xdr:row>
      <xdr:rowOff>100598</xdr:rowOff>
    </xdr:from>
    <xdr:to>
      <xdr:col>6</xdr:col>
      <xdr:colOff>1645318</xdr:colOff>
      <xdr:row>32</xdr:row>
      <xdr:rowOff>67196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EAB8819-41E7-D4AF-9BDE-F352004E81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649F-1310-3F4B-A528-5B5B99F39336}">
  <dimension ref="A2:AD145"/>
  <sheetViews>
    <sheetView tabSelected="1" zoomScale="105" zoomScaleNormal="128" workbookViewId="0">
      <selection activeCell="F6" sqref="F6"/>
    </sheetView>
  </sheetViews>
  <sheetFormatPr baseColWidth="10" defaultRowHeight="14.5" x14ac:dyDescent="0.35"/>
  <cols>
    <col min="1" max="1" width="10.6328125" bestFit="1" customWidth="1"/>
    <col min="2" max="2" width="25.1796875" customWidth="1"/>
    <col min="3" max="3" width="20" customWidth="1"/>
    <col min="4" max="4" width="16.81640625" customWidth="1"/>
    <col min="5" max="5" width="17.453125" customWidth="1"/>
    <col min="6" max="6" width="20.36328125" customWidth="1"/>
    <col min="7" max="7" width="17" bestFit="1" customWidth="1"/>
    <col min="8" max="8" width="19.36328125" bestFit="1" customWidth="1"/>
    <col min="9" max="9" width="14.26953125" customWidth="1"/>
    <col min="10" max="10" width="14.6328125" customWidth="1"/>
    <col min="11" max="11" width="12.81640625" bestFit="1" customWidth="1"/>
    <col min="12" max="12" width="14.81640625" customWidth="1"/>
    <col min="22" max="22" width="11.36328125" bestFit="1" customWidth="1"/>
    <col min="30" max="30" width="18.453125" bestFit="1" customWidth="1"/>
  </cols>
  <sheetData>
    <row r="2" spans="1:30" x14ac:dyDescent="0.35">
      <c r="B2" s="10" t="s">
        <v>0</v>
      </c>
      <c r="C2" s="10">
        <v>10</v>
      </c>
      <c r="E2">
        <v>33.33</v>
      </c>
      <c r="F2" t="s">
        <v>29</v>
      </c>
      <c r="G2" s="76" t="s">
        <v>75</v>
      </c>
      <c r="H2" s="77"/>
      <c r="I2" s="78"/>
    </row>
    <row r="3" spans="1:30" x14ac:dyDescent="0.35">
      <c r="B3" s="10" t="s">
        <v>3</v>
      </c>
      <c r="C3" s="10">
        <v>14</v>
      </c>
      <c r="E3">
        <v>11.6828</v>
      </c>
      <c r="F3" t="s">
        <v>81</v>
      </c>
      <c r="G3" s="79" t="s">
        <v>43</v>
      </c>
      <c r="H3" s="31">
        <v>4700000000</v>
      </c>
      <c r="I3" s="80"/>
    </row>
    <row r="4" spans="1:30" x14ac:dyDescent="0.35">
      <c r="B4" s="10" t="s">
        <v>1</v>
      </c>
      <c r="C4" s="10">
        <v>18</v>
      </c>
      <c r="G4" s="79" t="s">
        <v>76</v>
      </c>
      <c r="H4" s="75">
        <v>410</v>
      </c>
      <c r="I4" s="80" t="s">
        <v>17</v>
      </c>
    </row>
    <row r="5" spans="1:30" x14ac:dyDescent="0.35">
      <c r="G5" s="81" t="s">
        <v>77</v>
      </c>
      <c r="H5" s="75">
        <v>845</v>
      </c>
      <c r="I5" s="80" t="s">
        <v>17</v>
      </c>
    </row>
    <row r="6" spans="1:30" x14ac:dyDescent="0.35">
      <c r="G6" s="82" t="s">
        <v>78</v>
      </c>
      <c r="H6" s="75">
        <f>H4+H5</f>
        <v>1255</v>
      </c>
      <c r="I6" s="80" t="s">
        <v>26</v>
      </c>
    </row>
    <row r="7" spans="1:30" x14ac:dyDescent="0.35">
      <c r="B7" s="35" t="s">
        <v>10</v>
      </c>
      <c r="C7" s="2"/>
      <c r="G7" s="83" t="s">
        <v>22</v>
      </c>
      <c r="H7" s="74">
        <f>H3/H6</f>
        <v>3745019.9203187251</v>
      </c>
      <c r="I7" s="84" t="s">
        <v>79</v>
      </c>
    </row>
    <row r="8" spans="1:30" x14ac:dyDescent="0.35">
      <c r="A8" t="s">
        <v>4</v>
      </c>
      <c r="B8" t="s">
        <v>24</v>
      </c>
      <c r="C8" s="7">
        <f>H8</f>
        <v>3164541832.6693225</v>
      </c>
      <c r="G8" s="85" t="s">
        <v>74</v>
      </c>
      <c r="H8" s="86">
        <f>H5*H7</f>
        <v>3164541832.6693225</v>
      </c>
      <c r="I8" s="87" t="s">
        <v>79</v>
      </c>
      <c r="AD8" s="13"/>
    </row>
    <row r="9" spans="1:30" x14ac:dyDescent="0.35">
      <c r="B9" t="s">
        <v>25</v>
      </c>
      <c r="C9" s="7">
        <v>15000000</v>
      </c>
      <c r="AD9" s="13"/>
    </row>
    <row r="10" spans="1:30" x14ac:dyDescent="0.35">
      <c r="B10" t="s">
        <v>12</v>
      </c>
      <c r="C10">
        <v>25</v>
      </c>
    </row>
    <row r="11" spans="1:30" x14ac:dyDescent="0.35">
      <c r="B11" t="s">
        <v>13</v>
      </c>
      <c r="C11" s="3">
        <v>7.0000000000000007E-2</v>
      </c>
      <c r="F11" s="7"/>
    </row>
    <row r="12" spans="1:30" x14ac:dyDescent="0.35">
      <c r="B12" t="s">
        <v>42</v>
      </c>
      <c r="C12">
        <v>8760</v>
      </c>
      <c r="F12" s="13"/>
    </row>
    <row r="14" spans="1:30" x14ac:dyDescent="0.35">
      <c r="A14" t="s">
        <v>16</v>
      </c>
      <c r="B14" t="s">
        <v>23</v>
      </c>
      <c r="C14" s="13">
        <f>PV(C11,C10,-C9)</f>
        <v>174803747.67380577</v>
      </c>
      <c r="D14" s="13"/>
    </row>
    <row r="15" spans="1:30" x14ac:dyDescent="0.35">
      <c r="B15" t="s">
        <v>48</v>
      </c>
      <c r="C15" s="7">
        <f>C8+C14</f>
        <v>3339345580.3431282</v>
      </c>
      <c r="D15" s="14"/>
    </row>
    <row r="17" spans="2:12" x14ac:dyDescent="0.35">
      <c r="B17" s="2" t="s">
        <v>2</v>
      </c>
      <c r="C17" s="1">
        <f>C2</f>
        <v>10</v>
      </c>
      <c r="D17" s="1">
        <f>C3</f>
        <v>14</v>
      </c>
      <c r="E17" s="1">
        <f>C4</f>
        <v>18</v>
      </c>
      <c r="L17" s="7"/>
    </row>
    <row r="18" spans="2:12" x14ac:dyDescent="0.35">
      <c r="B18" t="s">
        <v>49</v>
      </c>
      <c r="C18" s="18">
        <f>PV($C$11,$C$10,-C17*$C$12*1000)</f>
        <v>1020853886.4150258</v>
      </c>
      <c r="D18" s="18">
        <f>PV($C$11,$C$10,-D17*$C$12*1000)</f>
        <v>1429195440.9810359</v>
      </c>
      <c r="E18" s="18">
        <f>PV($C$11,$C$10,-E17*$C$12*1000)</f>
        <v>1837536995.5470464</v>
      </c>
      <c r="J18" s="25"/>
      <c r="L18" s="7"/>
    </row>
    <row r="19" spans="2:12" x14ac:dyDescent="0.35">
      <c r="B19" t="s">
        <v>14</v>
      </c>
      <c r="C19" s="7">
        <f>($C$8+PV($C$11,$C$10,-$C$9))/PV($C$11,$C$10,-C17*$C$12*1000)</f>
        <v>3.2711298108194935</v>
      </c>
      <c r="D19" s="7">
        <f>($C$8+PV($C$11,$C$10,-$C$9))/PV($C$11,$C$10,-D17*$C$12*1000)</f>
        <v>2.3365212934424959</v>
      </c>
      <c r="E19" s="7">
        <f>($C$8+PV($C$11,$C$10,-$C$9))/PV($C$11,$C$10,-E17*$C$12*1000)</f>
        <v>1.8172943393441632</v>
      </c>
      <c r="K19" s="30"/>
      <c r="L19" s="7"/>
    </row>
    <row r="20" spans="2:12" x14ac:dyDescent="0.35">
      <c r="C20" s="7"/>
      <c r="H20" s="14"/>
      <c r="K20" s="30"/>
      <c r="L20" s="7"/>
    </row>
    <row r="21" spans="2:12" x14ac:dyDescent="0.35">
      <c r="C21" s="26" t="s">
        <v>30</v>
      </c>
      <c r="D21" s="11"/>
      <c r="E21" s="103" t="s">
        <v>28</v>
      </c>
      <c r="L21" s="7"/>
    </row>
    <row r="22" spans="2:12" x14ac:dyDescent="0.35">
      <c r="B22" s="35" t="s">
        <v>27</v>
      </c>
      <c r="C22" s="9" t="s">
        <v>55</v>
      </c>
      <c r="D22" s="9" t="s">
        <v>56</v>
      </c>
      <c r="E22" s="104"/>
      <c r="H22" s="14"/>
      <c r="L22" s="7"/>
    </row>
    <row r="23" spans="2:12" x14ac:dyDescent="0.35">
      <c r="B23" t="s">
        <v>45</v>
      </c>
      <c r="C23" s="31">
        <v>70</v>
      </c>
      <c r="D23" s="31">
        <v>110</v>
      </c>
      <c r="E23" s="32">
        <f>E24*1000/($E$2*$E$3)</f>
        <v>154.08806262212826</v>
      </c>
    </row>
    <row r="24" spans="2:12" x14ac:dyDescent="0.35">
      <c r="B24" t="s">
        <v>80</v>
      </c>
      <c r="C24" s="33">
        <f>C23*$E$2*$E$3/1000</f>
        <v>27.257140679999999</v>
      </c>
      <c r="D24" s="33">
        <f>D23*$E$2*$E$3/1000</f>
        <v>42.832649639999993</v>
      </c>
      <c r="E24" s="34">
        <v>60</v>
      </c>
    </row>
    <row r="25" spans="2:12" x14ac:dyDescent="0.35">
      <c r="F25" s="16"/>
    </row>
    <row r="26" spans="2:12" x14ac:dyDescent="0.35">
      <c r="B26" s="4" t="s">
        <v>46</v>
      </c>
      <c r="C26" s="7"/>
      <c r="F26" s="16"/>
      <c r="I26" s="7"/>
    </row>
    <row r="27" spans="2:12" x14ac:dyDescent="0.35">
      <c r="B27" s="2" t="s">
        <v>31</v>
      </c>
      <c r="C27" t="s">
        <v>35</v>
      </c>
      <c r="D27" t="s">
        <v>36</v>
      </c>
      <c r="E27" t="s">
        <v>37</v>
      </c>
      <c r="G27" s="13"/>
    </row>
    <row r="28" spans="2:12" x14ac:dyDescent="0.35">
      <c r="B28" t="s">
        <v>32</v>
      </c>
      <c r="C28" s="61">
        <f>$C$23+C19</f>
        <v>73.271129810819488</v>
      </c>
      <c r="D28" s="61">
        <f>$C$23+D19</f>
        <v>72.336521293442502</v>
      </c>
      <c r="E28" s="61">
        <f>$C$23+E19</f>
        <v>71.817294339344159</v>
      </c>
      <c r="I28" s="8"/>
      <c r="J28" s="8"/>
      <c r="K28" s="8"/>
      <c r="L28" s="8"/>
    </row>
    <row r="29" spans="2:12" x14ac:dyDescent="0.35">
      <c r="B29" t="s">
        <v>33</v>
      </c>
      <c r="C29" s="7">
        <f>$D$23+C19</f>
        <v>113.27112981081949</v>
      </c>
      <c r="D29" s="7">
        <f>$D$23+D19</f>
        <v>112.3365212934425</v>
      </c>
      <c r="E29" s="7">
        <f>$D$23+E19</f>
        <v>111.81729433934416</v>
      </c>
    </row>
    <row r="30" spans="2:12" x14ac:dyDescent="0.35">
      <c r="B30" t="s">
        <v>34</v>
      </c>
      <c r="C30" s="7">
        <f>$E$23+C19</f>
        <v>157.35919243294776</v>
      </c>
      <c r="D30" s="7">
        <f>$E$23+D19</f>
        <v>156.42458391557076</v>
      </c>
      <c r="E30" s="7">
        <f>$E$23+E19</f>
        <v>155.90535696147242</v>
      </c>
      <c r="I30" s="8"/>
    </row>
    <row r="33" spans="2:23" x14ac:dyDescent="0.35">
      <c r="B33" s="4" t="s">
        <v>54</v>
      </c>
      <c r="C33" s="14" t="s">
        <v>52</v>
      </c>
      <c r="I33" s="4" t="s">
        <v>47</v>
      </c>
      <c r="L33" s="4" t="s">
        <v>41</v>
      </c>
      <c r="S33" t="s">
        <v>71</v>
      </c>
    </row>
    <row r="35" spans="2:23" x14ac:dyDescent="0.35">
      <c r="B35" s="15" t="s">
        <v>40</v>
      </c>
      <c r="C35" s="15" t="s">
        <v>44</v>
      </c>
      <c r="D35" s="15" t="s">
        <v>50</v>
      </c>
      <c r="E35" s="15" t="s">
        <v>44</v>
      </c>
      <c r="F35" s="15" t="s">
        <v>51</v>
      </c>
      <c r="G35" s="15" t="s">
        <v>44</v>
      </c>
      <c r="I35" s="15" t="s">
        <v>47</v>
      </c>
      <c r="J35" s="15" t="s">
        <v>44</v>
      </c>
      <c r="L35" s="46" t="s">
        <v>41</v>
      </c>
      <c r="M35" s="46" t="s">
        <v>44</v>
      </c>
      <c r="O35" s="46" t="s">
        <v>53</v>
      </c>
      <c r="P35" s="19" t="s">
        <v>41</v>
      </c>
      <c r="S35" s="15" t="s">
        <v>41</v>
      </c>
      <c r="T35" s="15" t="s">
        <v>44</v>
      </c>
      <c r="V35" s="15" t="s">
        <v>53</v>
      </c>
      <c r="W35" s="15" t="s">
        <v>41</v>
      </c>
    </row>
    <row r="36" spans="2:23" x14ac:dyDescent="0.35">
      <c r="B36" s="37">
        <f t="shared" ref="B36:B46" si="0">$C$11*C36</f>
        <v>3.5000000000000003E-2</v>
      </c>
      <c r="C36">
        <v>0.5</v>
      </c>
      <c r="D36" s="28">
        <f t="shared" ref="D36:D46" si="1">$C$9*E36</f>
        <v>7500000</v>
      </c>
      <c r="E36" s="46">
        <v>0.5</v>
      </c>
      <c r="F36" s="28">
        <f t="shared" ref="F36:F46" si="2">$C$8*G36</f>
        <v>1582270916.3346612</v>
      </c>
      <c r="G36" s="21">
        <v>0.5</v>
      </c>
      <c r="I36" s="47">
        <f t="shared" ref="I36:I46" si="3">$C$12*J36</f>
        <v>8760</v>
      </c>
      <c r="J36" s="55">
        <v>1</v>
      </c>
      <c r="L36" s="47">
        <f>$C$10*M36</f>
        <v>25</v>
      </c>
      <c r="M36" s="48">
        <v>1</v>
      </c>
      <c r="O36" s="58">
        <v>0</v>
      </c>
      <c r="P36" s="59">
        <f t="shared" ref="P36:P58" si="4">($C$8+PV($C$11,L36,-$C$9))/PV($C$11,L36,-$E$17*$C$12*1000)</f>
        <v>1.8172943393441632</v>
      </c>
      <c r="S36" s="17">
        <f>$C$10*T36</f>
        <v>25</v>
      </c>
      <c r="T36" s="19">
        <v>1</v>
      </c>
      <c r="V36" s="63">
        <v>0</v>
      </c>
      <c r="W36" s="64">
        <f>($C$8+PV($C$11,S36,-$C$9))/PV($C$11,S36,-$E$17*$C$12*1000)</f>
        <v>1.8172943393441632</v>
      </c>
    </row>
    <row r="37" spans="2:23" x14ac:dyDescent="0.35">
      <c r="B37" s="37">
        <f t="shared" si="0"/>
        <v>4.2000000000000003E-2</v>
      </c>
      <c r="C37">
        <v>0.6</v>
      </c>
      <c r="D37" s="28">
        <f t="shared" si="1"/>
        <v>9000000</v>
      </c>
      <c r="E37" s="51">
        <v>0.6</v>
      </c>
      <c r="F37" s="28">
        <f t="shared" si="2"/>
        <v>1898725099.6015935</v>
      </c>
      <c r="G37" s="21">
        <v>0.6</v>
      </c>
      <c r="I37" s="20">
        <f t="shared" si="3"/>
        <v>8322</v>
      </c>
      <c r="J37" s="51">
        <v>0.95</v>
      </c>
      <c r="L37" s="20">
        <f t="shared" ref="L37:L56" si="5">$C$10*M37</f>
        <v>27.500000000000004</v>
      </c>
      <c r="M37" s="21">
        <v>1.1000000000000001</v>
      </c>
      <c r="O37" s="60">
        <v>0.1</v>
      </c>
      <c r="P37" s="43">
        <f t="shared" si="4"/>
        <v>1.7588191558396546</v>
      </c>
      <c r="S37" s="20">
        <f t="shared" ref="S37:S47" si="6">$C$10*T37</f>
        <v>30</v>
      </c>
      <c r="T37" s="21">
        <v>1.2</v>
      </c>
      <c r="V37" s="60">
        <v>0.2</v>
      </c>
      <c r="W37" s="43">
        <f t="shared" ref="W37:W47" si="7">($C$8+PV($C$11,S37,-$C$9))/PV($C$11,S37,-$E$17*$C$12*1000)</f>
        <v>1.712449550071546</v>
      </c>
    </row>
    <row r="38" spans="2:23" x14ac:dyDescent="0.35">
      <c r="B38" s="37">
        <f t="shared" si="0"/>
        <v>4.9000000000000002E-2</v>
      </c>
      <c r="C38">
        <v>0.7</v>
      </c>
      <c r="D38" s="28">
        <f t="shared" si="1"/>
        <v>10500000</v>
      </c>
      <c r="E38" s="51">
        <v>0.7</v>
      </c>
      <c r="F38" s="28">
        <f t="shared" si="2"/>
        <v>2215179282.8685255</v>
      </c>
      <c r="G38" s="21">
        <v>0.7</v>
      </c>
      <c r="I38" s="20">
        <f t="shared" si="3"/>
        <v>7884</v>
      </c>
      <c r="J38" s="51">
        <v>0.9</v>
      </c>
      <c r="L38" s="20">
        <f t="shared" si="5"/>
        <v>30</v>
      </c>
      <c r="M38" s="21">
        <v>1.2</v>
      </c>
      <c r="O38" s="60">
        <v>0.2</v>
      </c>
      <c r="P38" s="43">
        <f t="shared" si="4"/>
        <v>1.712449550071546</v>
      </c>
      <c r="S38" s="20">
        <f t="shared" si="6"/>
        <v>35</v>
      </c>
      <c r="T38" s="21">
        <v>1.4</v>
      </c>
      <c r="V38" s="60">
        <v>0.4</v>
      </c>
      <c r="W38" s="43">
        <f t="shared" si="7"/>
        <v>1.6451680378739553</v>
      </c>
    </row>
    <row r="39" spans="2:23" x14ac:dyDescent="0.35">
      <c r="B39" s="37">
        <f t="shared" si="0"/>
        <v>5.6000000000000008E-2</v>
      </c>
      <c r="C39">
        <v>0.8</v>
      </c>
      <c r="D39" s="28">
        <f t="shared" si="1"/>
        <v>12000000</v>
      </c>
      <c r="E39" s="51">
        <v>0.8</v>
      </c>
      <c r="F39" s="28">
        <f t="shared" si="2"/>
        <v>2531633466.135458</v>
      </c>
      <c r="G39" s="21">
        <v>0.8</v>
      </c>
      <c r="I39" s="20">
        <f t="shared" si="3"/>
        <v>7446</v>
      </c>
      <c r="J39" s="51">
        <v>0.85</v>
      </c>
      <c r="L39" s="20">
        <f t="shared" si="5"/>
        <v>32.5</v>
      </c>
      <c r="M39" s="21">
        <v>1.3</v>
      </c>
      <c r="O39" s="60">
        <v>0.3</v>
      </c>
      <c r="P39" s="43">
        <f t="shared" si="4"/>
        <v>1.675262202238192</v>
      </c>
      <c r="S39" s="20">
        <f t="shared" si="6"/>
        <v>40</v>
      </c>
      <c r="T39" s="21">
        <v>1.6</v>
      </c>
      <c r="V39" s="60">
        <v>0.6</v>
      </c>
      <c r="W39" s="43">
        <f t="shared" si="7"/>
        <v>1.6005172361621165</v>
      </c>
    </row>
    <row r="40" spans="2:23" x14ac:dyDescent="0.35">
      <c r="B40" s="37">
        <f t="shared" si="0"/>
        <v>6.3000000000000014E-2</v>
      </c>
      <c r="C40">
        <v>0.9</v>
      </c>
      <c r="D40" s="28">
        <f t="shared" si="1"/>
        <v>13500000</v>
      </c>
      <c r="E40" s="51">
        <v>0.9</v>
      </c>
      <c r="F40" s="28">
        <f t="shared" si="2"/>
        <v>2848087649.4023905</v>
      </c>
      <c r="G40" s="21">
        <v>0.9</v>
      </c>
      <c r="I40" s="20">
        <f t="shared" si="3"/>
        <v>7008</v>
      </c>
      <c r="J40" s="51">
        <v>0.8</v>
      </c>
      <c r="L40" s="20">
        <f t="shared" si="5"/>
        <v>35</v>
      </c>
      <c r="M40" s="21">
        <v>1.4</v>
      </c>
      <c r="O40" s="60">
        <v>0.4</v>
      </c>
      <c r="P40" s="43">
        <f t="shared" si="4"/>
        <v>1.6451680378739553</v>
      </c>
      <c r="S40" s="20">
        <f t="shared" si="6"/>
        <v>45</v>
      </c>
      <c r="T40" s="21">
        <v>1.8</v>
      </c>
      <c r="V40" s="60">
        <v>0.8</v>
      </c>
      <c r="W40" s="43">
        <f t="shared" si="7"/>
        <v>1.5702211256745682</v>
      </c>
    </row>
    <row r="41" spans="2:23" x14ac:dyDescent="0.35">
      <c r="B41" s="38">
        <f t="shared" si="0"/>
        <v>7.0000000000000007E-2</v>
      </c>
      <c r="C41" s="4">
        <v>1</v>
      </c>
      <c r="D41" s="40">
        <f t="shared" si="1"/>
        <v>15000000</v>
      </c>
      <c r="E41" s="54">
        <v>1</v>
      </c>
      <c r="F41" s="40">
        <f t="shared" si="2"/>
        <v>3164541832.6693225</v>
      </c>
      <c r="G41" s="50">
        <v>1</v>
      </c>
      <c r="I41" s="20">
        <f t="shared" si="3"/>
        <v>6570</v>
      </c>
      <c r="J41" s="51">
        <v>0.75</v>
      </c>
      <c r="L41" s="20">
        <f t="shared" si="5"/>
        <v>37.5</v>
      </c>
      <c r="M41" s="21">
        <v>1.5</v>
      </c>
      <c r="O41" s="60">
        <v>0.5</v>
      </c>
      <c r="P41" s="43">
        <f t="shared" si="4"/>
        <v>1.6206354596126304</v>
      </c>
      <c r="S41" s="20">
        <f t="shared" si="6"/>
        <v>50</v>
      </c>
      <c r="T41" s="21">
        <v>2</v>
      </c>
      <c r="V41" s="60">
        <v>1</v>
      </c>
      <c r="W41" s="43">
        <f t="shared" si="7"/>
        <v>1.5493545475457473</v>
      </c>
    </row>
    <row r="42" spans="2:23" x14ac:dyDescent="0.35">
      <c r="B42" s="37">
        <f t="shared" si="0"/>
        <v>7.7000000000000013E-2</v>
      </c>
      <c r="C42">
        <v>1.1000000000000001</v>
      </c>
      <c r="D42" s="28">
        <f t="shared" si="1"/>
        <v>16500000.000000002</v>
      </c>
      <c r="E42" s="51">
        <v>1.1000000000000001</v>
      </c>
      <c r="F42" s="28">
        <f t="shared" si="2"/>
        <v>3480996015.936255</v>
      </c>
      <c r="G42" s="21">
        <v>1.1000000000000001</v>
      </c>
      <c r="I42" s="20">
        <f t="shared" si="3"/>
        <v>6132</v>
      </c>
      <c r="J42" s="51">
        <v>0.7</v>
      </c>
      <c r="L42" s="20">
        <f t="shared" si="5"/>
        <v>40</v>
      </c>
      <c r="M42" s="21">
        <v>1.6</v>
      </c>
      <c r="O42" s="60">
        <v>0.6</v>
      </c>
      <c r="P42" s="43">
        <f t="shared" si="4"/>
        <v>1.6005172361621165</v>
      </c>
      <c r="S42" s="20">
        <f t="shared" si="6"/>
        <v>55.000000000000007</v>
      </c>
      <c r="T42" s="21">
        <v>2.2000000000000002</v>
      </c>
      <c r="V42" s="60">
        <v>1.2</v>
      </c>
      <c r="W42" s="43">
        <f t="shared" si="7"/>
        <v>1.5348338768744916</v>
      </c>
    </row>
    <row r="43" spans="2:23" x14ac:dyDescent="0.35">
      <c r="B43" s="37">
        <f t="shared" si="0"/>
        <v>8.4000000000000005E-2</v>
      </c>
      <c r="C43">
        <v>1.2</v>
      </c>
      <c r="D43" s="28">
        <f t="shared" si="1"/>
        <v>18000000</v>
      </c>
      <c r="E43" s="51">
        <v>1.2</v>
      </c>
      <c r="F43" s="28">
        <f t="shared" si="2"/>
        <v>3797450199.203187</v>
      </c>
      <c r="G43" s="21">
        <v>1.2</v>
      </c>
      <c r="I43" s="20">
        <f t="shared" si="3"/>
        <v>5694</v>
      </c>
      <c r="J43" s="51">
        <v>0.65</v>
      </c>
      <c r="L43" s="20">
        <f t="shared" si="5"/>
        <v>42.5</v>
      </c>
      <c r="M43" s="21">
        <v>1.7</v>
      </c>
      <c r="O43" s="60">
        <v>0.7</v>
      </c>
      <c r="P43" s="43">
        <f t="shared" si="4"/>
        <v>1.5839383549925856</v>
      </c>
      <c r="S43" s="20">
        <f t="shared" si="6"/>
        <v>60</v>
      </c>
      <c r="T43" s="21">
        <v>2.4</v>
      </c>
      <c r="V43" s="60">
        <v>1.4</v>
      </c>
      <c r="W43" s="43">
        <f t="shared" si="7"/>
        <v>1.524656670493709</v>
      </c>
    </row>
    <row r="44" spans="2:23" x14ac:dyDescent="0.35">
      <c r="B44" s="37">
        <f t="shared" si="0"/>
        <v>9.1000000000000011E-2</v>
      </c>
      <c r="C44">
        <v>1.3</v>
      </c>
      <c r="D44" s="28">
        <f t="shared" si="1"/>
        <v>19500000</v>
      </c>
      <c r="E44" s="51">
        <v>1.3</v>
      </c>
      <c r="F44" s="28">
        <f t="shared" si="2"/>
        <v>4113904382.4701195</v>
      </c>
      <c r="G44" s="21">
        <v>1.3</v>
      </c>
      <c r="I44" s="20">
        <f t="shared" si="3"/>
        <v>5256</v>
      </c>
      <c r="J44" s="51">
        <v>0.6</v>
      </c>
      <c r="L44" s="20">
        <f t="shared" si="5"/>
        <v>45</v>
      </c>
      <c r="M44" s="21">
        <v>1.8</v>
      </c>
      <c r="O44" s="60">
        <v>0.8</v>
      </c>
      <c r="P44" s="43">
        <f t="shared" si="4"/>
        <v>1.5702211256745682</v>
      </c>
      <c r="S44" s="20">
        <f t="shared" si="6"/>
        <v>65</v>
      </c>
      <c r="T44" s="21">
        <v>2.6</v>
      </c>
      <c r="V44" s="60">
        <v>1.6</v>
      </c>
      <c r="W44" s="43">
        <f t="shared" si="7"/>
        <v>1.5174878879490445</v>
      </c>
    </row>
    <row r="45" spans="2:23" x14ac:dyDescent="0.35">
      <c r="B45" s="37">
        <f t="shared" si="0"/>
        <v>9.8000000000000004E-2</v>
      </c>
      <c r="C45">
        <v>1.4</v>
      </c>
      <c r="D45" s="28">
        <f t="shared" si="1"/>
        <v>21000000</v>
      </c>
      <c r="E45" s="51">
        <v>1.4</v>
      </c>
      <c r="F45" s="28">
        <f t="shared" si="2"/>
        <v>4430358565.737051</v>
      </c>
      <c r="G45" s="21">
        <v>1.4</v>
      </c>
      <c r="I45" s="20">
        <f t="shared" si="3"/>
        <v>4818</v>
      </c>
      <c r="J45" s="51">
        <v>0.55000000000000004</v>
      </c>
      <c r="L45" s="20">
        <f t="shared" si="5"/>
        <v>47.5</v>
      </c>
      <c r="M45" s="21">
        <v>1.9</v>
      </c>
      <c r="O45" s="60">
        <v>0.9</v>
      </c>
      <c r="P45" s="43">
        <f t="shared" si="4"/>
        <v>1.5588338099026189</v>
      </c>
      <c r="S45" s="20">
        <f t="shared" si="6"/>
        <v>70</v>
      </c>
      <c r="T45" s="21">
        <v>2.8</v>
      </c>
      <c r="V45" s="60">
        <v>1.8</v>
      </c>
      <c r="W45" s="43">
        <f t="shared" si="7"/>
        <v>1.5124203955982665</v>
      </c>
    </row>
    <row r="46" spans="2:23" x14ac:dyDescent="0.35">
      <c r="B46" s="39">
        <f t="shared" si="0"/>
        <v>0.10500000000000001</v>
      </c>
      <c r="C46" s="52">
        <v>1.5</v>
      </c>
      <c r="D46" s="29">
        <f t="shared" si="1"/>
        <v>22500000</v>
      </c>
      <c r="E46" s="52">
        <v>1.5</v>
      </c>
      <c r="F46" s="29">
        <f t="shared" si="2"/>
        <v>4746812749.0039835</v>
      </c>
      <c r="G46" s="52">
        <v>1.5</v>
      </c>
      <c r="I46" s="22">
        <f t="shared" si="3"/>
        <v>4380</v>
      </c>
      <c r="J46" s="52">
        <v>0.5</v>
      </c>
      <c r="L46" s="20">
        <f t="shared" si="5"/>
        <v>50</v>
      </c>
      <c r="M46" s="21">
        <v>2</v>
      </c>
      <c r="O46" s="60">
        <v>1</v>
      </c>
      <c r="P46" s="43">
        <f t="shared" si="4"/>
        <v>1.5493545475457473</v>
      </c>
      <c r="S46" s="20">
        <f t="shared" si="6"/>
        <v>75</v>
      </c>
      <c r="T46" s="21">
        <v>3</v>
      </c>
      <c r="V46" s="60">
        <v>2</v>
      </c>
      <c r="W46" s="43">
        <f t="shared" si="7"/>
        <v>1.5088293378958604</v>
      </c>
    </row>
    <row r="47" spans="2:23" x14ac:dyDescent="0.35">
      <c r="L47" s="20">
        <f t="shared" si="5"/>
        <v>52.5</v>
      </c>
      <c r="M47" s="21">
        <v>2.1</v>
      </c>
      <c r="O47" s="60">
        <v>1.1000000000000001</v>
      </c>
      <c r="P47" s="43">
        <f t="shared" si="4"/>
        <v>1.5414454863743168</v>
      </c>
      <c r="S47" s="22">
        <f t="shared" si="6"/>
        <v>80</v>
      </c>
      <c r="T47" s="23">
        <v>3.2</v>
      </c>
      <c r="V47" s="62">
        <v>2.2000000000000002</v>
      </c>
      <c r="W47" s="45">
        <f t="shared" si="7"/>
        <v>1.5062800560735334</v>
      </c>
    </row>
    <row r="48" spans="2:23" x14ac:dyDescent="0.35">
      <c r="B48" s="15" t="s">
        <v>53</v>
      </c>
      <c r="C48" s="46" t="s">
        <v>40</v>
      </c>
      <c r="D48" s="15" t="s">
        <v>50</v>
      </c>
      <c r="E48" s="46" t="s">
        <v>51</v>
      </c>
      <c r="I48" s="15" t="s">
        <v>53</v>
      </c>
      <c r="J48" s="41" t="s">
        <v>47</v>
      </c>
      <c r="L48" s="20">
        <f t="shared" si="5"/>
        <v>55.000000000000007</v>
      </c>
      <c r="M48" s="21">
        <v>2.2000000000000002</v>
      </c>
      <c r="O48" s="60">
        <v>1.2</v>
      </c>
      <c r="P48" s="43">
        <f t="shared" si="4"/>
        <v>1.5348338768744916</v>
      </c>
    </row>
    <row r="49" spans="1:17" x14ac:dyDescent="0.35">
      <c r="B49" s="42">
        <v>-0.5</v>
      </c>
      <c r="C49" s="27">
        <f t="shared" ref="C49:C59" si="8">($C$8+PV(B36,$C$10,-$C$9))/PV(B36,$C$10,-$E$17*$C$12*1000)</f>
        <v>1.3128204161282875</v>
      </c>
      <c r="D49" s="7">
        <f t="shared" ref="D49:D54" si="9">($C$8+PV($C$11,$C$10,-D36))/PV($C$11,$C$10,-$E$17*$C$12*1000)</f>
        <v>1.7697296513685163</v>
      </c>
      <c r="E49" s="27">
        <f t="shared" ref="E49:E54" si="10">(F36+PV($C$11,$C$10,-$C$9))/PV($C$11,$C$10,-$E$17*$C$12*1000)</f>
        <v>0.95621185764772842</v>
      </c>
      <c r="F49" s="5"/>
      <c r="I49" s="56">
        <v>0</v>
      </c>
      <c r="J49" s="49">
        <f t="shared" ref="J49:J59" si="11">($C$8+PV($C$11,$C$10,-$C$9))/PV($C$11,$C$10,-$E$17*I36*1000)</f>
        <v>1.8172943393441632</v>
      </c>
      <c r="L49" s="20">
        <f t="shared" si="5"/>
        <v>57.499999999999993</v>
      </c>
      <c r="M49" s="21">
        <v>2.2999999999999998</v>
      </c>
      <c r="O49" s="60">
        <v>1.3</v>
      </c>
      <c r="P49" s="43">
        <f t="shared" si="4"/>
        <v>1.52929802131005</v>
      </c>
    </row>
    <row r="50" spans="1:17" x14ac:dyDescent="0.35">
      <c r="B50" s="42">
        <v>-0.4</v>
      </c>
      <c r="C50" s="28">
        <f t="shared" si="8"/>
        <v>1.4071106214146665</v>
      </c>
      <c r="D50" s="7">
        <f t="shared" si="9"/>
        <v>1.7792425889636456</v>
      </c>
      <c r="E50" s="28">
        <f t="shared" si="10"/>
        <v>1.1284283539870155</v>
      </c>
      <c r="F50" s="5"/>
      <c r="I50" s="57">
        <v>-0.05</v>
      </c>
      <c r="J50" s="43">
        <f t="shared" si="11"/>
        <v>1.9129414098359612</v>
      </c>
      <c r="L50" s="20">
        <f t="shared" si="5"/>
        <v>60</v>
      </c>
      <c r="M50" s="21">
        <v>2.4</v>
      </c>
      <c r="O50" s="60">
        <v>1.4</v>
      </c>
      <c r="P50" s="43">
        <f t="shared" si="4"/>
        <v>1.524656670493709</v>
      </c>
    </row>
    <row r="51" spans="1:17" x14ac:dyDescent="0.35">
      <c r="A51" s="5"/>
      <c r="B51" s="42">
        <v>-0.3</v>
      </c>
      <c r="C51" s="28">
        <f t="shared" si="8"/>
        <v>1.5048637202900936</v>
      </c>
      <c r="D51" s="7">
        <f t="shared" si="9"/>
        <v>1.7887555265587751</v>
      </c>
      <c r="E51" s="28">
        <f t="shared" si="10"/>
        <v>1.3006448503263022</v>
      </c>
      <c r="F51" s="5"/>
      <c r="I51" s="57">
        <v>-0.1</v>
      </c>
      <c r="J51" s="43">
        <f t="shared" si="11"/>
        <v>2.019215932604626</v>
      </c>
      <c r="L51" s="20">
        <f t="shared" si="5"/>
        <v>62.5</v>
      </c>
      <c r="M51" s="21">
        <v>2.5</v>
      </c>
      <c r="O51" s="60">
        <v>1.5</v>
      </c>
      <c r="P51" s="43">
        <f t="shared" si="4"/>
        <v>1.5207609120391374</v>
      </c>
    </row>
    <row r="52" spans="1:17" x14ac:dyDescent="0.35">
      <c r="A52" s="5"/>
      <c r="B52" s="42">
        <v>-0.2</v>
      </c>
      <c r="C52" s="28">
        <f t="shared" si="8"/>
        <v>1.6059228653753952</v>
      </c>
      <c r="D52" s="7">
        <f t="shared" si="9"/>
        <v>1.7982684641539046</v>
      </c>
      <c r="E52" s="28">
        <f t="shared" si="10"/>
        <v>1.4728613466655893</v>
      </c>
      <c r="F52" s="5"/>
      <c r="I52" s="57">
        <v>-0.15</v>
      </c>
      <c r="J52" s="43">
        <f t="shared" si="11"/>
        <v>2.1379933404048979</v>
      </c>
      <c r="L52" s="20">
        <f t="shared" si="5"/>
        <v>65</v>
      </c>
      <c r="M52" s="21">
        <v>2.6</v>
      </c>
      <c r="O52" s="60">
        <v>1.6</v>
      </c>
      <c r="P52" s="43">
        <f t="shared" si="4"/>
        <v>1.5174878879490445</v>
      </c>
    </row>
    <row r="53" spans="1:17" x14ac:dyDescent="0.35">
      <c r="A53" s="5"/>
      <c r="B53" s="42">
        <v>-0.1</v>
      </c>
      <c r="C53" s="28">
        <f t="shared" si="8"/>
        <v>1.7101231814575846</v>
      </c>
      <c r="D53" s="7">
        <f t="shared" si="9"/>
        <v>1.8077814017490337</v>
      </c>
      <c r="E53" s="28">
        <f t="shared" si="10"/>
        <v>1.6450778430048763</v>
      </c>
      <c r="F53" s="5"/>
      <c r="I53" s="57">
        <v>-0.2</v>
      </c>
      <c r="J53" s="43">
        <f t="shared" si="11"/>
        <v>2.2716179241802039</v>
      </c>
      <c r="L53" s="20">
        <f t="shared" si="5"/>
        <v>67.5</v>
      </c>
      <c r="M53" s="21">
        <v>2.7</v>
      </c>
      <c r="O53" s="60">
        <v>1.7</v>
      </c>
      <c r="P53" s="43">
        <f t="shared" si="4"/>
        <v>1.5147358751915128</v>
      </c>
    </row>
    <row r="54" spans="1:17" x14ac:dyDescent="0.35">
      <c r="A54" s="5"/>
      <c r="B54" s="44">
        <v>0</v>
      </c>
      <c r="C54" s="40">
        <f t="shared" si="8"/>
        <v>1.8172943393441632</v>
      </c>
      <c r="D54" s="12">
        <f t="shared" si="9"/>
        <v>1.8172943393441632</v>
      </c>
      <c r="E54" s="40">
        <f t="shared" si="10"/>
        <v>1.8172943393441632</v>
      </c>
      <c r="F54" s="5"/>
      <c r="I54" s="57">
        <v>-0.25</v>
      </c>
      <c r="J54" s="43">
        <f t="shared" si="11"/>
        <v>2.4230591191255511</v>
      </c>
      <c r="L54" s="20">
        <f t="shared" si="5"/>
        <v>70</v>
      </c>
      <c r="M54" s="21">
        <v>2.8</v>
      </c>
      <c r="O54" s="60">
        <v>1.8</v>
      </c>
      <c r="P54" s="43">
        <f t="shared" si="4"/>
        <v>1.5124203955982665</v>
      </c>
    </row>
    <row r="55" spans="1:17" x14ac:dyDescent="0.35">
      <c r="A55" s="5"/>
      <c r="B55" s="42">
        <v>0.1</v>
      </c>
      <c r="C55" s="28">
        <f t="shared" si="8"/>
        <v>1.9272629748283512</v>
      </c>
      <c r="D55" s="7">
        <f t="shared" ref="D55:D58" si="12">($C$8+PV($C$11,$C$10,-D42))/PV($C$11,$C$10,-$E$17*$C$12*1000)</f>
        <v>1.8268072769392927</v>
      </c>
      <c r="E55" s="28">
        <f t="shared" ref="E55:E59" si="13">(F42+PV($C$11,$C$10,-$C$9))/PV($C$11,$C$10,-$E$17*$C$12*1000)</f>
        <v>1.9895108356834503</v>
      </c>
      <c r="F55" s="5"/>
      <c r="I55" s="57">
        <v>-0.3</v>
      </c>
      <c r="J55" s="43">
        <f t="shared" si="11"/>
        <v>2.5961347704916617</v>
      </c>
      <c r="L55" s="20">
        <f t="shared" si="5"/>
        <v>72.5</v>
      </c>
      <c r="M55" s="21">
        <v>2.9</v>
      </c>
      <c r="O55" s="60">
        <v>1.9</v>
      </c>
      <c r="P55" s="43">
        <f t="shared" si="4"/>
        <v>1.5104711128087156</v>
      </c>
    </row>
    <row r="56" spans="1:17" x14ac:dyDescent="0.35">
      <c r="A56" s="5"/>
      <c r="B56" s="42">
        <v>0.2</v>
      </c>
      <c r="C56" s="28">
        <f t="shared" si="8"/>
        <v>2.0398549068986389</v>
      </c>
      <c r="D56" s="7">
        <f t="shared" si="12"/>
        <v>1.836320214534422</v>
      </c>
      <c r="E56" s="28">
        <f t="shared" si="13"/>
        <v>2.1617273320227373</v>
      </c>
      <c r="F56" s="5"/>
      <c r="I56" s="57">
        <v>-0.35</v>
      </c>
      <c r="J56" s="43">
        <f t="shared" si="11"/>
        <v>2.7958374451448664</v>
      </c>
      <c r="L56" s="20">
        <f t="shared" si="5"/>
        <v>75</v>
      </c>
      <c r="M56" s="21">
        <v>3</v>
      </c>
      <c r="O56" s="60">
        <v>2</v>
      </c>
      <c r="P56" s="43">
        <f t="shared" si="4"/>
        <v>1.5088293378958604</v>
      </c>
    </row>
    <row r="57" spans="1:17" x14ac:dyDescent="0.35">
      <c r="A57" s="5"/>
      <c r="B57" s="42">
        <v>0.3</v>
      </c>
      <c r="C57" s="28">
        <f t="shared" si="8"/>
        <v>2.1548971227111124</v>
      </c>
      <c r="D57" s="7">
        <f t="shared" si="12"/>
        <v>1.8458331521295512</v>
      </c>
      <c r="E57" s="28">
        <f t="shared" si="13"/>
        <v>2.333943828362024</v>
      </c>
      <c r="F57" s="5"/>
      <c r="I57" s="57">
        <v>-0.4</v>
      </c>
      <c r="J57" s="43">
        <f t="shared" si="11"/>
        <v>3.0288238989069387</v>
      </c>
      <c r="L57" s="20">
        <f t="shared" ref="L57:L58" si="14">$C$10*M57</f>
        <v>77.5</v>
      </c>
      <c r="M57" s="21">
        <v>3.1</v>
      </c>
      <c r="O57" s="60">
        <v>2.1</v>
      </c>
      <c r="P57" s="43">
        <f t="shared" si="4"/>
        <v>1.5074460106475585</v>
      </c>
    </row>
    <row r="58" spans="1:17" x14ac:dyDescent="0.35">
      <c r="A58" s="5"/>
      <c r="B58" s="42">
        <v>0.4</v>
      </c>
      <c r="C58" s="28">
        <f t="shared" si="8"/>
        <v>2.2722195095723356</v>
      </c>
      <c r="D58" s="7">
        <f t="shared" si="12"/>
        <v>1.8553460897246807</v>
      </c>
      <c r="E58" s="28">
        <f t="shared" si="13"/>
        <v>2.5061603247013111</v>
      </c>
      <c r="F58" s="5"/>
      <c r="I58" s="57">
        <v>-0.45</v>
      </c>
      <c r="J58" s="43">
        <f t="shared" si="11"/>
        <v>3.3041715260802964</v>
      </c>
      <c r="L58" s="22">
        <f t="shared" si="14"/>
        <v>80</v>
      </c>
      <c r="M58" s="23">
        <v>3.2</v>
      </c>
      <c r="O58" s="62">
        <v>2.2000000000000002</v>
      </c>
      <c r="P58" s="45">
        <f t="shared" si="4"/>
        <v>1.5062800560735334</v>
      </c>
    </row>
    <row r="59" spans="1:17" x14ac:dyDescent="0.35">
      <c r="A59" s="5"/>
      <c r="B59" s="53">
        <v>0.5</v>
      </c>
      <c r="C59" s="29">
        <f t="shared" si="8"/>
        <v>2.3916563256751777</v>
      </c>
      <c r="D59" s="36">
        <f>($C$8+PV($C$11,$C$10,-D46))/PV($C$11,$C$10,-$E$17*$C$12*1000)</f>
        <v>1.8648590273198102</v>
      </c>
      <c r="E59" s="29">
        <f t="shared" si="13"/>
        <v>2.6783768210405978</v>
      </c>
      <c r="F59" s="5"/>
      <c r="I59" s="53">
        <v>-0.5</v>
      </c>
      <c r="J59" s="45">
        <f t="shared" si="11"/>
        <v>3.6345886786883264</v>
      </c>
      <c r="P59" s="5"/>
      <c r="Q59" s="7"/>
    </row>
    <row r="60" spans="1:17" x14ac:dyDescent="0.35">
      <c r="A60" s="5"/>
      <c r="P60" s="5"/>
      <c r="Q60" s="7"/>
    </row>
    <row r="61" spans="1:17" x14ac:dyDescent="0.35">
      <c r="A61" s="5"/>
      <c r="P61" s="5"/>
      <c r="Q61" s="7"/>
    </row>
    <row r="87" spans="10:10" x14ac:dyDescent="0.35">
      <c r="J87" s="24"/>
    </row>
    <row r="88" spans="10:10" x14ac:dyDescent="0.35">
      <c r="J88" s="24"/>
    </row>
    <row r="89" spans="10:10" x14ac:dyDescent="0.35">
      <c r="J89" s="24"/>
    </row>
    <row r="90" spans="10:10" x14ac:dyDescent="0.35">
      <c r="J90" s="24"/>
    </row>
    <row r="91" spans="10:10" x14ac:dyDescent="0.35">
      <c r="J91" s="24"/>
    </row>
    <row r="92" spans="10:10" x14ac:dyDescent="0.35">
      <c r="J92" s="24"/>
    </row>
    <row r="93" spans="10:10" x14ac:dyDescent="0.35">
      <c r="J93" s="24"/>
    </row>
    <row r="94" spans="10:10" x14ac:dyDescent="0.35">
      <c r="J94" s="24"/>
    </row>
    <row r="95" spans="10:10" x14ac:dyDescent="0.35">
      <c r="J95" s="24"/>
    </row>
    <row r="97" spans="2:12" x14ac:dyDescent="0.35">
      <c r="B97" s="5"/>
      <c r="C97" s="7"/>
      <c r="D97" s="7"/>
      <c r="E97" s="7"/>
      <c r="H97" s="5"/>
      <c r="I97" s="7"/>
      <c r="K97" s="5"/>
      <c r="L97" s="7"/>
    </row>
    <row r="98" spans="2:12" x14ac:dyDescent="0.35">
      <c r="B98" s="5"/>
      <c r="C98" s="7"/>
      <c r="D98" s="7"/>
      <c r="E98" s="7"/>
      <c r="H98" s="5"/>
      <c r="I98" s="7"/>
      <c r="K98" s="5"/>
      <c r="L98" s="7"/>
    </row>
    <row r="99" spans="2:12" x14ac:dyDescent="0.35">
      <c r="B99" s="5"/>
      <c r="C99" s="7"/>
      <c r="D99" s="7"/>
      <c r="E99" s="7"/>
      <c r="H99" s="5"/>
      <c r="I99" s="7"/>
      <c r="K99" s="5"/>
      <c r="L99" s="7"/>
    </row>
    <row r="100" spans="2:12" x14ac:dyDescent="0.35">
      <c r="B100" s="5"/>
      <c r="C100" s="7"/>
      <c r="D100" s="7"/>
      <c r="E100" s="7"/>
      <c r="H100" s="5"/>
      <c r="I100" s="7"/>
      <c r="K100" s="5"/>
      <c r="L100" s="7"/>
    </row>
    <row r="101" spans="2:12" x14ac:dyDescent="0.35">
      <c r="B101" s="5"/>
      <c r="C101" s="7"/>
      <c r="D101" s="7"/>
      <c r="E101" s="7"/>
      <c r="H101" s="5"/>
      <c r="I101" s="7"/>
      <c r="K101" s="5"/>
      <c r="L101" s="7"/>
    </row>
    <row r="102" spans="2:12" x14ac:dyDescent="0.35">
      <c r="B102" s="5"/>
      <c r="C102" s="7"/>
      <c r="D102" s="7"/>
      <c r="E102" s="7"/>
      <c r="H102" s="5"/>
      <c r="I102" s="7"/>
      <c r="K102" s="5"/>
      <c r="L102" s="7"/>
    </row>
    <row r="103" spans="2:12" x14ac:dyDescent="0.35">
      <c r="B103" s="5"/>
      <c r="C103" s="7"/>
      <c r="D103" s="7"/>
      <c r="E103" s="7"/>
      <c r="H103" s="5"/>
      <c r="I103" s="7"/>
      <c r="K103" s="5"/>
      <c r="L103" s="7"/>
    </row>
    <row r="104" spans="2:12" x14ac:dyDescent="0.35">
      <c r="B104" s="5"/>
      <c r="C104" s="7"/>
      <c r="D104" s="7"/>
      <c r="E104" s="7"/>
      <c r="H104" s="5"/>
      <c r="I104" s="7"/>
      <c r="K104" s="5"/>
      <c r="L104" s="7"/>
    </row>
    <row r="105" spans="2:12" x14ac:dyDescent="0.35">
      <c r="B105" s="5"/>
      <c r="C105" s="7"/>
      <c r="D105" s="7"/>
      <c r="E105" s="7"/>
      <c r="H105" s="5"/>
      <c r="I105" s="7"/>
      <c r="K105" s="5"/>
      <c r="L105" s="7"/>
    </row>
    <row r="106" spans="2:12" x14ac:dyDescent="0.35">
      <c r="B106" s="5"/>
      <c r="C106" s="7"/>
      <c r="D106" s="7"/>
      <c r="E106" s="7"/>
      <c r="H106" s="5"/>
      <c r="I106" s="7"/>
      <c r="K106" s="5"/>
      <c r="L106" s="7"/>
    </row>
    <row r="107" spans="2:12" x14ac:dyDescent="0.35">
      <c r="B107" s="5"/>
      <c r="C107" s="7"/>
      <c r="D107" s="7"/>
      <c r="E107" s="7"/>
      <c r="H107" s="5"/>
      <c r="I107" s="7"/>
      <c r="K107" s="5"/>
      <c r="L107" s="7"/>
    </row>
    <row r="115" spans="3:8" x14ac:dyDescent="0.35">
      <c r="C115" s="6"/>
      <c r="H115" s="7"/>
    </row>
    <row r="116" spans="3:8" x14ac:dyDescent="0.35">
      <c r="C116" s="6"/>
      <c r="H116" s="7"/>
    </row>
    <row r="117" spans="3:8" x14ac:dyDescent="0.35">
      <c r="C117" s="6"/>
      <c r="H117" s="7"/>
    </row>
    <row r="118" spans="3:8" x14ac:dyDescent="0.35">
      <c r="C118" s="6"/>
      <c r="H118" s="7"/>
    </row>
    <row r="119" spans="3:8" x14ac:dyDescent="0.35">
      <c r="C119" s="6"/>
      <c r="H119" s="7"/>
    </row>
    <row r="120" spans="3:8" x14ac:dyDescent="0.35">
      <c r="C120" s="6"/>
      <c r="D120" s="7"/>
      <c r="E120" s="7"/>
      <c r="F120" s="7"/>
      <c r="H120" s="7"/>
    </row>
    <row r="121" spans="3:8" x14ac:dyDescent="0.35">
      <c r="C121" s="6"/>
      <c r="D121" s="7"/>
      <c r="E121" s="7"/>
      <c r="F121" s="7"/>
      <c r="H121" s="7"/>
    </row>
    <row r="122" spans="3:8" x14ac:dyDescent="0.35">
      <c r="C122" s="6"/>
      <c r="D122" s="7"/>
      <c r="E122" s="7"/>
      <c r="F122" s="7"/>
      <c r="H122" s="7"/>
    </row>
    <row r="123" spans="3:8" x14ac:dyDescent="0.35">
      <c r="C123" s="6"/>
      <c r="D123" s="7"/>
      <c r="E123" s="7"/>
      <c r="F123" s="7"/>
      <c r="H123" s="7"/>
    </row>
    <row r="124" spans="3:8" x14ac:dyDescent="0.35">
      <c r="C124" s="6"/>
      <c r="D124" s="7"/>
      <c r="E124" s="7"/>
      <c r="F124" s="7"/>
      <c r="H124" s="7"/>
    </row>
    <row r="125" spans="3:8" x14ac:dyDescent="0.35">
      <c r="C125" s="6"/>
      <c r="D125" s="7"/>
      <c r="E125" s="7"/>
      <c r="F125" s="7"/>
      <c r="G125" s="7"/>
      <c r="H125" s="7"/>
    </row>
    <row r="126" spans="3:8" x14ac:dyDescent="0.35">
      <c r="C126" s="6"/>
      <c r="D126" s="7"/>
      <c r="E126" s="7"/>
      <c r="F126" s="7"/>
      <c r="H126" s="7"/>
    </row>
    <row r="127" spans="3:8" x14ac:dyDescent="0.35">
      <c r="C127" s="6"/>
      <c r="D127" s="7"/>
      <c r="E127" s="7"/>
      <c r="F127" s="7"/>
      <c r="G127" s="7"/>
      <c r="H127" s="7"/>
    </row>
    <row r="128" spans="3:8" x14ac:dyDescent="0.35">
      <c r="C128" s="6"/>
      <c r="D128" s="7"/>
      <c r="E128" s="7"/>
      <c r="F128" s="7"/>
      <c r="H128" s="7"/>
    </row>
    <row r="129" spans="3:10" x14ac:dyDescent="0.35">
      <c r="C129" s="6"/>
      <c r="D129" s="7"/>
      <c r="E129" s="7"/>
      <c r="F129" s="7"/>
      <c r="G129" s="7"/>
      <c r="H129" s="7"/>
    </row>
    <row r="130" spans="3:10" x14ac:dyDescent="0.35">
      <c r="C130" s="6"/>
      <c r="D130" s="7"/>
      <c r="E130" s="7"/>
      <c r="F130" s="7"/>
      <c r="H130" s="7"/>
    </row>
    <row r="131" spans="3:10" x14ac:dyDescent="0.35">
      <c r="C131" s="6"/>
      <c r="G131" s="7"/>
      <c r="H131" s="7"/>
    </row>
    <row r="132" spans="3:10" x14ac:dyDescent="0.35">
      <c r="C132" s="6"/>
      <c r="H132" s="7"/>
      <c r="I132" s="5"/>
      <c r="J132" s="7"/>
    </row>
    <row r="133" spans="3:10" x14ac:dyDescent="0.35">
      <c r="C133" s="6"/>
      <c r="G133" s="7"/>
      <c r="H133" s="7"/>
      <c r="I133" s="5"/>
      <c r="J133" s="7"/>
    </row>
    <row r="134" spans="3:10" x14ac:dyDescent="0.35">
      <c r="C134" s="6"/>
      <c r="H134" s="7"/>
      <c r="I134" s="5"/>
      <c r="J134" s="7"/>
    </row>
    <row r="135" spans="3:10" x14ac:dyDescent="0.35">
      <c r="C135" s="6"/>
      <c r="G135" s="7"/>
      <c r="H135" s="7"/>
      <c r="I135" s="5"/>
      <c r="J135" s="7"/>
    </row>
    <row r="136" spans="3:10" x14ac:dyDescent="0.35">
      <c r="C136" s="6"/>
      <c r="H136" s="7"/>
      <c r="I136" s="5"/>
      <c r="J136" s="7"/>
    </row>
    <row r="137" spans="3:10" x14ac:dyDescent="0.35">
      <c r="C137" s="6"/>
      <c r="G137" s="7"/>
      <c r="H137" s="7"/>
      <c r="I137" s="5"/>
      <c r="J137" s="7"/>
    </row>
    <row r="138" spans="3:10" x14ac:dyDescent="0.35">
      <c r="C138" s="6"/>
      <c r="H138" s="7"/>
      <c r="I138" s="5"/>
      <c r="J138" s="7"/>
    </row>
    <row r="139" spans="3:10" x14ac:dyDescent="0.35">
      <c r="C139" s="6"/>
      <c r="G139" s="7"/>
      <c r="H139" s="7"/>
      <c r="I139" s="5"/>
      <c r="J139" s="7"/>
    </row>
    <row r="140" spans="3:10" x14ac:dyDescent="0.35">
      <c r="C140" s="6"/>
      <c r="H140" s="7"/>
      <c r="I140" s="5"/>
      <c r="J140" s="7"/>
    </row>
    <row r="141" spans="3:10" x14ac:dyDescent="0.35">
      <c r="C141" s="6"/>
      <c r="G141" s="7"/>
      <c r="H141" s="7"/>
      <c r="I141" s="5"/>
      <c r="J141" s="7"/>
    </row>
    <row r="142" spans="3:10" x14ac:dyDescent="0.35">
      <c r="C142" s="6"/>
      <c r="H142" s="7"/>
      <c r="I142" s="5"/>
      <c r="J142" s="7"/>
    </row>
    <row r="143" spans="3:10" x14ac:dyDescent="0.35">
      <c r="C143" s="6"/>
      <c r="G143" s="7"/>
      <c r="H143" s="7"/>
    </row>
    <row r="144" spans="3:10" x14ac:dyDescent="0.35">
      <c r="C144" s="6"/>
      <c r="H144" s="7"/>
    </row>
    <row r="145" spans="3:8" x14ac:dyDescent="0.35">
      <c r="C145" s="6"/>
      <c r="G145" s="7"/>
      <c r="H145" s="7"/>
    </row>
  </sheetData>
  <sortState xmlns:xlrd2="http://schemas.microsoft.com/office/spreadsheetml/2017/richdata2" ref="H97:I107">
    <sortCondition descending="1" ref="I97:I107"/>
  </sortState>
  <mergeCells count="1">
    <mergeCell ref="E21:E22"/>
  </mergeCells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0E4CE-3CEA-6A4C-8CFA-5DF4C7857783}">
  <dimension ref="B1:H41"/>
  <sheetViews>
    <sheetView zoomScale="50" workbookViewId="0">
      <selection activeCell="K32" sqref="K32"/>
    </sheetView>
  </sheetViews>
  <sheetFormatPr baseColWidth="10" defaultRowHeight="14.5" x14ac:dyDescent="0.35"/>
  <cols>
    <col min="1" max="1" width="10.90625" customWidth="1"/>
    <col min="2" max="2" width="39.81640625" customWidth="1"/>
    <col min="3" max="3" width="37.1796875" bestFit="1" customWidth="1"/>
    <col min="4" max="4" width="36.90625" customWidth="1"/>
    <col min="5" max="5" width="22.6328125" customWidth="1"/>
    <col min="6" max="6" width="21.7265625" customWidth="1"/>
    <col min="7" max="7" width="39.90625" bestFit="1" customWidth="1"/>
  </cols>
  <sheetData>
    <row r="1" spans="2:8" x14ac:dyDescent="0.35">
      <c r="B1" t="s">
        <v>72</v>
      </c>
    </row>
    <row r="2" spans="2:8" ht="17" customHeight="1" x14ac:dyDescent="0.35">
      <c r="C2" s="65"/>
      <c r="D2" s="65"/>
      <c r="E2" s="65"/>
    </row>
    <row r="3" spans="2:8" ht="15.5" x14ac:dyDescent="0.35">
      <c r="B3" s="67" t="s">
        <v>5</v>
      </c>
      <c r="C3" s="101" t="s">
        <v>21</v>
      </c>
      <c r="D3" s="69" t="s">
        <v>6</v>
      </c>
      <c r="E3" s="70" t="s">
        <v>69</v>
      </c>
      <c r="G3" s="73" t="s">
        <v>70</v>
      </c>
      <c r="H3" s="73">
        <f>(D8*10^12)/E4</f>
        <v>0.27903862660944206</v>
      </c>
    </row>
    <row r="4" spans="2:8" ht="15.5" x14ac:dyDescent="0.35">
      <c r="B4" s="68">
        <v>3600</v>
      </c>
      <c r="C4" s="102">
        <v>634.9</v>
      </c>
      <c r="D4" s="71">
        <v>2.33E+18</v>
      </c>
      <c r="E4" s="72">
        <f>D4/B4</f>
        <v>647222222222222.25</v>
      </c>
      <c r="G4" s="73" t="s">
        <v>68</v>
      </c>
      <c r="H4" s="73">
        <v>0.97</v>
      </c>
    </row>
    <row r="5" spans="2:8" ht="15.5" x14ac:dyDescent="0.35">
      <c r="B5" s="67" t="s">
        <v>7</v>
      </c>
      <c r="C5" s="101" t="s">
        <v>65</v>
      </c>
      <c r="D5" s="101" t="s">
        <v>67</v>
      </c>
      <c r="G5" s="73" t="s">
        <v>73</v>
      </c>
      <c r="H5" s="73">
        <v>0.6</v>
      </c>
    </row>
    <row r="6" spans="2:8" ht="15.5" x14ac:dyDescent="0.35">
      <c r="B6" s="68">
        <v>8760</v>
      </c>
      <c r="C6" s="102">
        <v>242</v>
      </c>
      <c r="D6" s="102">
        <f>H3*D4/(B4*B6*10^9)</f>
        <v>20.616438356164384</v>
      </c>
      <c r="G6" s="73" t="s">
        <v>59</v>
      </c>
      <c r="H6" s="73">
        <f>H4*H5</f>
        <v>0.58199999999999996</v>
      </c>
    </row>
    <row r="7" spans="2:8" ht="15.5" x14ac:dyDescent="0.35">
      <c r="B7" s="67" t="s">
        <v>15</v>
      </c>
      <c r="C7" s="101" t="s">
        <v>8</v>
      </c>
      <c r="D7" s="101" t="s">
        <v>58</v>
      </c>
    </row>
    <row r="8" spans="2:8" ht="15.5" x14ac:dyDescent="0.35">
      <c r="B8" s="68">
        <f>2.33*10^18</f>
        <v>2.33E+18</v>
      </c>
      <c r="C8" s="102">
        <f>C6/C4</f>
        <v>0.38116238777760281</v>
      </c>
      <c r="D8" s="102">
        <v>180.6</v>
      </c>
    </row>
    <row r="10" spans="2:8" ht="21" x14ac:dyDescent="0.5">
      <c r="B10" s="88" t="s">
        <v>18</v>
      </c>
      <c r="C10" s="89"/>
      <c r="F10" t="s">
        <v>38</v>
      </c>
      <c r="G10" t="s">
        <v>66</v>
      </c>
      <c r="H10" t="s">
        <v>57</v>
      </c>
    </row>
    <row r="11" spans="2:8" ht="15.5" x14ac:dyDescent="0.35">
      <c r="B11" s="90" t="s">
        <v>60</v>
      </c>
      <c r="C11" s="91">
        <f>10*H6</f>
        <v>5.8199999999999994</v>
      </c>
      <c r="F11" t="s">
        <v>39</v>
      </c>
      <c r="G11">
        <f>C4</f>
        <v>634.9</v>
      </c>
      <c r="H11">
        <v>0</v>
      </c>
    </row>
    <row r="12" spans="2:8" ht="15.5" x14ac:dyDescent="0.35">
      <c r="B12" s="92"/>
      <c r="C12" s="93"/>
      <c r="F12" t="s">
        <v>35</v>
      </c>
      <c r="G12">
        <f>C4-C16</f>
        <v>566.58364119601333</v>
      </c>
      <c r="H12" s="66">
        <f>C16</f>
        <v>68.316358803986702</v>
      </c>
    </row>
    <row r="13" spans="2:8" ht="15.5" x14ac:dyDescent="0.35">
      <c r="B13" s="90" t="s">
        <v>63</v>
      </c>
      <c r="C13" s="91">
        <f>C11/D6</f>
        <v>0.2822990033222591</v>
      </c>
      <c r="F13" t="s">
        <v>36</v>
      </c>
      <c r="G13">
        <f xml:space="preserve"> C4-C27</f>
        <v>539.25709767441856</v>
      </c>
      <c r="H13">
        <f>C27</f>
        <v>95.642902325581389</v>
      </c>
    </row>
    <row r="14" spans="2:8" ht="15.5" x14ac:dyDescent="0.35">
      <c r="B14" s="92"/>
      <c r="C14" s="94">
        <v>0.2823</v>
      </c>
      <c r="F14" t="s">
        <v>37</v>
      </c>
      <c r="G14">
        <f>C4-C38</f>
        <v>511.9305541528239</v>
      </c>
      <c r="H14">
        <f>C38</f>
        <v>122.96944584717608</v>
      </c>
    </row>
    <row r="15" spans="2:8" ht="15.5" x14ac:dyDescent="0.35">
      <c r="B15" s="92"/>
      <c r="C15" s="93"/>
    </row>
    <row r="16" spans="2:8" ht="15.5" x14ac:dyDescent="0.35">
      <c r="B16" s="90" t="s">
        <v>9</v>
      </c>
      <c r="C16" s="91">
        <f>C13*C6</f>
        <v>68.316358803986702</v>
      </c>
    </row>
    <row r="17" spans="2:3" x14ac:dyDescent="0.35">
      <c r="B17" s="95"/>
      <c r="C17" s="93"/>
    </row>
    <row r="18" spans="2:3" ht="15.5" x14ac:dyDescent="0.35">
      <c r="B18" s="96" t="s">
        <v>11</v>
      </c>
      <c r="C18" s="97">
        <f>C16/C4</f>
        <v>0.10760176217354971</v>
      </c>
    </row>
    <row r="19" spans="2:3" ht="15.5" x14ac:dyDescent="0.35">
      <c r="B19" s="98"/>
      <c r="C19" s="99">
        <v>0.1076</v>
      </c>
    </row>
    <row r="21" spans="2:3" ht="21" x14ac:dyDescent="0.5">
      <c r="B21" s="88" t="s">
        <v>19</v>
      </c>
      <c r="C21" s="100"/>
    </row>
    <row r="22" spans="2:3" ht="15.5" x14ac:dyDescent="0.35">
      <c r="B22" s="90" t="s">
        <v>61</v>
      </c>
      <c r="C22" s="91">
        <f>14*H6</f>
        <v>8.1479999999999997</v>
      </c>
    </row>
    <row r="23" spans="2:3" x14ac:dyDescent="0.35">
      <c r="B23" s="95"/>
      <c r="C23" s="93"/>
    </row>
    <row r="24" spans="2:3" ht="15.5" x14ac:dyDescent="0.35">
      <c r="B24" s="90" t="s">
        <v>64</v>
      </c>
      <c r="C24" s="91">
        <f>C22/D6</f>
        <v>0.39521860465116276</v>
      </c>
    </row>
    <row r="25" spans="2:3" ht="15.5" x14ac:dyDescent="0.35">
      <c r="B25" s="95"/>
      <c r="C25" s="94">
        <v>0.3952</v>
      </c>
    </row>
    <row r="26" spans="2:3" x14ac:dyDescent="0.35">
      <c r="B26" s="95"/>
      <c r="C26" s="93"/>
    </row>
    <row r="27" spans="2:3" ht="15.5" x14ac:dyDescent="0.35">
      <c r="B27" s="90" t="s">
        <v>9</v>
      </c>
      <c r="C27" s="91">
        <f>C24*C6</f>
        <v>95.642902325581389</v>
      </c>
    </row>
    <row r="28" spans="2:3" x14ac:dyDescent="0.35">
      <c r="B28" s="95"/>
      <c r="C28" s="93"/>
    </row>
    <row r="29" spans="2:3" ht="15.5" x14ac:dyDescent="0.35">
      <c r="B29" s="96" t="s">
        <v>11</v>
      </c>
      <c r="C29" s="97">
        <f>C27/C4</f>
        <v>0.1506424670429696</v>
      </c>
    </row>
    <row r="30" spans="2:3" ht="15.5" x14ac:dyDescent="0.35">
      <c r="B30" s="98"/>
      <c r="C30" s="99">
        <v>0.15060000000000001</v>
      </c>
    </row>
    <row r="32" spans="2:3" ht="21" x14ac:dyDescent="0.5">
      <c r="B32" s="88" t="s">
        <v>20</v>
      </c>
      <c r="C32" s="100"/>
    </row>
    <row r="33" spans="2:3" ht="15.5" x14ac:dyDescent="0.35">
      <c r="B33" s="90" t="s">
        <v>62</v>
      </c>
      <c r="C33" s="91">
        <f>18*H6</f>
        <v>10.475999999999999</v>
      </c>
    </row>
    <row r="34" spans="2:3" x14ac:dyDescent="0.35">
      <c r="B34" s="95"/>
      <c r="C34" s="93"/>
    </row>
    <row r="35" spans="2:3" ht="15.5" x14ac:dyDescent="0.35">
      <c r="B35" s="90" t="s">
        <v>64</v>
      </c>
      <c r="C35" s="91">
        <f>C33/D6</f>
        <v>0.50813820598006643</v>
      </c>
    </row>
    <row r="36" spans="2:3" ht="15.5" x14ac:dyDescent="0.35">
      <c r="B36" s="95"/>
      <c r="C36" s="94">
        <v>0.5081</v>
      </c>
    </row>
    <row r="37" spans="2:3" x14ac:dyDescent="0.35">
      <c r="B37" s="95"/>
      <c r="C37" s="93"/>
    </row>
    <row r="38" spans="2:3" ht="15.5" x14ac:dyDescent="0.35">
      <c r="B38" s="90" t="s">
        <v>9</v>
      </c>
      <c r="C38" s="91">
        <f>C35*C6</f>
        <v>122.96944584717608</v>
      </c>
    </row>
    <row r="39" spans="2:3" x14ac:dyDescent="0.35">
      <c r="B39" s="95"/>
      <c r="C39" s="93"/>
    </row>
    <row r="40" spans="2:3" ht="15.5" x14ac:dyDescent="0.35">
      <c r="B40" s="96" t="s">
        <v>11</v>
      </c>
      <c r="C40" s="97">
        <f>C38/C4</f>
        <v>0.19368317191238948</v>
      </c>
    </row>
    <row r="41" spans="2:3" ht="15.5" x14ac:dyDescent="0.35">
      <c r="B41" s="98"/>
      <c r="C41" s="99">
        <v>0.19370000000000001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2CC57E02848B4E9FD5C7FAD16A39E3" ma:contentTypeVersion="6" ma:contentTypeDescription="Opprett et nytt dokument." ma:contentTypeScope="" ma:versionID="ad9f80e41bb491be966a574bfe288710">
  <xsd:schema xmlns:xsd="http://www.w3.org/2001/XMLSchema" xmlns:xs="http://www.w3.org/2001/XMLSchema" xmlns:p="http://schemas.microsoft.com/office/2006/metadata/properties" xmlns:ns2="a96cd584-cc78-4c85-a13f-bcfc97730e74" xmlns:ns3="a61145a5-b846-4480-a4ec-c0953bad8bf4" targetNamespace="http://schemas.microsoft.com/office/2006/metadata/properties" ma:root="true" ma:fieldsID="269c5787a97ed0c59d652a6ff34a13a0" ns2:_="" ns3:_="">
    <xsd:import namespace="a96cd584-cc78-4c85-a13f-bcfc97730e74"/>
    <xsd:import namespace="a61145a5-b846-4480-a4ec-c0953bad8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cd584-cc78-4c85-a13f-bcfc97730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145a5-b846-4480-a4ec-c0953bad8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B2E2E-1212-4263-A981-A3BB9999E8F9}">
  <ds:schemaRefs>
    <ds:schemaRef ds:uri="a61145a5-b846-4480-a4ec-c0953bad8bf4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96cd584-cc78-4c85-a13f-bcfc97730e74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F7F187-B82A-4BD1-808A-914A23AC67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4FD77-E5A1-497D-A87F-6C4EBB410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6cd584-cc78-4c85-a13f-bcfc97730e74"/>
    <ds:schemaRef ds:uri="a61145a5-b846-4480-a4ec-c0953bad8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Kostnadsberegninger</vt:lpstr>
      <vt:lpstr>Utslippsreduksjon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Oda Ørstavik Enersgård</cp:lastModifiedBy>
  <cp:revision/>
  <dcterms:created xsi:type="dcterms:W3CDTF">2024-03-13T15:07:47Z</dcterms:created>
  <dcterms:modified xsi:type="dcterms:W3CDTF">2024-05-21T00:28:38Z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0x0101008E2CC57E02848B4E9FD5C7FAD16A39E3</vt:lpwstr>
  </property>
</Properties>
</file>