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fileSharing readOnlyRecommended="1" userName="Maria B. Nilsen" algorithmName="SHA-512" hashValue="C0BaYyMDfI8b07DZaLDcf4qXuTOKdFhI5ZE1VYMhlDI+YeR7UcqkPtKd+tKvN5xlY865wms4e3yDxXzrhyEBSA==" saltValue="nMGEL2zi/xYQsDExwg0pDg==" spinCount="100000"/>
  <workbookPr/>
  <mc:AlternateContent xmlns:mc="http://schemas.openxmlformats.org/markup-compatibility/2006">
    <mc:Choice Requires="x15">
      <x15ac:absPath xmlns:x15ac="http://schemas.microsoft.com/office/spreadsheetml/2010/11/ac" url="C:\Users\marii\OneDrive - Høgskulen på Vestlandet\Skrivebord\Bachelor\"/>
    </mc:Choice>
  </mc:AlternateContent>
  <xr:revisionPtr revIDLastSave="0" documentId="8_{7808ECE0-A96E-488C-A958-F381B928987C}" xr6:coauthVersionLast="47" xr6:coauthVersionMax="47" xr10:uidLastSave="{00000000-0000-0000-0000-000000000000}"/>
  <workbookProtection lockStructure="1"/>
  <bookViews>
    <workbookView xWindow="-108" yWindow="-108" windowWidth="23256" windowHeight="12456" xr2:uid="{6BA5504C-4B9D-42FF-9015-F856C7BFDD2A}"/>
  </bookViews>
  <sheets>
    <sheet name="Energiberekning kjernekraft" sheetId="7" r:id="rId1"/>
    <sheet name="Stjernediagram" sheetId="11" r:id="rId2"/>
    <sheet name="diagram og slikt" sheetId="12" r:id="rId3"/>
  </sheets>
  <definedNames>
    <definedName name="Investering_pr._år_i_investeringsfasen_NOK_år">#REF!</definedName>
    <definedName name="Investeringsperiode__a">#REF!</definedName>
    <definedName name="kWh_pr_a">#REF!</definedName>
    <definedName name="Levetid__a">#REF!</definedName>
    <definedName name="OPEX_pr._år__NOK_a">#REF!</definedName>
    <definedName name="WACC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7" i="12" l="1"/>
  <c r="C127" i="12"/>
  <c r="D111" i="7"/>
  <c r="B114" i="7"/>
  <c r="C111" i="7"/>
  <c r="B182" i="12"/>
  <c r="B184" i="12"/>
  <c r="B185" i="12"/>
  <c r="B186" i="12"/>
  <c r="B187" i="12"/>
  <c r="B188" i="12"/>
  <c r="B189" i="12"/>
  <c r="D189" i="12" s="1"/>
  <c r="B183" i="12"/>
  <c r="D185" i="12"/>
  <c r="C34" i="12"/>
  <c r="D139" i="12" s="1"/>
  <c r="D183" i="12"/>
  <c r="D184" i="12"/>
  <c r="D186" i="12"/>
  <c r="D187" i="12"/>
  <c r="D188" i="12"/>
  <c r="D182" i="12"/>
  <c r="C35" i="7"/>
  <c r="B53" i="7"/>
  <c r="C116" i="12"/>
  <c r="C117" i="12"/>
  <c r="I47" i="7"/>
  <c r="C138" i="12"/>
  <c r="D142" i="12"/>
  <c r="D138" i="12"/>
  <c r="E43" i="12"/>
  <c r="C139" i="12"/>
  <c r="C140" i="12"/>
  <c r="C141" i="12"/>
  <c r="C142" i="12"/>
  <c r="C143" i="12"/>
  <c r="D43" i="12"/>
  <c r="D143" i="12" l="1"/>
  <c r="D141" i="12"/>
  <c r="D140" i="12"/>
  <c r="E83" i="11"/>
  <c r="C83" i="11"/>
  <c r="E54" i="11"/>
  <c r="D36" i="7"/>
  <c r="C91" i="7"/>
  <c r="C96" i="12"/>
  <c r="C85" i="12"/>
  <c r="C98" i="12"/>
  <c r="D130" i="12"/>
  <c r="C130" i="12"/>
  <c r="D129" i="12"/>
  <c r="C129" i="12"/>
  <c r="C92" i="12"/>
  <c r="C91" i="12"/>
  <c r="C90" i="12"/>
  <c r="C83" i="12"/>
  <c r="C82" i="12"/>
  <c r="C84" i="12" s="1"/>
  <c r="D77" i="12"/>
  <c r="C77" i="12"/>
  <c r="D76" i="12"/>
  <c r="C76" i="12"/>
  <c r="C71" i="12"/>
  <c r="M67" i="12"/>
  <c r="I67" i="12"/>
  <c r="M61" i="12"/>
  <c r="I61" i="12"/>
  <c r="M60" i="12"/>
  <c r="M62" i="12" s="1"/>
  <c r="I60" i="12"/>
  <c r="I62" i="12" s="1"/>
  <c r="D51" i="12"/>
  <c r="B51" i="12"/>
  <c r="I41" i="12"/>
  <c r="I42" i="12" s="1"/>
  <c r="I40" i="12"/>
  <c r="I53" i="12" s="1"/>
  <c r="I38" i="12"/>
  <c r="M36" i="12"/>
  <c r="M41" i="12" s="1"/>
  <c r="I36" i="12"/>
  <c r="M35" i="12"/>
  <c r="M40" i="12" s="1"/>
  <c r="I35" i="12"/>
  <c r="I37" i="12" s="1"/>
  <c r="C33" i="12"/>
  <c r="M16" i="12"/>
  <c r="M68" i="12" s="1"/>
  <c r="C16" i="12"/>
  <c r="D62" i="12" s="1"/>
  <c r="I15" i="12"/>
  <c r="I68" i="12" s="1"/>
  <c r="C15" i="12"/>
  <c r="C62" i="12" s="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35" i="11"/>
  <c r="J136" i="11"/>
  <c r="J137" i="11"/>
  <c r="J138" i="11"/>
  <c r="J139" i="11"/>
  <c r="J140" i="11"/>
  <c r="J141" i="11"/>
  <c r="J142" i="11"/>
  <c r="J134" i="11"/>
  <c r="L118" i="11"/>
  <c r="J109" i="11"/>
  <c r="J110" i="11"/>
  <c r="J111" i="11"/>
  <c r="J112" i="11"/>
  <c r="J113" i="11"/>
  <c r="J114" i="11"/>
  <c r="J115" i="11"/>
  <c r="J116" i="11"/>
  <c r="J117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18" i="11"/>
  <c r="F119" i="11"/>
  <c r="F109" i="11"/>
  <c r="F110" i="11"/>
  <c r="F111" i="11"/>
  <c r="F112" i="11"/>
  <c r="F113" i="11"/>
  <c r="F114" i="11"/>
  <c r="F115" i="11"/>
  <c r="F116" i="11"/>
  <c r="F117" i="11"/>
  <c r="F118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E50" i="11"/>
  <c r="E51" i="11"/>
  <c r="E52" i="11"/>
  <c r="E53" i="11"/>
  <c r="E55" i="11"/>
  <c r="E56" i="11"/>
  <c r="E57" i="11"/>
  <c r="E58" i="11"/>
  <c r="H14" i="11"/>
  <c r="H25" i="11" s="1"/>
  <c r="D18" i="11"/>
  <c r="E45" i="7"/>
  <c r="D45" i="7"/>
  <c r="I68" i="7"/>
  <c r="I71" i="7"/>
  <c r="M71" i="7"/>
  <c r="I27" i="7"/>
  <c r="M27" i="7"/>
  <c r="M65" i="7" s="1"/>
  <c r="M68" i="7" s="1"/>
  <c r="M56" i="7"/>
  <c r="M54" i="7"/>
  <c r="I54" i="7"/>
  <c r="M55" i="7"/>
  <c r="I65" i="7"/>
  <c r="I70" i="7"/>
  <c r="I62" i="7"/>
  <c r="I56" i="7"/>
  <c r="I55" i="7"/>
  <c r="D78" i="7"/>
  <c r="I63" i="7"/>
  <c r="D79" i="7"/>
  <c r="C85" i="7"/>
  <c r="C84" i="7"/>
  <c r="C73" i="7"/>
  <c r="C78" i="7"/>
  <c r="C114" i="7" l="1"/>
  <c r="C105" i="7" s="1"/>
  <c r="F45" i="7"/>
  <c r="C78" i="12"/>
  <c r="C89" i="12" s="1"/>
  <c r="I52" i="12"/>
  <c r="I54" i="12" s="1"/>
  <c r="I25" i="12" s="1"/>
  <c r="M52" i="12"/>
  <c r="M53" i="12"/>
  <c r="D78" i="12"/>
  <c r="E78" i="12" s="1"/>
  <c r="M42" i="12"/>
  <c r="M37" i="12"/>
  <c r="C97" i="12"/>
  <c r="C109" i="12"/>
  <c r="C25" i="12"/>
  <c r="C26" i="12" s="1"/>
  <c r="C103" i="12"/>
  <c r="C69" i="12"/>
  <c r="D63" i="12"/>
  <c r="D44" i="12"/>
  <c r="E44" i="12"/>
  <c r="C63" i="12"/>
  <c r="M38" i="12"/>
  <c r="I17" i="12"/>
  <c r="I48" i="12" s="1"/>
  <c r="E45" i="12"/>
  <c r="C35" i="12"/>
  <c r="C23" i="12"/>
  <c r="C36" i="12"/>
  <c r="D45" i="12"/>
  <c r="C37" i="12"/>
  <c r="M48" i="12"/>
  <c r="C71" i="7"/>
  <c r="C27" i="7"/>
  <c r="C28" i="7" s="1"/>
  <c r="D80" i="7"/>
  <c r="D53" i="7"/>
  <c r="C79" i="7"/>
  <c r="C80" i="7" s="1"/>
  <c r="C148" i="12" l="1"/>
  <c r="C147" i="12"/>
  <c r="C152" i="12"/>
  <c r="C155" i="12"/>
  <c r="C151" i="12"/>
  <c r="C156" i="12"/>
  <c r="C158" i="12"/>
  <c r="C157" i="12"/>
  <c r="C153" i="12"/>
  <c r="C154" i="12"/>
  <c r="M54" i="12"/>
  <c r="M25" i="12" s="1"/>
  <c r="I22" i="12"/>
  <c r="I49" i="12"/>
  <c r="M49" i="12"/>
  <c r="M23" i="12"/>
  <c r="D48" i="12"/>
  <c r="D47" i="12"/>
  <c r="D49" i="12" s="1"/>
  <c r="C38" i="12"/>
  <c r="A6" i="12"/>
  <c r="C36" i="7"/>
  <c r="E161" i="12" l="1"/>
  <c r="E171" i="12" s="1"/>
  <c r="D161" i="12"/>
  <c r="D171" i="12" s="1"/>
  <c r="D165" i="12"/>
  <c r="D175" i="12" s="1"/>
  <c r="D162" i="12"/>
  <c r="D172" i="12" s="1"/>
  <c r="E162" i="12"/>
  <c r="E172" i="12" s="1"/>
  <c r="F167" i="12"/>
  <c r="F177" i="12" s="1"/>
  <c r="C165" i="12"/>
  <c r="C175" i="12" s="1"/>
  <c r="D163" i="12"/>
  <c r="D173" i="12" s="1"/>
  <c r="C164" i="12"/>
  <c r="C174" i="12" s="1"/>
  <c r="F164" i="12"/>
  <c r="F174" i="12" s="1"/>
  <c r="D166" i="12"/>
  <c r="D176" i="12" s="1"/>
  <c r="E156" i="12"/>
  <c r="C163" i="12"/>
  <c r="C173" i="12" s="1"/>
  <c r="F162" i="12"/>
  <c r="F172" i="12" s="1"/>
  <c r="C166" i="12"/>
  <c r="C176" i="12" s="1"/>
  <c r="F166" i="12"/>
  <c r="F176" i="12" s="1"/>
  <c r="F161" i="12"/>
  <c r="F171" i="12" s="1"/>
  <c r="F163" i="12"/>
  <c r="F173" i="12" s="1"/>
  <c r="C162" i="12"/>
  <c r="C172" i="12" s="1"/>
  <c r="F165" i="12"/>
  <c r="F175" i="12" s="1"/>
  <c r="D164" i="12"/>
  <c r="D174" i="12" s="1"/>
  <c r="C161" i="12"/>
  <c r="C171" i="12" s="1"/>
  <c r="F168" i="12"/>
  <c r="F178" i="12" s="1"/>
  <c r="D53" i="12"/>
  <c r="C108" i="12" s="1"/>
  <c r="D54" i="12"/>
  <c r="M24" i="12"/>
  <c r="M63" i="12" s="1"/>
  <c r="M45" i="12"/>
  <c r="I24" i="12"/>
  <c r="I63" i="12" s="1"/>
  <c r="I46" i="12"/>
  <c r="I45" i="12"/>
  <c r="E46" i="7"/>
  <c r="E47" i="7"/>
  <c r="M62" i="7"/>
  <c r="K51" i="11"/>
  <c r="K52" i="11"/>
  <c r="K53" i="11"/>
  <c r="K54" i="11"/>
  <c r="K55" i="11"/>
  <c r="N55" i="11" s="1"/>
  <c r="K56" i="11"/>
  <c r="N56" i="11" s="1"/>
  <c r="K57" i="11"/>
  <c r="N57" i="11" s="1"/>
  <c r="K58" i="11"/>
  <c r="N58" i="11" s="1"/>
  <c r="K50" i="11"/>
  <c r="N50" i="11" s="1"/>
  <c r="E79" i="11" s="1"/>
  <c r="I51" i="11"/>
  <c r="I52" i="11"/>
  <c r="I53" i="11"/>
  <c r="I54" i="11"/>
  <c r="I55" i="11"/>
  <c r="I56" i="11"/>
  <c r="I57" i="11"/>
  <c r="I58" i="11"/>
  <c r="I50" i="11"/>
  <c r="H12" i="11"/>
  <c r="H13" i="11"/>
  <c r="H9" i="11"/>
  <c r="C51" i="11"/>
  <c r="C52" i="11"/>
  <c r="C53" i="11"/>
  <c r="C82" i="11" s="1"/>
  <c r="C54" i="11"/>
  <c r="C55" i="11"/>
  <c r="C56" i="11"/>
  <c r="C57" i="11"/>
  <c r="C58" i="11"/>
  <c r="C50" i="11"/>
  <c r="H28" i="11"/>
  <c r="H27" i="11"/>
  <c r="H26" i="11"/>
  <c r="H19" i="11"/>
  <c r="H18" i="11"/>
  <c r="H20" i="11" s="1"/>
  <c r="D28" i="11"/>
  <c r="D33" i="11" s="1"/>
  <c r="D27" i="11"/>
  <c r="D29" i="11" s="1"/>
  <c r="D9" i="11"/>
  <c r="H33" i="11" s="1"/>
  <c r="D8" i="11"/>
  <c r="C86" i="7"/>
  <c r="E80" i="7" s="1"/>
  <c r="M63" i="7"/>
  <c r="D108" i="12" l="1"/>
  <c r="C115" i="12" s="1"/>
  <c r="E98" i="12"/>
  <c r="M46" i="12"/>
  <c r="I69" i="12"/>
  <c r="I66" i="12"/>
  <c r="M66" i="12"/>
  <c r="M69" i="12"/>
  <c r="C24" i="12"/>
  <c r="C102" i="12"/>
  <c r="D98" i="12" s="1"/>
  <c r="D59" i="12"/>
  <c r="C59" i="12"/>
  <c r="C128" i="12" s="1"/>
  <c r="D66" i="12"/>
  <c r="D60" i="12"/>
  <c r="C60" i="12"/>
  <c r="D128" i="12" s="1"/>
  <c r="C66" i="12"/>
  <c r="C104" i="12"/>
  <c r="D104" i="12" s="1"/>
  <c r="N51" i="11"/>
  <c r="L120" i="11"/>
  <c r="L121" i="11"/>
  <c r="L109" i="11"/>
  <c r="L122" i="11"/>
  <c r="H126" i="11"/>
  <c r="I151" i="11" s="1"/>
  <c r="L125" i="11"/>
  <c r="L110" i="11"/>
  <c r="L123" i="11"/>
  <c r="H129" i="11"/>
  <c r="I154" i="11" s="1"/>
  <c r="L112" i="11"/>
  <c r="L111" i="11"/>
  <c r="L124" i="11"/>
  <c r="H130" i="11"/>
  <c r="I155" i="11" s="1"/>
  <c r="L113" i="11"/>
  <c r="L126" i="11"/>
  <c r="L114" i="11"/>
  <c r="L127" i="11"/>
  <c r="L115" i="11"/>
  <c r="L128" i="11"/>
  <c r="L116" i="11"/>
  <c r="L129" i="11"/>
  <c r="L117" i="11"/>
  <c r="L130" i="11"/>
  <c r="H21" i="11"/>
  <c r="L119" i="11"/>
  <c r="L131" i="11"/>
  <c r="H123" i="11"/>
  <c r="I148" i="11" s="1"/>
  <c r="H118" i="11"/>
  <c r="I143" i="11" s="1"/>
  <c r="H110" i="11"/>
  <c r="I135" i="11" s="1"/>
  <c r="H116" i="11"/>
  <c r="I141" i="11" s="1"/>
  <c r="H121" i="11"/>
  <c r="I146" i="11" s="1"/>
  <c r="H125" i="11"/>
  <c r="I150" i="11" s="1"/>
  <c r="H114" i="11"/>
  <c r="I139" i="11" s="1"/>
  <c r="H115" i="11"/>
  <c r="I140" i="11" s="1"/>
  <c r="H124" i="11"/>
  <c r="I149" i="11" s="1"/>
  <c r="H122" i="11"/>
  <c r="I147" i="11" s="1"/>
  <c r="H127" i="11"/>
  <c r="I152" i="11" s="1"/>
  <c r="H128" i="11"/>
  <c r="I153" i="11" s="1"/>
  <c r="H120" i="11"/>
  <c r="I145" i="11" s="1"/>
  <c r="H109" i="11"/>
  <c r="I134" i="11" s="1"/>
  <c r="H111" i="11"/>
  <c r="I136" i="11" s="1"/>
  <c r="H113" i="11"/>
  <c r="I138" i="11" s="1"/>
  <c r="H131" i="11"/>
  <c r="I156" i="11" s="1"/>
  <c r="H112" i="11"/>
  <c r="I137" i="11" s="1"/>
  <c r="H117" i="11"/>
  <c r="I142" i="11" s="1"/>
  <c r="H119" i="11"/>
  <c r="I144" i="11" s="1"/>
  <c r="C81" i="11"/>
  <c r="C80" i="11"/>
  <c r="E87" i="11"/>
  <c r="D87" i="11"/>
  <c r="D81" i="11"/>
  <c r="D84" i="11"/>
  <c r="D86" i="11"/>
  <c r="D82" i="11"/>
  <c r="D79" i="11"/>
  <c r="J83" i="11"/>
  <c r="D83" i="11"/>
  <c r="D80" i="11"/>
  <c r="H29" i="11"/>
  <c r="D85" i="11"/>
  <c r="E85" i="11"/>
  <c r="C79" i="11"/>
  <c r="N54" i="11"/>
  <c r="E86" i="11"/>
  <c r="E84" i="11"/>
  <c r="G63" i="11"/>
  <c r="F92" i="11" s="1"/>
  <c r="G54" i="11"/>
  <c r="F83" i="11" s="1"/>
  <c r="G65" i="11"/>
  <c r="J94" i="11" s="1"/>
  <c r="G68" i="11"/>
  <c r="F97" i="11" s="1"/>
  <c r="G58" i="11"/>
  <c r="F87" i="11" s="1"/>
  <c r="G60" i="11"/>
  <c r="J89" i="11" s="1"/>
  <c r="G72" i="11"/>
  <c r="J101" i="11" s="1"/>
  <c r="G66" i="11"/>
  <c r="J95" i="11" s="1"/>
  <c r="G56" i="11"/>
  <c r="F85" i="11" s="1"/>
  <c r="G70" i="11"/>
  <c r="F99" i="11" s="1"/>
  <c r="G62" i="11"/>
  <c r="J91" i="11" s="1"/>
  <c r="G55" i="11"/>
  <c r="J84" i="11" s="1"/>
  <c r="G67" i="11"/>
  <c r="F96" i="11" s="1"/>
  <c r="G57" i="11"/>
  <c r="J86" i="11" s="1"/>
  <c r="G69" i="11"/>
  <c r="J98" i="11" s="1"/>
  <c r="G59" i="11"/>
  <c r="F88" i="11" s="1"/>
  <c r="G71" i="11"/>
  <c r="J100" i="11" s="1"/>
  <c r="G64" i="11"/>
  <c r="J93" i="11" s="1"/>
  <c r="G61" i="11"/>
  <c r="J90" i="11" s="1"/>
  <c r="G73" i="11"/>
  <c r="J102" i="11" s="1"/>
  <c r="G74" i="11"/>
  <c r="F103" i="11" s="1"/>
  <c r="C85" i="11"/>
  <c r="N53" i="11"/>
  <c r="E82" i="11" s="1"/>
  <c r="C87" i="11"/>
  <c r="C86" i="11"/>
  <c r="C84" i="11"/>
  <c r="N52" i="11"/>
  <c r="E81" i="11" s="1"/>
  <c r="E80" i="11"/>
  <c r="D46" i="7"/>
  <c r="F46" i="7" s="1"/>
  <c r="D47" i="7"/>
  <c r="F47" i="7" s="1"/>
  <c r="C87" i="7"/>
  <c r="C98" i="7" s="1"/>
  <c r="C38" i="7"/>
  <c r="G42" i="11"/>
  <c r="J71" i="11" s="1"/>
  <c r="G43" i="11"/>
  <c r="J72" i="11" s="1"/>
  <c r="G44" i="11"/>
  <c r="J73" i="11" s="1"/>
  <c r="G45" i="11"/>
  <c r="J74" i="11" s="1"/>
  <c r="G46" i="11"/>
  <c r="J75" i="11" s="1"/>
  <c r="G47" i="11"/>
  <c r="J76" i="11" s="1"/>
  <c r="G48" i="11"/>
  <c r="J77" i="11" s="1"/>
  <c r="G49" i="11"/>
  <c r="J78" i="11" s="1"/>
  <c r="C37" i="7"/>
  <c r="C40" i="7" s="1"/>
  <c r="D40" i="11"/>
  <c r="D46" i="11" s="1"/>
  <c r="E40" i="11"/>
  <c r="E46" i="11" s="1"/>
  <c r="G50" i="11"/>
  <c r="F79" i="11" s="1"/>
  <c r="G53" i="11"/>
  <c r="J82" i="11" s="1"/>
  <c r="G52" i="11"/>
  <c r="J81" i="11" s="1"/>
  <c r="H32" i="11"/>
  <c r="H34" i="11" s="1"/>
  <c r="G51" i="11"/>
  <c r="J80" i="11" s="1"/>
  <c r="D32" i="11"/>
  <c r="D34" i="11" s="1"/>
  <c r="D30" i="11"/>
  <c r="M69" i="7"/>
  <c r="I69" i="7"/>
  <c r="C94" i="7"/>
  <c r="C93" i="7"/>
  <c r="C92" i="7"/>
  <c r="M18" i="7"/>
  <c r="M38" i="7"/>
  <c r="M40" i="7" s="1"/>
  <c r="M37" i="7"/>
  <c r="M39" i="7" s="1"/>
  <c r="I17" i="7"/>
  <c r="I19" i="7" s="1"/>
  <c r="I43" i="7"/>
  <c r="I42" i="7"/>
  <c r="I38" i="7"/>
  <c r="I40" i="7" s="1"/>
  <c r="I37" i="7"/>
  <c r="I39" i="7" s="1"/>
  <c r="C17" i="7"/>
  <c r="C64" i="7" s="1"/>
  <c r="C18" i="7"/>
  <c r="D64" i="7" s="1"/>
  <c r="A7" i="7"/>
  <c r="D110" i="12" l="1"/>
  <c r="D109" i="12"/>
  <c r="D105" i="12"/>
  <c r="D103" i="12"/>
  <c r="D102" i="12"/>
  <c r="J92" i="11"/>
  <c r="F81" i="11"/>
  <c r="F84" i="11"/>
  <c r="J97" i="11"/>
  <c r="J99" i="11"/>
  <c r="F80" i="11"/>
  <c r="F86" i="11"/>
  <c r="J79" i="11"/>
  <c r="J88" i="11"/>
  <c r="J87" i="11"/>
  <c r="J96" i="11"/>
  <c r="F98" i="11"/>
  <c r="F101" i="11"/>
  <c r="F93" i="11"/>
  <c r="J103" i="11"/>
  <c r="F94" i="11"/>
  <c r="F102" i="11"/>
  <c r="F90" i="11"/>
  <c r="F82" i="11"/>
  <c r="F89" i="11"/>
  <c r="F91" i="11"/>
  <c r="F95" i="11"/>
  <c r="J85" i="11"/>
  <c r="F100" i="11"/>
  <c r="D50" i="7"/>
  <c r="D49" i="7"/>
  <c r="I50" i="7"/>
  <c r="I24" i="7" s="1"/>
  <c r="I44" i="7"/>
  <c r="C25" i="7"/>
  <c r="D38" i="11"/>
  <c r="D41" i="11"/>
  <c r="E41" i="11"/>
  <c r="E38" i="11"/>
  <c r="D37" i="11"/>
  <c r="E37" i="11"/>
  <c r="M70" i="7"/>
  <c r="C99" i="7"/>
  <c r="C100" i="7" s="1"/>
  <c r="M50" i="7"/>
  <c r="M25" i="7" s="1"/>
  <c r="M42" i="7"/>
  <c r="M43" i="7"/>
  <c r="C39" i="7"/>
  <c r="D65" i="7"/>
  <c r="C65" i="7"/>
  <c r="M26" i="7" l="1"/>
  <c r="M48" i="7"/>
  <c r="I26" i="7"/>
  <c r="D51" i="7"/>
  <c r="M44" i="7"/>
  <c r="I51" i="7"/>
  <c r="M51" i="7"/>
  <c r="D56" i="7" l="1"/>
  <c r="D55" i="7"/>
  <c r="C110" i="7" s="1"/>
  <c r="C104" i="7"/>
  <c r="C61" i="7"/>
  <c r="M47" i="7"/>
  <c r="I48" i="7"/>
  <c r="C62" i="7"/>
  <c r="M64" i="7"/>
  <c r="D68" i="7"/>
  <c r="C68" i="7"/>
  <c r="D62" i="7"/>
  <c r="D61" i="7"/>
  <c r="I64" i="7"/>
  <c r="D100" i="7" l="1"/>
  <c r="E100" i="7"/>
  <c r="D110" i="7"/>
  <c r="D107" i="7"/>
  <c r="D112" i="7"/>
  <c r="D105" i="7"/>
  <c r="D104" i="7"/>
  <c r="C106" i="7"/>
  <c r="D106" i="7" s="1"/>
  <c r="C26" i="7"/>
</calcChain>
</file>

<file path=xl/sharedStrings.xml><?xml version="1.0" encoding="utf-8"?>
<sst xmlns="http://schemas.openxmlformats.org/spreadsheetml/2006/main" count="543" uniqueCount="171">
  <si>
    <t>virkningsgrad vanlig kjernekraft</t>
  </si>
  <si>
    <t>32 til 35%</t>
  </si>
  <si>
    <t>USD/MWH</t>
  </si>
  <si>
    <t>Nils Ottar link</t>
  </si>
  <si>
    <t>EUR/MWH</t>
  </si>
  <si>
    <t>Rystad, RR</t>
  </si>
  <si>
    <t>Westinghouse eVinci MMR:</t>
  </si>
  <si>
    <t>Rolls-Royce SMR:</t>
  </si>
  <si>
    <t>Westinghouse SMR:</t>
  </si>
  <si>
    <t>Type</t>
  </si>
  <si>
    <t>Heat Pipe Cooled</t>
  </si>
  <si>
    <t>PWR</t>
  </si>
  <si>
    <t>Integral PWR</t>
  </si>
  <si>
    <t xml:space="preserve">MW(e) </t>
  </si>
  <si>
    <t>MW(t)</t>
  </si>
  <si>
    <t>Investeringskostnad (kr)</t>
  </si>
  <si>
    <t>Investeringskostnad (EUR)</t>
  </si>
  <si>
    <t>Investeringskostnad (USD)</t>
  </si>
  <si>
    <t>Valuta (1xUSD til NOK)</t>
  </si>
  <si>
    <t>Samme kilde som EUR</t>
  </si>
  <si>
    <t>invisteringskostnad (kr)</t>
  </si>
  <si>
    <t>Valuta (1xEUR til NOK)</t>
  </si>
  <si>
    <t>Av 5. mars 2024 - se kilde i dokument</t>
  </si>
  <si>
    <t>Investeringskostnad (NOK)</t>
  </si>
  <si>
    <t>Refulling Cycle (år)</t>
  </si>
  <si>
    <t>Refulling Cycle (mnd)</t>
  </si>
  <si>
    <t>Livsstid (år)</t>
  </si>
  <si>
    <t>Virkningsgrad (%)</t>
  </si>
  <si>
    <t>Virkningsgrad</t>
  </si>
  <si>
    <t>Brukstid (h/år 95%)</t>
  </si>
  <si>
    <t>Kost (kr)</t>
  </si>
  <si>
    <t>Kost (kr) ???</t>
  </si>
  <si>
    <t>LCoE (kr/kWh)</t>
  </si>
  <si>
    <t>Årskostnad</t>
  </si>
  <si>
    <t>LCoE (EUR/MWh)</t>
  </si>
  <si>
    <t>Regnet på fredag 8.mars med Nilso:</t>
  </si>
  <si>
    <t>Årskost</t>
  </si>
  <si>
    <t>D&amp;V</t>
  </si>
  <si>
    <t>Antar 15% av årskostnad</t>
  </si>
  <si>
    <t>Decom</t>
  </si>
  <si>
    <t xml:space="preserve">Decom </t>
  </si>
  <si>
    <t>Decom etter 40 år</t>
  </si>
  <si>
    <t>Behov på Svalbard per 2018</t>
  </si>
  <si>
    <t>Antakelser:</t>
  </si>
  <si>
    <t>Output verdi GWh/år (e)</t>
  </si>
  <si>
    <t>Rente (%/100)</t>
  </si>
  <si>
    <t>Outputverdi GWh/år (t)</t>
  </si>
  <si>
    <t>strømpris kr/KWh i 2023</t>
  </si>
  <si>
    <t>Westinghouse eVinci MMR</t>
  </si>
  <si>
    <t>fjernvarme kr/kwh i 2023</t>
  </si>
  <si>
    <t>Output Verdi GWh/år (e)</t>
  </si>
  <si>
    <t>Output Verdi GWh/år (t)</t>
  </si>
  <si>
    <t>Sum output GWh/år</t>
  </si>
  <si>
    <t>Antall reaktor (e) behov</t>
  </si>
  <si>
    <t>Antall reaktor (t) behov</t>
  </si>
  <si>
    <t>Overskudd GWh/år</t>
  </si>
  <si>
    <t>Output Svalbard GWh/år (e)</t>
  </si>
  <si>
    <t>Output Svalbard GWh/år (t)</t>
  </si>
  <si>
    <t>Kilde fra Håvard i NKK</t>
  </si>
  <si>
    <t>Decom og avfall</t>
  </si>
  <si>
    <t>verdier</t>
  </si>
  <si>
    <t>Høyeste verdi/år (e):</t>
  </si>
  <si>
    <t xml:space="preserve">Høyeste verdi/år (t): </t>
  </si>
  <si>
    <t>SUM:</t>
  </si>
  <si>
    <t>sum output GWh/år</t>
  </si>
  <si>
    <t>Sverige</t>
  </si>
  <si>
    <t>3-6 øre/kWh</t>
  </si>
  <si>
    <t>Frankrike</t>
  </si>
  <si>
    <t>1,75 øre/kWh</t>
  </si>
  <si>
    <t>USA</t>
  </si>
  <si>
    <t>1 øre/kWh</t>
  </si>
  <si>
    <t>Spesifikk energipris kr/KWh</t>
  </si>
  <si>
    <t>Spesifikk varmepris kr/KWh</t>
  </si>
  <si>
    <t>Forsikring</t>
  </si>
  <si>
    <t>1-2 øre/kWh</t>
  </si>
  <si>
    <t>Brensel</t>
  </si>
  <si>
    <t>5-12 øre/kWh</t>
  </si>
  <si>
    <t>Kapitalkostnad Kr</t>
  </si>
  <si>
    <t xml:space="preserve">sum </t>
  </si>
  <si>
    <t>Kapitalkostnad MNOK</t>
  </si>
  <si>
    <t>Tekna gjennomsnittslønn 2023</t>
  </si>
  <si>
    <t>30 arbeidere</t>
  </si>
  <si>
    <t>Sosiale kostnader</t>
  </si>
  <si>
    <t xml:space="preserve">6 øre/KWh (e) </t>
  </si>
  <si>
    <t>6 øre/KWh</t>
  </si>
  <si>
    <t>Drift og vedlikehold</t>
  </si>
  <si>
    <t xml:space="preserve">3 øre/KWh (t) </t>
  </si>
  <si>
    <t>Drift og vedlikehold inkl decom</t>
  </si>
  <si>
    <t>Sum:</t>
  </si>
  <si>
    <t>Komentar:</t>
  </si>
  <si>
    <t>me tar for oss to ulike inv. Kost.</t>
  </si>
  <si>
    <t>Investering 1200MNOK</t>
  </si>
  <si>
    <t>Investering 600MNOK</t>
  </si>
  <si>
    <t>Rolls Royce løsning (NOK)</t>
  </si>
  <si>
    <t>Westinghouse SMR løsning (NOK)</t>
  </si>
  <si>
    <t>Elektrisk</t>
  </si>
  <si>
    <t>Termisk</t>
  </si>
  <si>
    <t>Sum</t>
  </si>
  <si>
    <t>Besparelse</t>
  </si>
  <si>
    <t>Samlet SE (med 6% rente)</t>
  </si>
  <si>
    <t>Nåverdi Rolls Royce</t>
  </si>
  <si>
    <t>Nåverdi Westinghouse SMR</t>
  </si>
  <si>
    <t>Spesifikk energipris (kr/kWh)</t>
  </si>
  <si>
    <t>Levetid</t>
  </si>
  <si>
    <t>Investeringskost</t>
  </si>
  <si>
    <t>Decom for 40 år</t>
  </si>
  <si>
    <t>Nåverdi</t>
  </si>
  <si>
    <t>runder opp for å helgradere:</t>
  </si>
  <si>
    <t>Decom (S-verdi for nåverdi)</t>
  </si>
  <si>
    <t>eVinci løsning 1200MNOK (NOK)</t>
  </si>
  <si>
    <t>Med framtidig tariff</t>
  </si>
  <si>
    <t>Prosent forskjell:</t>
  </si>
  <si>
    <t>eVinci løsning 600MNOK (NOK)</t>
  </si>
  <si>
    <t>Nåverdi eVinci 1200MNOK</t>
  </si>
  <si>
    <t>Rente</t>
  </si>
  <si>
    <t xml:space="preserve">Nåverdi </t>
  </si>
  <si>
    <t>Nåverdi eVinci 600MNOK</t>
  </si>
  <si>
    <t>Med S-verdi:</t>
  </si>
  <si>
    <t>Nåverdi med besparelse - decom</t>
  </si>
  <si>
    <t>1200MNOK investering</t>
  </si>
  <si>
    <t>Komentar</t>
  </si>
  <si>
    <t>Besparelse -D&amp;V</t>
  </si>
  <si>
    <t>Her er D&amp;V trekt frå i besparelsen (decom ikkje inkl.)</t>
  </si>
  <si>
    <t>S-ledd</t>
  </si>
  <si>
    <t>Her er nåverdi - s-leddet slik som i forelesningsnotatene til Nilso</t>
  </si>
  <si>
    <t>Håvards metode</t>
  </si>
  <si>
    <t>Besparelse - D&amp;V og decom</t>
  </si>
  <si>
    <t>Her er decom og D&amp;V trekt fra i besparelsen</t>
  </si>
  <si>
    <t>Nåverdi - (Besparelse-D&amp;V)-decom</t>
  </si>
  <si>
    <t>Her er decom trekt fra som en restverdi etter 40 år</t>
  </si>
  <si>
    <t>Decom inkl temisk:</t>
  </si>
  <si>
    <t>Sluttverdi:</t>
  </si>
  <si>
    <t>Samlet strømpris</t>
  </si>
  <si>
    <t>LCoE</t>
  </si>
  <si>
    <t>Drift- og vedlikohold (kr/år)</t>
  </si>
  <si>
    <t>Energipris/strømpris (kr/kWh)</t>
  </si>
  <si>
    <t>Investering</t>
  </si>
  <si>
    <t>prosentavvik</t>
  </si>
  <si>
    <t>Strømrpis</t>
  </si>
  <si>
    <t>Livstid</t>
  </si>
  <si>
    <t>el-pris</t>
  </si>
  <si>
    <t>Fjernvarme</t>
  </si>
  <si>
    <t>besparelse med ulik strømrpis</t>
  </si>
  <si>
    <t>Avvik</t>
  </si>
  <si>
    <t xml:space="preserve">Rente </t>
  </si>
  <si>
    <t>Strømpris</t>
  </si>
  <si>
    <t>Decom verdier</t>
  </si>
  <si>
    <t>Besparelse med ny decom</t>
  </si>
  <si>
    <t>Drift og vedlikehold kost</t>
  </si>
  <si>
    <t>Besparelse med ny D&amp;V</t>
  </si>
  <si>
    <t>decom</t>
  </si>
  <si>
    <t>Nåverdi med decom i besparelse:</t>
  </si>
  <si>
    <t>DIAGRAM:</t>
  </si>
  <si>
    <t>Nåverdi :</t>
  </si>
  <si>
    <t>Westinghouse MMR</t>
  </si>
  <si>
    <t>Rolls-Royce SMR</t>
  </si>
  <si>
    <t>Westinghouse SMR</t>
  </si>
  <si>
    <t>Energipris</t>
  </si>
  <si>
    <t>Spesifikk Energipris</t>
  </si>
  <si>
    <t>Spesifikk Varmepris</t>
  </si>
  <si>
    <t>total output</t>
  </si>
  <si>
    <t>Ny besparelse</t>
  </si>
  <si>
    <t>Decom og avfall elektrisk</t>
  </si>
  <si>
    <t>Decom og avfall termisk</t>
  </si>
  <si>
    <t>Ny Nåverdi</t>
  </si>
  <si>
    <t>Decom og avfall (e)</t>
  </si>
  <si>
    <t>Decom og avfall (t)</t>
  </si>
  <si>
    <t>Driftstid</t>
  </si>
  <si>
    <t>output GWh/år</t>
  </si>
  <si>
    <t>kapasitetsfaktor</t>
  </si>
  <si>
    <t>Svalbard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</si>
</sst>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00"/>
    <numFmt numFmtId="165" formatCode="_-&quot;kr&quot;\ * #,##0.000_-;\-&quot;kr&quot;\ * #,##0.000_-;_-&quot;kr&quot;\ * &quot;-&quot;???_-;_-@_-"/>
    <numFmt numFmtId="166" formatCode="&quot;kr&quot;\ #,##0.00"/>
    <numFmt numFmtId="167" formatCode="0.0\ %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D9E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1" fillId="0" borderId="1" xfId="0" applyFont="1" applyBorder="1"/>
    <xf numFmtId="2" fontId="0" fillId="0" borderId="1" xfId="0" applyNumberFormat="1" applyBorder="1"/>
    <xf numFmtId="43" fontId="0" fillId="0" borderId="1" xfId="1" applyFont="1" applyBorder="1"/>
    <xf numFmtId="43" fontId="0" fillId="0" borderId="0" xfId="0" applyNumberFormat="1"/>
    <xf numFmtId="0" fontId="1" fillId="0" borderId="0" xfId="0" applyFont="1"/>
    <xf numFmtId="43" fontId="0" fillId="0" borderId="1" xfId="0" applyNumberFormat="1" applyBorder="1"/>
    <xf numFmtId="43" fontId="0" fillId="0" borderId="4" xfId="0" applyNumberFormat="1" applyBorder="1"/>
    <xf numFmtId="43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/>
    <xf numFmtId="44" fontId="0" fillId="0" borderId="0" xfId="0" applyNumberFormat="1"/>
    <xf numFmtId="44" fontId="1" fillId="0" borderId="0" xfId="0" applyNumberFormat="1" applyFont="1"/>
    <xf numFmtId="164" fontId="0" fillId="0" borderId="1" xfId="0" applyNumberFormat="1" applyBorder="1"/>
    <xf numFmtId="44" fontId="0" fillId="0" borderId="1" xfId="0" applyNumberFormat="1" applyBorder="1"/>
    <xf numFmtId="44" fontId="0" fillId="0" borderId="5" xfId="0" applyNumberFormat="1" applyBorder="1"/>
    <xf numFmtId="44" fontId="0" fillId="0" borderId="1" xfId="1" applyNumberFormat="1" applyFont="1" applyBorder="1"/>
    <xf numFmtId="2" fontId="0" fillId="0" borderId="0" xfId="0" applyNumberFormat="1"/>
    <xf numFmtId="0" fontId="0" fillId="0" borderId="9" xfId="0" applyBorder="1"/>
    <xf numFmtId="0" fontId="1" fillId="0" borderId="9" xfId="0" applyFont="1" applyBorder="1"/>
    <xf numFmtId="44" fontId="0" fillId="0" borderId="9" xfId="0" applyNumberFormat="1" applyBorder="1"/>
    <xf numFmtId="0" fontId="0" fillId="0" borderId="10" xfId="0" applyBorder="1"/>
    <xf numFmtId="44" fontId="0" fillId="0" borderId="11" xfId="0" applyNumberFormat="1" applyBorder="1"/>
    <xf numFmtId="164" fontId="0" fillId="0" borderId="9" xfId="0" applyNumberFormat="1" applyBorder="1"/>
    <xf numFmtId="0" fontId="1" fillId="2" borderId="9" xfId="0" applyFont="1" applyFill="1" applyBorder="1"/>
    <xf numFmtId="0" fontId="1" fillId="2" borderId="11" xfId="0" applyFont="1" applyFill="1" applyBorder="1"/>
    <xf numFmtId="165" fontId="0" fillId="0" borderId="9" xfId="0" applyNumberFormat="1" applyBorder="1"/>
    <xf numFmtId="164" fontId="1" fillId="0" borderId="9" xfId="0" applyNumberFormat="1" applyFont="1" applyBorder="1"/>
    <xf numFmtId="44" fontId="1" fillId="0" borderId="11" xfId="0" applyNumberFormat="1" applyFont="1" applyBorder="1"/>
    <xf numFmtId="0" fontId="1" fillId="0" borderId="10" xfId="0" applyFont="1" applyBorder="1"/>
    <xf numFmtId="44" fontId="1" fillId="0" borderId="9" xfId="0" applyNumberFormat="1" applyFont="1" applyBorder="1"/>
    <xf numFmtId="0" fontId="1" fillId="0" borderId="12" xfId="0" applyFont="1" applyBorder="1"/>
    <xf numFmtId="0" fontId="1" fillId="0" borderId="13" xfId="0" applyFont="1" applyBorder="1"/>
    <xf numFmtId="9" fontId="0" fillId="0" borderId="9" xfId="2" applyFont="1" applyBorder="1"/>
    <xf numFmtId="43" fontId="1" fillId="0" borderId="0" xfId="0" applyNumberFormat="1" applyFont="1"/>
    <xf numFmtId="0" fontId="0" fillId="2" borderId="9" xfId="0" applyFill="1" applyBorder="1"/>
    <xf numFmtId="44" fontId="0" fillId="2" borderId="9" xfId="0" applyNumberFormat="1" applyFill="1" applyBorder="1"/>
    <xf numFmtId="43" fontId="0" fillId="0" borderId="9" xfId="0" applyNumberFormat="1" applyBorder="1"/>
    <xf numFmtId="43" fontId="1" fillId="0" borderId="9" xfId="0" applyNumberFormat="1" applyFont="1" applyBorder="1"/>
    <xf numFmtId="44" fontId="0" fillId="0" borderId="4" xfId="0" applyNumberFormat="1" applyBorder="1"/>
    <xf numFmtId="44" fontId="0" fillId="0" borderId="3" xfId="0" applyNumberFormat="1" applyBorder="1"/>
    <xf numFmtId="0" fontId="1" fillId="3" borderId="1" xfId="0" applyFont="1" applyFill="1" applyBorder="1"/>
    <xf numFmtId="0" fontId="0" fillId="0" borderId="13" xfId="0" applyBorder="1"/>
    <xf numFmtId="44" fontId="0" fillId="0" borderId="13" xfId="0" applyNumberFormat="1" applyBorder="1"/>
    <xf numFmtId="0" fontId="0" fillId="0" borderId="12" xfId="0" applyBorder="1"/>
    <xf numFmtId="0" fontId="1" fillId="2" borderId="1" xfId="0" applyFont="1" applyFill="1" applyBorder="1"/>
    <xf numFmtId="44" fontId="0" fillId="2" borderId="1" xfId="0" applyNumberFormat="1" applyFill="1" applyBorder="1"/>
    <xf numFmtId="0" fontId="0" fillId="2" borderId="1" xfId="0" applyFill="1" applyBorder="1"/>
    <xf numFmtId="44" fontId="1" fillId="0" borderId="1" xfId="0" applyNumberFormat="1" applyFont="1" applyBorder="1"/>
    <xf numFmtId="0" fontId="5" fillId="0" borderId="1" xfId="0" applyFont="1" applyBorder="1"/>
    <xf numFmtId="0" fontId="0" fillId="4" borderId="0" xfId="0" applyFill="1"/>
    <xf numFmtId="44" fontId="0" fillId="5" borderId="1" xfId="0" applyNumberFormat="1" applyFill="1" applyBorder="1"/>
    <xf numFmtId="0" fontId="0" fillId="5" borderId="2" xfId="0" applyFill="1" applyBorder="1"/>
    <xf numFmtId="44" fontId="0" fillId="0" borderId="14" xfId="0" applyNumberFormat="1" applyBorder="1"/>
    <xf numFmtId="0" fontId="1" fillId="6" borderId="15" xfId="0" applyFont="1" applyFill="1" applyBorder="1"/>
    <xf numFmtId="0" fontId="0" fillId="6" borderId="1" xfId="0" applyFill="1" applyBorder="1"/>
    <xf numFmtId="44" fontId="0" fillId="0" borderId="0" xfId="3" applyFont="1"/>
    <xf numFmtId="9" fontId="0" fillId="0" borderId="0" xfId="2" applyFont="1"/>
    <xf numFmtId="0" fontId="0" fillId="6" borderId="2" xfId="0" applyFill="1" applyBorder="1"/>
    <xf numFmtId="44" fontId="0" fillId="0" borderId="10" xfId="0" applyNumberFormat="1" applyBorder="1"/>
    <xf numFmtId="44" fontId="0" fillId="0" borderId="1" xfId="3" applyFont="1" applyBorder="1"/>
    <xf numFmtId="0" fontId="1" fillId="7" borderId="9" xfId="0" applyFont="1" applyFill="1" applyBorder="1"/>
    <xf numFmtId="0" fontId="1" fillId="8" borderId="1" xfId="0" applyFont="1" applyFill="1" applyBorder="1"/>
    <xf numFmtId="0" fontId="0" fillId="8" borderId="1" xfId="0" applyFill="1" applyBorder="1"/>
    <xf numFmtId="44" fontId="0" fillId="8" borderId="1" xfId="0" applyNumberFormat="1" applyFill="1" applyBorder="1"/>
    <xf numFmtId="0" fontId="0" fillId="8" borderId="5" xfId="0" applyFill="1" applyBorder="1"/>
    <xf numFmtId="0" fontId="0" fillId="8" borderId="9" xfId="0" applyFill="1" applyBorder="1"/>
    <xf numFmtId="44" fontId="0" fillId="8" borderId="9" xfId="0" applyNumberFormat="1" applyFill="1" applyBorder="1"/>
    <xf numFmtId="0" fontId="0" fillId="8" borderId="16" xfId="0" applyFill="1" applyBorder="1"/>
    <xf numFmtId="44" fontId="0" fillId="8" borderId="16" xfId="0" applyNumberFormat="1" applyFill="1" applyBorder="1"/>
    <xf numFmtId="0" fontId="1" fillId="9" borderId="1" xfId="0" applyFont="1" applyFill="1" applyBorder="1"/>
    <xf numFmtId="2" fontId="0" fillId="8" borderId="1" xfId="0" applyNumberFormat="1" applyFill="1" applyBorder="1"/>
    <xf numFmtId="43" fontId="0" fillId="8" borderId="1" xfId="1" applyFont="1" applyFill="1" applyBorder="1"/>
    <xf numFmtId="164" fontId="1" fillId="0" borderId="16" xfId="0" applyNumberFormat="1" applyFont="1" applyBorder="1"/>
    <xf numFmtId="44" fontId="0" fillId="0" borderId="16" xfId="0" applyNumberFormat="1" applyBorder="1"/>
    <xf numFmtId="164" fontId="1" fillId="0" borderId="1" xfId="0" applyNumberFormat="1" applyFont="1" applyBorder="1"/>
    <xf numFmtId="0" fontId="1" fillId="7" borderId="1" xfId="0" applyFont="1" applyFill="1" applyBorder="1"/>
    <xf numFmtId="0" fontId="1" fillId="7" borderId="10" xfId="0" applyFont="1" applyFill="1" applyBorder="1"/>
    <xf numFmtId="0" fontId="0" fillId="7" borderId="9" xfId="0" applyFill="1" applyBorder="1"/>
    <xf numFmtId="44" fontId="1" fillId="7" borderId="16" xfId="0" applyNumberFormat="1" applyFont="1" applyFill="1" applyBorder="1"/>
    <xf numFmtId="44" fontId="1" fillId="7" borderId="1" xfId="0" applyNumberFormat="1" applyFont="1" applyFill="1" applyBorder="1"/>
    <xf numFmtId="0" fontId="1" fillId="7" borderId="3" xfId="0" applyFont="1" applyFill="1" applyBorder="1"/>
    <xf numFmtId="9" fontId="0" fillId="0" borderId="1" xfId="2" applyFont="1" applyBorder="1"/>
    <xf numFmtId="0" fontId="1" fillId="6" borderId="1" xfId="0" applyFont="1" applyFill="1" applyBorder="1"/>
    <xf numFmtId="44" fontId="4" fillId="0" borderId="0" xfId="0" applyNumberFormat="1" applyFont="1"/>
    <xf numFmtId="0" fontId="0" fillId="0" borderId="17" xfId="0" applyBorder="1"/>
    <xf numFmtId="0" fontId="0" fillId="0" borderId="6" xfId="0" applyBorder="1"/>
    <xf numFmtId="44" fontId="0" fillId="0" borderId="19" xfId="0" applyNumberFormat="1" applyBorder="1"/>
    <xf numFmtId="44" fontId="6" fillId="9" borderId="1" xfId="0" applyNumberFormat="1" applyFont="1" applyFill="1" applyBorder="1"/>
    <xf numFmtId="0" fontId="3" fillId="0" borderId="0" xfId="0" applyFont="1"/>
    <xf numFmtId="0" fontId="1" fillId="7" borderId="6" xfId="0" applyFont="1" applyFill="1" applyBorder="1"/>
    <xf numFmtId="9" fontId="0" fillId="0" borderId="9" xfId="2" applyFont="1" applyFill="1" applyBorder="1"/>
    <xf numFmtId="9" fontId="1" fillId="0" borderId="9" xfId="2" applyFont="1" applyFill="1" applyBorder="1"/>
    <xf numFmtId="9" fontId="1" fillId="7" borderId="9" xfId="2" applyFont="1" applyFill="1" applyBorder="1"/>
    <xf numFmtId="44" fontId="1" fillId="7" borderId="9" xfId="0" applyNumberFormat="1" applyFont="1" applyFill="1" applyBorder="1"/>
    <xf numFmtId="44" fontId="1" fillId="0" borderId="9" xfId="3" applyFont="1" applyBorder="1"/>
    <xf numFmtId="44" fontId="0" fillId="0" borderId="18" xfId="0" applyNumberFormat="1" applyBorder="1"/>
    <xf numFmtId="44" fontId="1" fillId="0" borderId="18" xfId="0" applyNumberFormat="1" applyFont="1" applyBorder="1"/>
    <xf numFmtId="44" fontId="1" fillId="8" borderId="9" xfId="3" applyFont="1" applyFill="1" applyBorder="1"/>
    <xf numFmtId="0" fontId="1" fillId="8" borderId="9" xfId="0" applyFont="1" applyFill="1" applyBorder="1"/>
    <xf numFmtId="44" fontId="1" fillId="8" borderId="9" xfId="0" applyNumberFormat="1" applyFont="1" applyFill="1" applyBorder="1"/>
    <xf numFmtId="44" fontId="1" fillId="0" borderId="9" xfId="3" applyFont="1" applyFill="1" applyBorder="1"/>
    <xf numFmtId="0" fontId="0" fillId="8" borderId="0" xfId="0" applyFill="1"/>
    <xf numFmtId="0" fontId="0" fillId="7" borderId="0" xfId="0" applyFill="1"/>
    <xf numFmtId="44" fontId="0" fillId="8" borderId="0" xfId="0" applyNumberFormat="1" applyFill="1"/>
    <xf numFmtId="44" fontId="1" fillId="0" borderId="0" xfId="3" applyFont="1"/>
    <xf numFmtId="0" fontId="0" fillId="8" borderId="0" xfId="2" applyNumberFormat="1" applyFont="1" applyFill="1"/>
    <xf numFmtId="0" fontId="1" fillId="7" borderId="0" xfId="0" applyFont="1" applyFill="1"/>
    <xf numFmtId="44" fontId="0" fillId="6" borderId="1" xfId="0" applyNumberFormat="1" applyFill="1" applyBorder="1"/>
    <xf numFmtId="166" fontId="0" fillId="8" borderId="0" xfId="0" applyNumberFormat="1" applyFill="1"/>
    <xf numFmtId="167" fontId="0" fillId="8" borderId="1" xfId="2" applyNumberFormat="1" applyFont="1" applyFill="1" applyBorder="1"/>
    <xf numFmtId="168" fontId="0" fillId="8" borderId="1" xfId="0" applyNumberFormat="1" applyFill="1" applyBorder="1"/>
    <xf numFmtId="9" fontId="0" fillId="8" borderId="1" xfId="2" applyFont="1" applyFill="1" applyBorder="1"/>
    <xf numFmtId="9" fontId="1" fillId="8" borderId="1" xfId="2" applyFont="1" applyFill="1" applyBorder="1"/>
    <xf numFmtId="168" fontId="1" fillId="8" borderId="1" xfId="0" applyNumberFormat="1" applyFont="1" applyFill="1" applyBorder="1"/>
  </cellXfs>
  <cellStyles count="4">
    <cellStyle name="Komma" xfId="1" builtinId="3"/>
    <cellStyle name="Normal" xfId="0" builtinId="0"/>
    <cellStyle name="Prosent" xfId="2" builtinId="5"/>
    <cellStyle name="Valuta" xfId="3" builtinId="4"/>
  </cellStyles>
  <dxfs count="0"/>
  <tableStyles count="0" defaultTableStyle="TableStyleMedium2" defaultPivotStyle="PivotStyleLight16"/>
  <colors>
    <mruColors>
      <color rgb="FFF5D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Stjernediagram</a:t>
            </a:r>
          </a:p>
        </c:rich>
      </c:tx>
      <c:layout>
        <c:manualLayout>
          <c:xMode val="edge"/>
          <c:yMode val="edge"/>
          <c:x val="0.40539183620725394"/>
          <c:y val="3.8755823056545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611518760084075"/>
          <c:y val="0.18456236091288866"/>
          <c:w val="0.56304282000217309"/>
          <c:h val="0.54361424772580369"/>
        </c:manualLayout>
      </c:layout>
      <c:lineChart>
        <c:grouping val="standard"/>
        <c:varyColors val="0"/>
        <c:ser>
          <c:idx val="0"/>
          <c:order val="0"/>
          <c:tx>
            <c:strRef>
              <c:f>Stjernediagram!$C$77:$C$78</c:f>
              <c:strCache>
                <c:ptCount val="2"/>
                <c:pt idx="0">
                  <c:v>Rente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Stjernediagram!$B$79:$B$87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Stjernediagram!$C$79:$C$87</c:f>
              <c:numCache>
                <c:formatCode>_-"kr"\ * #\ ##0.000_-;\-"kr"\ * #\ ##0.000_-;_-"kr"\ * "-"???_-;_-@_-</c:formatCode>
                <c:ptCount val="9"/>
                <c:pt idx="0">
                  <c:v>210922569.06576347</c:v>
                </c:pt>
                <c:pt idx="1">
                  <c:v>153904874.35555887</c:v>
                </c:pt>
                <c:pt idx="2">
                  <c:v>100512742.48242855</c:v>
                </c:pt>
                <c:pt idx="3">
                  <c:v>50463371.823132277</c:v>
                </c:pt>
                <c:pt idx="4">
                  <c:v>3498819.1586024761</c:v>
                </c:pt>
                <c:pt idx="5">
                  <c:v>-40616369.320684433</c:v>
                </c:pt>
                <c:pt idx="6">
                  <c:v>-82097287.239680052</c:v>
                </c:pt>
                <c:pt idx="7">
                  <c:v>-121140582.95305562</c:v>
                </c:pt>
                <c:pt idx="8">
                  <c:v>-157926182.79401493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C-4C1F-BC12-1DAA328DFFE8}"/>
            </c:ext>
          </c:extLst>
        </c:ser>
        <c:ser>
          <c:idx val="1"/>
          <c:order val="1"/>
          <c:tx>
            <c:strRef>
              <c:f>Stjernediagram!$D$77:$D$78</c:f>
              <c:strCache>
                <c:ptCount val="2"/>
                <c:pt idx="0">
                  <c:v>Levetid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Stjernediagram!$B$79:$B$87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Stjernediagram!$D$79:$D$87</c:f>
              <c:numCache>
                <c:formatCode>_("kr"* #,##0.00_);_("kr"* \(#,##0.00\);_("kr"* "-"??_);_(@_)</c:formatCode>
                <c:ptCount val="9"/>
                <c:pt idx="0">
                  <c:v>-73468353.578790426</c:v>
                </c:pt>
                <c:pt idx="1">
                  <c:v>-50744402.615512848</c:v>
                </c:pt>
                <c:pt idx="2">
                  <c:v>-30520167.155137777</c:v>
                </c:pt>
                <c:pt idx="3">
                  <c:v>-12520669.593394279</c:v>
                </c:pt>
                <c:pt idx="4">
                  <c:v>3498819.1586024761</c:v>
                </c:pt>
                <c:pt idx="5">
                  <c:v>17756107.118727684</c:v>
                </c:pt>
                <c:pt idx="6">
                  <c:v>30445042.647497177</c:v>
                </c:pt>
                <c:pt idx="7">
                  <c:v>41738150.095672131</c:v>
                </c:pt>
                <c:pt idx="8">
                  <c:v>51788975.521245956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C-4C1F-BC12-1DAA328DFFE8}"/>
            </c:ext>
          </c:extLst>
        </c:ser>
        <c:ser>
          <c:idx val="2"/>
          <c:order val="2"/>
          <c:tx>
            <c:strRef>
              <c:f>Stjernediagram!$E$77:$E$78</c:f>
              <c:strCache>
                <c:ptCount val="2"/>
                <c:pt idx="0">
                  <c:v>Strømpris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Stjernediagram!$B$79:$B$87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Stjernediagram!$E$79:$E$87</c:f>
              <c:numCache>
                <c:formatCode>_("kr"* #,##0.00_);_("kr"* \(#,##0.00\);_("kr"* "-"??_);_(@_)</c:formatCode>
                <c:ptCount val="9"/>
                <c:pt idx="0">
                  <c:v>-407866937.30888855</c:v>
                </c:pt>
                <c:pt idx="1">
                  <c:v>-305025498.19201577</c:v>
                </c:pt>
                <c:pt idx="2">
                  <c:v>-202184059.0751431</c:v>
                </c:pt>
                <c:pt idx="3">
                  <c:v>-99342619.958270311</c:v>
                </c:pt>
                <c:pt idx="4">
                  <c:v>3498819.1586024761</c:v>
                </c:pt>
                <c:pt idx="5">
                  <c:v>106340258.27547526</c:v>
                </c:pt>
                <c:pt idx="6">
                  <c:v>209181697.39234781</c:v>
                </c:pt>
                <c:pt idx="7">
                  <c:v>312023136.5092206</c:v>
                </c:pt>
                <c:pt idx="8">
                  <c:v>414864575.62609339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0C-4C1F-BC12-1DAA328DFFE8}"/>
            </c:ext>
          </c:extLst>
        </c:ser>
        <c:ser>
          <c:idx val="3"/>
          <c:order val="3"/>
          <c:tx>
            <c:strRef>
              <c:f>Stjernediagram!$F$77:$F$78</c:f>
              <c:strCache>
                <c:ptCount val="2"/>
                <c:pt idx="0">
                  <c:v>Investering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Stjernediagram!$B$79:$B$87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Stjernediagram!$F$79:$F$87</c:f>
              <c:numCache>
                <c:formatCode>_("kr"* #,##0.00_);_("kr"* \(#,##0.00\);_("kr"* "-"??_);_(@_)</c:formatCode>
                <c:ptCount val="9"/>
                <c:pt idx="0">
                  <c:v>243498819.15860248</c:v>
                </c:pt>
                <c:pt idx="1">
                  <c:v>183498819.15860248</c:v>
                </c:pt>
                <c:pt idx="2">
                  <c:v>123498819.15860248</c:v>
                </c:pt>
                <c:pt idx="3">
                  <c:v>63498819.158602476</c:v>
                </c:pt>
                <c:pt idx="4">
                  <c:v>3498819.1586024761</c:v>
                </c:pt>
                <c:pt idx="5">
                  <c:v>-56501180.841397524</c:v>
                </c:pt>
                <c:pt idx="6">
                  <c:v>-116501180.84139752</c:v>
                </c:pt>
                <c:pt idx="7">
                  <c:v>-176501180.84139752</c:v>
                </c:pt>
                <c:pt idx="8">
                  <c:v>-236501180.84139752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0C-4C1F-BC12-1DAA328DF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8579792"/>
        <c:axId val="1488543904"/>
      </c:lineChart>
      <c:catAx>
        <c:axId val="142857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Avvik</a:t>
                </a:r>
              </a:p>
            </c:rich>
          </c:tx>
          <c:layout>
            <c:manualLayout>
              <c:xMode val="edge"/>
              <c:yMode val="edge"/>
              <c:x val="0.48642577565045975"/>
              <c:y val="0.84491313949692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88543904"/>
        <c:crosses val="autoZero"/>
        <c:auto val="1"/>
        <c:lblAlgn val="ctr"/>
        <c:lblOffset val="100"/>
        <c:noMultiLvlLbl val="0"/>
      </c:catAx>
      <c:valAx>
        <c:axId val="14885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Nåverdi [NOK]</a:t>
                </a:r>
              </a:p>
            </c:rich>
          </c:tx>
          <c:layout>
            <c:manualLayout>
              <c:xMode val="edge"/>
              <c:yMode val="edge"/>
              <c:x val="6.6866830857277043E-2"/>
              <c:y val="0.28584931266074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2857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114200680175509"/>
          <c:y val="0.3093080876665637"/>
          <c:w val="0.17662717297047542"/>
          <c:h val="0.43473851468133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Lønnsomhetsanalyse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5546035130666628"/>
          <c:y val="0.16972460137030665"/>
          <c:w val="0.61214744263852705"/>
          <c:h val="0.59441928761649365"/>
        </c:manualLayout>
      </c:layout>
      <c:scatterChart>
        <c:scatterStyle val="smoothMarker"/>
        <c:varyColors val="0"/>
        <c:ser>
          <c:idx val="0"/>
          <c:order val="0"/>
          <c:tx>
            <c:v>Investering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Stjernediagram!$I$73:$I$93</c:f>
              <c:numCache>
                <c:formatCode>0%</c:formatCode>
                <c:ptCount val="21"/>
                <c:pt idx="0">
                  <c:v>-0.5</c:v>
                </c:pt>
                <c:pt idx="1">
                  <c:v>-0.45</c:v>
                </c:pt>
                <c:pt idx="2">
                  <c:v>-0.4</c:v>
                </c:pt>
                <c:pt idx="3">
                  <c:v>-0.35</c:v>
                </c:pt>
                <c:pt idx="4">
                  <c:v>-0.3</c:v>
                </c:pt>
                <c:pt idx="5">
                  <c:v>-0.25</c:v>
                </c:pt>
                <c:pt idx="6">
                  <c:v>-0.2</c:v>
                </c:pt>
                <c:pt idx="7">
                  <c:v>-0.15</c:v>
                </c:pt>
                <c:pt idx="8">
                  <c:v>-0.1</c:v>
                </c:pt>
                <c:pt idx="9">
                  <c:v>-0.05</c:v>
                </c:pt>
                <c:pt idx="10">
                  <c:v>0</c:v>
                </c:pt>
                <c:pt idx="11">
                  <c:v>0.05</c:v>
                </c:pt>
                <c:pt idx="12">
                  <c:v>0.1</c:v>
                </c:pt>
                <c:pt idx="13">
                  <c:v>0.15</c:v>
                </c:pt>
                <c:pt idx="14">
                  <c:v>0.2</c:v>
                </c:pt>
                <c:pt idx="15">
                  <c:v>0.25</c:v>
                </c:pt>
                <c:pt idx="16">
                  <c:v>0.3</c:v>
                </c:pt>
                <c:pt idx="17">
                  <c:v>0.35</c:v>
                </c:pt>
                <c:pt idx="18">
                  <c:v>0.4</c:v>
                </c:pt>
                <c:pt idx="19">
                  <c:v>0.45</c:v>
                </c:pt>
                <c:pt idx="20">
                  <c:v>0.5</c:v>
                </c:pt>
              </c:numCache>
            </c:numRef>
          </c:xVal>
          <c:yVal>
            <c:numRef>
              <c:f>Stjernediagram!$J$73:$J$93</c:f>
              <c:numCache>
                <c:formatCode>_("kr"* #,##0.00_);_("kr"* \(#,##0.00\);_("kr"* "-"??_);_(@_)</c:formatCode>
                <c:ptCount val="21"/>
                <c:pt idx="0">
                  <c:v>603498819.15860248</c:v>
                </c:pt>
                <c:pt idx="1">
                  <c:v>543498819.15860248</c:v>
                </c:pt>
                <c:pt idx="2">
                  <c:v>483498819.15860248</c:v>
                </c:pt>
                <c:pt idx="3">
                  <c:v>423498819.15860248</c:v>
                </c:pt>
                <c:pt idx="4">
                  <c:v>363498819.15860248</c:v>
                </c:pt>
                <c:pt idx="5">
                  <c:v>303498819.15860248</c:v>
                </c:pt>
                <c:pt idx="6">
                  <c:v>243498819.15860248</c:v>
                </c:pt>
                <c:pt idx="7">
                  <c:v>183498819.15860248</c:v>
                </c:pt>
                <c:pt idx="8">
                  <c:v>123498819.15860248</c:v>
                </c:pt>
                <c:pt idx="9">
                  <c:v>63498819.158602476</c:v>
                </c:pt>
                <c:pt idx="10">
                  <c:v>3498819.1586024761</c:v>
                </c:pt>
                <c:pt idx="11">
                  <c:v>-56501180.841397524</c:v>
                </c:pt>
                <c:pt idx="12">
                  <c:v>-116501180.84139752</c:v>
                </c:pt>
                <c:pt idx="13">
                  <c:v>-176501180.84139752</c:v>
                </c:pt>
                <c:pt idx="14">
                  <c:v>-236501180.84139752</c:v>
                </c:pt>
                <c:pt idx="15">
                  <c:v>-296501180.84139752</c:v>
                </c:pt>
                <c:pt idx="16">
                  <c:v>-356501180.84139752</c:v>
                </c:pt>
                <c:pt idx="17">
                  <c:v>-416501180.84139752</c:v>
                </c:pt>
                <c:pt idx="18">
                  <c:v>-476501180.84139752</c:v>
                </c:pt>
                <c:pt idx="19">
                  <c:v>-536501180.84139752</c:v>
                </c:pt>
                <c:pt idx="20">
                  <c:v>-596501180.84139752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62-4CAE-9512-DDB88A2C0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006944"/>
        <c:axId val="2119904112"/>
      </c:scatterChart>
      <c:valAx>
        <c:axId val="2110006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Avvik</a:t>
                </a:r>
              </a:p>
            </c:rich>
          </c:tx>
          <c:layout>
            <c:manualLayout>
              <c:xMode val="edge"/>
              <c:yMode val="edge"/>
              <c:x val="0.47516448076368173"/>
              <c:y val="0.8525097553373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9904112"/>
        <c:crosses val="autoZero"/>
        <c:crossBetween val="midCat"/>
      </c:valAx>
      <c:valAx>
        <c:axId val="211990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Nåverdi [NOK]</a:t>
                </a:r>
              </a:p>
            </c:rich>
          </c:tx>
          <c:layout>
            <c:manualLayout>
              <c:xMode val="edge"/>
              <c:yMode val="edge"/>
              <c:x val="3.840173633727028E-2"/>
              <c:y val="0.34396464329720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10006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982315287040754"/>
          <c:y val="0.41545728071537757"/>
          <c:w val="0.16017684712959246"/>
          <c:h val="6.3250721226564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Følsomhetsanalyse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Stjernediagram!$I$133</c:f>
              <c:strCache>
                <c:ptCount val="1"/>
                <c:pt idx="0">
                  <c:v>decom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Stjernediagram!$H$134:$H$156</c:f>
              <c:numCache>
                <c:formatCode>0%</c:formatCode>
                <c:ptCount val="23"/>
                <c:pt idx="0">
                  <c:v>-0.45</c:v>
                </c:pt>
                <c:pt idx="1">
                  <c:v>-0.4</c:v>
                </c:pt>
                <c:pt idx="2">
                  <c:v>-0.35</c:v>
                </c:pt>
                <c:pt idx="3">
                  <c:v>-0.3</c:v>
                </c:pt>
                <c:pt idx="4">
                  <c:v>-0.25</c:v>
                </c:pt>
                <c:pt idx="5">
                  <c:v>-0.2</c:v>
                </c:pt>
                <c:pt idx="6">
                  <c:v>-0.15</c:v>
                </c:pt>
                <c:pt idx="7">
                  <c:v>-0.1</c:v>
                </c:pt>
                <c:pt idx="8">
                  <c:v>-0.05</c:v>
                </c:pt>
                <c:pt idx="9">
                  <c:v>0</c:v>
                </c:pt>
                <c:pt idx="10">
                  <c:v>0.05</c:v>
                </c:pt>
                <c:pt idx="11">
                  <c:v>0.1</c:v>
                </c:pt>
                <c:pt idx="12">
                  <c:v>0.15</c:v>
                </c:pt>
                <c:pt idx="13">
                  <c:v>0.2</c:v>
                </c:pt>
                <c:pt idx="14">
                  <c:v>0.25</c:v>
                </c:pt>
                <c:pt idx="15">
                  <c:v>0.3</c:v>
                </c:pt>
                <c:pt idx="16">
                  <c:v>0.35</c:v>
                </c:pt>
                <c:pt idx="17">
                  <c:v>0.4</c:v>
                </c:pt>
                <c:pt idx="18">
                  <c:v>0.45</c:v>
                </c:pt>
                <c:pt idx="19">
                  <c:v>0.5</c:v>
                </c:pt>
                <c:pt idx="20">
                  <c:v>0.55000000000000004</c:v>
                </c:pt>
                <c:pt idx="21">
                  <c:v>0.6</c:v>
                </c:pt>
                <c:pt idx="22">
                  <c:v>0.65</c:v>
                </c:pt>
              </c:numCache>
            </c:numRef>
          </c:cat>
          <c:val>
            <c:numRef>
              <c:f>Stjernediagram!$I$134:$I$156</c:f>
              <c:numCache>
                <c:formatCode>_("kr"* #,##0.00_);_("kr"* \(#,##0.00\);_("kr"* "-"??_);_(@_)</c:formatCode>
                <c:ptCount val="23"/>
                <c:pt idx="0">
                  <c:v>42378164.3949821</c:v>
                </c:pt>
                <c:pt idx="1">
                  <c:v>38058237.146495581</c:v>
                </c:pt>
                <c:pt idx="2">
                  <c:v>33738309.898008823</c:v>
                </c:pt>
                <c:pt idx="3">
                  <c:v>29418382.649522305</c:v>
                </c:pt>
                <c:pt idx="4">
                  <c:v>25098455.401035547</c:v>
                </c:pt>
                <c:pt idx="5">
                  <c:v>20778528.152549028</c:v>
                </c:pt>
                <c:pt idx="6">
                  <c:v>16458600.904062271</c:v>
                </c:pt>
                <c:pt idx="7">
                  <c:v>12138673.655575752</c:v>
                </c:pt>
                <c:pt idx="8">
                  <c:v>7818746.407088995</c:v>
                </c:pt>
                <c:pt idx="9">
                  <c:v>3498819.1586024761</c:v>
                </c:pt>
                <c:pt idx="10">
                  <c:v>-821108.08988428116</c:v>
                </c:pt>
                <c:pt idx="11">
                  <c:v>-5141035.3383708</c:v>
                </c:pt>
                <c:pt idx="12">
                  <c:v>-9460962.5868575573</c:v>
                </c:pt>
                <c:pt idx="13">
                  <c:v>-13780889.835344076</c:v>
                </c:pt>
                <c:pt idx="14">
                  <c:v>-18100817.083830833</c:v>
                </c:pt>
                <c:pt idx="15">
                  <c:v>-22420744.332317352</c:v>
                </c:pt>
                <c:pt idx="16">
                  <c:v>-26740671.58080411</c:v>
                </c:pt>
                <c:pt idx="17">
                  <c:v>-31060598.829290628</c:v>
                </c:pt>
                <c:pt idx="18">
                  <c:v>-35380526.077777386</c:v>
                </c:pt>
                <c:pt idx="19">
                  <c:v>-39700453.326264143</c:v>
                </c:pt>
                <c:pt idx="20">
                  <c:v>-44020380.574750662</c:v>
                </c:pt>
                <c:pt idx="21">
                  <c:v>-48340307.823237419</c:v>
                </c:pt>
                <c:pt idx="22">
                  <c:v>-52660235.071723938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7AF-AB58-A3ED96652827}"/>
            </c:ext>
          </c:extLst>
        </c:ser>
        <c:ser>
          <c:idx val="1"/>
          <c:order val="1"/>
          <c:tx>
            <c:strRef>
              <c:f>Stjernediagram!$J$133</c:f>
              <c:strCache>
                <c:ptCount val="1"/>
                <c:pt idx="0">
                  <c:v>Drift og vedlikehold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Stjernediagram!$H$134:$H$156</c:f>
              <c:numCache>
                <c:formatCode>0%</c:formatCode>
                <c:ptCount val="23"/>
                <c:pt idx="0">
                  <c:v>-0.45</c:v>
                </c:pt>
                <c:pt idx="1">
                  <c:v>-0.4</c:v>
                </c:pt>
                <c:pt idx="2">
                  <c:v>-0.35</c:v>
                </c:pt>
                <c:pt idx="3">
                  <c:v>-0.3</c:v>
                </c:pt>
                <c:pt idx="4">
                  <c:v>-0.25</c:v>
                </c:pt>
                <c:pt idx="5">
                  <c:v>-0.2</c:v>
                </c:pt>
                <c:pt idx="6">
                  <c:v>-0.15</c:v>
                </c:pt>
                <c:pt idx="7">
                  <c:v>-0.1</c:v>
                </c:pt>
                <c:pt idx="8">
                  <c:v>-0.05</c:v>
                </c:pt>
                <c:pt idx="9">
                  <c:v>0</c:v>
                </c:pt>
                <c:pt idx="10">
                  <c:v>0.05</c:v>
                </c:pt>
                <c:pt idx="11">
                  <c:v>0.1</c:v>
                </c:pt>
                <c:pt idx="12">
                  <c:v>0.15</c:v>
                </c:pt>
                <c:pt idx="13">
                  <c:v>0.2</c:v>
                </c:pt>
                <c:pt idx="14">
                  <c:v>0.25</c:v>
                </c:pt>
                <c:pt idx="15">
                  <c:v>0.3</c:v>
                </c:pt>
                <c:pt idx="16">
                  <c:v>0.35</c:v>
                </c:pt>
                <c:pt idx="17">
                  <c:v>0.4</c:v>
                </c:pt>
                <c:pt idx="18">
                  <c:v>0.45</c:v>
                </c:pt>
                <c:pt idx="19">
                  <c:v>0.5</c:v>
                </c:pt>
                <c:pt idx="20">
                  <c:v>0.55000000000000004</c:v>
                </c:pt>
                <c:pt idx="21">
                  <c:v>0.6</c:v>
                </c:pt>
                <c:pt idx="22">
                  <c:v>0.65</c:v>
                </c:pt>
              </c:numCache>
            </c:numRef>
          </c:cat>
          <c:val>
            <c:numRef>
              <c:f>Stjernediagram!$J$134:$J$156</c:f>
              <c:numCache>
                <c:formatCode>_("kr"* #,##0.00_);_("kr"* \(#,##0.00\);_("kr"* "-"??_);_(@_)</c:formatCode>
                <c:ptCount val="23"/>
                <c:pt idx="0">
                  <c:v>348617957.35270619</c:v>
                </c:pt>
                <c:pt idx="1">
                  <c:v>310271386.44225025</c:v>
                </c:pt>
                <c:pt idx="2">
                  <c:v>271924815.53179431</c:v>
                </c:pt>
                <c:pt idx="3">
                  <c:v>233578244.62133837</c:v>
                </c:pt>
                <c:pt idx="4">
                  <c:v>195231673.71088219</c:v>
                </c:pt>
                <c:pt idx="5">
                  <c:v>156885102.80042624</c:v>
                </c:pt>
                <c:pt idx="6">
                  <c:v>118538531.8899703</c:v>
                </c:pt>
                <c:pt idx="7">
                  <c:v>80191960.97951436</c:v>
                </c:pt>
                <c:pt idx="8">
                  <c:v>41845390.069058418</c:v>
                </c:pt>
                <c:pt idx="9">
                  <c:v>3498819.1586024761</c:v>
                </c:pt>
                <c:pt idx="10">
                  <c:v>-34847751.751853466</c:v>
                </c:pt>
                <c:pt idx="11">
                  <c:v>-73194322.662309647</c:v>
                </c:pt>
                <c:pt idx="12">
                  <c:v>-111540893.57276559</c:v>
                </c:pt>
                <c:pt idx="13">
                  <c:v>-149887464.48322153</c:v>
                </c:pt>
                <c:pt idx="14">
                  <c:v>-188234035.39367747</c:v>
                </c:pt>
                <c:pt idx="15">
                  <c:v>-226580606.30413342</c:v>
                </c:pt>
                <c:pt idx="16">
                  <c:v>-264927177.21458948</c:v>
                </c:pt>
                <c:pt idx="17">
                  <c:v>-303273748.12504542</c:v>
                </c:pt>
                <c:pt idx="18">
                  <c:v>-341620319.03550136</c:v>
                </c:pt>
                <c:pt idx="19">
                  <c:v>-379966889.9459573</c:v>
                </c:pt>
                <c:pt idx="20">
                  <c:v>-418313460.85641336</c:v>
                </c:pt>
                <c:pt idx="21">
                  <c:v>-456660031.76686931</c:v>
                </c:pt>
                <c:pt idx="22">
                  <c:v>-495006602.67732525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6-47AF-AB58-A3ED9665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970816"/>
        <c:axId val="1839969856"/>
      </c:lineChart>
      <c:catAx>
        <c:axId val="1839970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Avvik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9969856"/>
        <c:crosses val="autoZero"/>
        <c:auto val="1"/>
        <c:lblAlgn val="ctr"/>
        <c:lblOffset val="1"/>
        <c:tickLblSkip val="2"/>
        <c:tickMarkSkip val="1"/>
        <c:noMultiLvlLbl val="0"/>
      </c:catAx>
      <c:valAx>
        <c:axId val="18399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Nåverdi [NOK]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&quot;kr&quot;* #,##0.00_);_(&quot;kr&quot;* \(#,##0.00\);_(&quot;kr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9970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NÅVERDI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Nåverdi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 og slikt'!$B$115:$B$117</c:f>
              <c:strCache>
                <c:ptCount val="3"/>
                <c:pt idx="0">
                  <c:v>Westinghouse MMR</c:v>
                </c:pt>
                <c:pt idx="1">
                  <c:v>Rolls-Royce SMR</c:v>
                </c:pt>
                <c:pt idx="2">
                  <c:v> Westinghouse SMR </c:v>
                </c:pt>
              </c:strCache>
            </c:strRef>
          </c:cat>
          <c:val>
            <c:numRef>
              <c:f>'diagram og slikt'!$C$115:$C$117</c:f>
              <c:numCache>
                <c:formatCode>"kr"\ #\ ##0.00</c:formatCode>
                <c:ptCount val="3"/>
                <c:pt idx="0">
                  <c:v>3498819.1586024761</c:v>
                </c:pt>
                <c:pt idx="1">
                  <c:v>-12862518180.478346</c:v>
                </c:pt>
                <c:pt idx="2">
                  <c:v>-13357764710.294527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F-4870-8025-D980D2896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983536"/>
        <c:axId val="1676978736"/>
      </c:barChart>
      <c:catAx>
        <c:axId val="16769835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76978736"/>
        <c:crosses val="autoZero"/>
        <c:auto val="1"/>
        <c:lblAlgn val="ctr"/>
        <c:lblOffset val="1"/>
        <c:noMultiLvlLbl val="0"/>
      </c:catAx>
      <c:valAx>
        <c:axId val="16769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\ #\ 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76983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Energipris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og slikt'!$C$126</c:f>
              <c:strCache>
                <c:ptCount val="1"/>
                <c:pt idx="0">
                  <c:v>Spesifikk Energipris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 og slikt'!$B$127:$B$130</c:f>
              <c:strCache>
                <c:ptCount val="4"/>
                <c:pt idx="0">
                  <c:v>Svalbard 2023</c:v>
                </c:pt>
                <c:pt idx="1">
                  <c:v>Westinghouse MMR</c:v>
                </c:pt>
                <c:pt idx="2">
                  <c:v>Rolls-Royce SMR</c:v>
                </c:pt>
                <c:pt idx="3">
                  <c:v> Westinghouse SMR </c:v>
                </c:pt>
              </c:strCache>
            </c:strRef>
          </c:cat>
          <c:val>
            <c:numRef>
              <c:f>'diagram og slikt'!$C$127:$C$130</c:f>
              <c:numCache>
                <c:formatCode>_("kr"* #,##0.00_);_("kr"* \(#,##0.00\);_("kr"* "-"??_);_(@_)</c:formatCode>
                <c:ptCount val="4"/>
                <c:pt idx="0" formatCode="General">
                  <c:v>2.42</c:v>
                </c:pt>
                <c:pt idx="1">
                  <c:v>0.87268874405732189</c:v>
                </c:pt>
                <c:pt idx="2">
                  <c:v>0.2021502024461205</c:v>
                </c:pt>
                <c:pt idx="3">
                  <c:v>0.12604656185288829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1-443A-A2F6-E1E6E1186ECD}"/>
            </c:ext>
          </c:extLst>
        </c:ser>
        <c:ser>
          <c:idx val="1"/>
          <c:order val="1"/>
          <c:tx>
            <c:strRef>
              <c:f>'diagram og slikt'!$D$126</c:f>
              <c:strCache>
                <c:ptCount val="1"/>
                <c:pt idx="0">
                  <c:v>Spesifikk Varmepris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 og slikt'!$B$127:$B$130</c:f>
              <c:strCache>
                <c:ptCount val="4"/>
                <c:pt idx="0">
                  <c:v>Svalbard 2023</c:v>
                </c:pt>
                <c:pt idx="1">
                  <c:v>Westinghouse MMR</c:v>
                </c:pt>
                <c:pt idx="2">
                  <c:v>Rolls-Royce SMR</c:v>
                </c:pt>
                <c:pt idx="3">
                  <c:v> Westinghouse SMR </c:v>
                </c:pt>
              </c:strCache>
            </c:strRef>
          </c:cat>
          <c:val>
            <c:numRef>
              <c:f>'diagram og slikt'!$D$127:$D$130</c:f>
              <c:numCache>
                <c:formatCode>_("kr"* #,##0.00_);_("kr"* \(#,##0.00\);_("kr"* "-"??_);_(@_)</c:formatCode>
                <c:ptCount val="4"/>
                <c:pt idx="0" formatCode="General">
                  <c:v>0.56999999999999995</c:v>
                </c:pt>
                <c:pt idx="1">
                  <c:v>1.2083382610024458</c:v>
                </c:pt>
                <c:pt idx="2">
                  <c:v>0.27211382184941696</c:v>
                </c:pt>
                <c:pt idx="3">
                  <c:v>0.16149715737401316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1-443A-A2F6-E1E6E1186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5488592"/>
        <c:axId val="1391542352"/>
      </c:barChart>
      <c:catAx>
        <c:axId val="167548859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91542352"/>
        <c:crosses val="autoZero"/>
        <c:auto val="1"/>
        <c:lblAlgn val="ctr"/>
        <c:lblOffset val="100"/>
        <c:noMultiLvlLbl val="0"/>
      </c:catAx>
      <c:valAx>
        <c:axId val="139154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kr/kWh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7548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1666219</xdr:colOff>
      <xdr:row>2</xdr:row>
      <xdr:rowOff>10148</xdr:rowOff>
    </xdr:from>
    <xdr:ext cx="3546362" cy="1897957"/>
    <xdr:pic>
      <xdr:nvPicPr>
        <xdr:cNvPr id="2" name="Bilde 1">
          <a:extLst>
            <a:ext uri="{FF2B5EF4-FFF2-40B4-BE49-F238E27FC236}">
              <a16:creationId xmlns:a16="http://schemas.microsoft.com/office/drawing/2014/main" id="{1DD5B584-8FE2-BDA2-D01A-34BE15273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1276" y="380262"/>
          <a:ext cx="3546362" cy="18979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76200</xdr:rowOff>
    </xdr:from>
    <xdr:to>
      <xdr:col>4</xdr:col>
      <xdr:colOff>1114425</xdr:colOff>
      <xdr:row>115</xdr:row>
      <xdr:rowOff>28575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0708731-1CD7-4F45-306A-C2F6F5FFF3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519635</xdr:colOff>
      <xdr:row>87</xdr:row>
      <xdr:rowOff>14993</xdr:rowOff>
    </xdr:from>
    <xdr:to>
      <xdr:col>20</xdr:col>
      <xdr:colOff>108793</xdr:colOff>
      <xdr:row>105</xdr:row>
      <xdr:rowOff>174343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2D08AC6E-85E5-5625-8801-B00F8DC106DE}"/>
            </a:ext>
            <a:ext uri="{147F2762-F138-4A5C-976F-8EAC2B608ADB}">
              <a16:predDERef xmlns:a16="http://schemas.microsoft.com/office/drawing/2014/main" pred="{C0708731-1CD7-4F45-306A-C2F6F5FFF3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477520</xdr:colOff>
      <xdr:row>135</xdr:row>
      <xdr:rowOff>142240</xdr:rowOff>
    </xdr:from>
    <xdr:to>
      <xdr:col>17</xdr:col>
      <xdr:colOff>467360</xdr:colOff>
      <xdr:row>158</xdr:row>
      <xdr:rowOff>121920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0FAA5CA-BF70-590C-E19B-C668AA26E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1143705</xdr:colOff>
      <xdr:row>0</xdr:row>
      <xdr:rowOff>21033</xdr:rowOff>
    </xdr:from>
    <xdr:ext cx="3546362" cy="1897957"/>
    <xdr:pic>
      <xdr:nvPicPr>
        <xdr:cNvPr id="2" name="Bilde 1">
          <a:extLst>
            <a:ext uri="{FF2B5EF4-FFF2-40B4-BE49-F238E27FC236}">
              <a16:creationId xmlns:a16="http://schemas.microsoft.com/office/drawing/2014/main" id="{8209A510-A35B-4085-971E-41455E8E7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4885" y="203913"/>
          <a:ext cx="3546362" cy="1897957"/>
        </a:xfrm>
        <a:prstGeom prst="rect">
          <a:avLst/>
        </a:prstGeom>
      </xdr:spPr>
    </xdr:pic>
    <xdr:clientData/>
  </xdr:oneCellAnchor>
  <xdr:twoCellAnchor>
    <xdr:from>
      <xdr:col>3</xdr:col>
      <xdr:colOff>312420</xdr:colOff>
      <xdr:row>110</xdr:row>
      <xdr:rowOff>179070</xdr:rowOff>
    </xdr:from>
    <xdr:to>
      <xdr:col>4</xdr:col>
      <xdr:colOff>2697480</xdr:colOff>
      <xdr:row>124</xdr:row>
      <xdr:rowOff>60960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2862CED-7277-766A-1C80-A8EE02766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438149</xdr:colOff>
      <xdr:row>124</xdr:row>
      <xdr:rowOff>87630</xdr:rowOff>
    </xdr:from>
    <xdr:to>
      <xdr:col>5</xdr:col>
      <xdr:colOff>642470</xdr:colOff>
      <xdr:row>138</xdr:row>
      <xdr:rowOff>67236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2618918-1299-132E-3B6B-F6C07C2FA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622C9-9471-43DF-8ABA-DD587F3A0A7D}">
  <sheetPr>
    <tabColor rgb="FFFF0000"/>
  </sheetPr>
  <dimension ref="A5:P121"/>
  <sheetViews>
    <sheetView tabSelected="1" zoomScale="67" zoomScaleNormal="70" workbookViewId="0">
      <selection activeCell="H5" sqref="H5"/>
    </sheetView>
  </sheetViews>
  <sheetFormatPr baseColWidth="10" defaultColWidth="9.109375" defaultRowHeight="14.4" x14ac:dyDescent="0.3"/>
  <cols>
    <col min="1" max="1" width="32.33203125" bestFit="1" customWidth="1"/>
    <col min="2" max="2" width="31.6640625" bestFit="1" customWidth="1"/>
    <col min="3" max="3" width="29.109375" bestFit="1" customWidth="1"/>
    <col min="4" max="4" width="20.6640625" bestFit="1" customWidth="1"/>
    <col min="5" max="5" width="58.88671875" bestFit="1" customWidth="1"/>
    <col min="6" max="6" width="16.6640625" bestFit="1" customWidth="1"/>
    <col min="7" max="7" width="30.33203125" bestFit="1" customWidth="1"/>
    <col min="8" max="8" width="26" bestFit="1" customWidth="1"/>
    <col min="9" max="9" width="21.33203125" bestFit="1" customWidth="1"/>
    <col min="10" max="10" width="34.33203125" bestFit="1" customWidth="1"/>
    <col min="11" max="11" width="18.6640625" customWidth="1"/>
    <col min="12" max="12" width="30.5546875" bestFit="1" customWidth="1"/>
    <col min="13" max="13" width="21.33203125" bestFit="1" customWidth="1"/>
    <col min="14" max="14" width="23.109375" bestFit="1" customWidth="1"/>
    <col min="15" max="15" width="8.44140625" bestFit="1" customWidth="1"/>
  </cols>
  <sheetData>
    <row r="5" spans="1:13" x14ac:dyDescent="0.3">
      <c r="A5">
        <v>218</v>
      </c>
      <c r="B5" t="s">
        <v>2</v>
      </c>
      <c r="C5" t="s">
        <v>3</v>
      </c>
    </row>
    <row r="6" spans="1:13" x14ac:dyDescent="0.3">
      <c r="A6">
        <v>57</v>
      </c>
      <c r="B6" t="s">
        <v>4</v>
      </c>
      <c r="C6" t="s">
        <v>5</v>
      </c>
    </row>
    <row r="7" spans="1:13" x14ac:dyDescent="0.3">
      <c r="A7">
        <f>A5/1.09</f>
        <v>199.99999999999997</v>
      </c>
      <c r="B7" t="s">
        <v>4</v>
      </c>
    </row>
    <row r="13" spans="1:13" x14ac:dyDescent="0.3">
      <c r="B13" s="66" t="s">
        <v>6</v>
      </c>
      <c r="C13" s="67"/>
      <c r="H13" s="66" t="s">
        <v>7</v>
      </c>
      <c r="I13" s="67"/>
      <c r="L13" s="66" t="s">
        <v>8</v>
      </c>
      <c r="M13" s="67"/>
    </row>
    <row r="14" spans="1:13" x14ac:dyDescent="0.3">
      <c r="B14" s="67" t="s">
        <v>9</v>
      </c>
      <c r="C14" s="67" t="s">
        <v>10</v>
      </c>
      <c r="H14" s="67" t="s">
        <v>9</v>
      </c>
      <c r="I14" s="67" t="s">
        <v>11</v>
      </c>
      <c r="L14" s="67" t="s">
        <v>9</v>
      </c>
      <c r="M14" s="67" t="s">
        <v>12</v>
      </c>
    </row>
    <row r="15" spans="1:13" x14ac:dyDescent="0.3">
      <c r="B15" s="67" t="s">
        <v>13</v>
      </c>
      <c r="C15" s="67">
        <v>5</v>
      </c>
      <c r="H15" s="67" t="s">
        <v>13</v>
      </c>
      <c r="I15" s="67">
        <v>470</v>
      </c>
      <c r="L15" s="67" t="s">
        <v>13</v>
      </c>
      <c r="M15" s="67">
        <v>225</v>
      </c>
    </row>
    <row r="16" spans="1:13" x14ac:dyDescent="0.3">
      <c r="B16" s="67" t="s">
        <v>14</v>
      </c>
      <c r="C16" s="67">
        <v>13</v>
      </c>
      <c r="H16" s="67" t="s">
        <v>14</v>
      </c>
      <c r="I16" s="67">
        <v>1358</v>
      </c>
      <c r="L16" s="67" t="s">
        <v>14</v>
      </c>
      <c r="M16" s="67">
        <v>800</v>
      </c>
    </row>
    <row r="17" spans="1:16" x14ac:dyDescent="0.3">
      <c r="B17" s="67" t="s">
        <v>15</v>
      </c>
      <c r="C17" s="68">
        <f>1200*10^6</f>
        <v>1200000000</v>
      </c>
      <c r="H17" s="67" t="s">
        <v>16</v>
      </c>
      <c r="I17" s="68">
        <f>2.9*10^9</f>
        <v>2900000000</v>
      </c>
      <c r="L17" s="67" t="s">
        <v>17</v>
      </c>
      <c r="M17" s="68">
        <v>1000000000</v>
      </c>
      <c r="N17" t="s">
        <v>18</v>
      </c>
      <c r="O17">
        <v>10.577</v>
      </c>
      <c r="P17" t="s">
        <v>19</v>
      </c>
    </row>
    <row r="18" spans="1:16" x14ac:dyDescent="0.3">
      <c r="B18" s="67" t="s">
        <v>20</v>
      </c>
      <c r="C18" s="68">
        <f>600*10^6</f>
        <v>600000000</v>
      </c>
      <c r="H18" s="67" t="s">
        <v>21</v>
      </c>
      <c r="I18" s="67">
        <v>11.475</v>
      </c>
      <c r="J18" t="s">
        <v>22</v>
      </c>
      <c r="L18" s="67" t="s">
        <v>23</v>
      </c>
      <c r="M18" s="68">
        <f>M17*O17</f>
        <v>10577000000</v>
      </c>
    </row>
    <row r="19" spans="1:16" x14ac:dyDescent="0.3">
      <c r="B19" s="67" t="s">
        <v>24</v>
      </c>
      <c r="C19" s="67">
        <v>8</v>
      </c>
      <c r="H19" s="67" t="s">
        <v>23</v>
      </c>
      <c r="I19" s="68">
        <f>I17*I18</f>
        <v>33277500000</v>
      </c>
      <c r="L19" s="67" t="s">
        <v>25</v>
      </c>
      <c r="M19" s="67">
        <v>24</v>
      </c>
    </row>
    <row r="20" spans="1:16" x14ac:dyDescent="0.3">
      <c r="B20" s="67" t="s">
        <v>26</v>
      </c>
      <c r="C20" s="67">
        <v>40</v>
      </c>
      <c r="H20" s="67" t="s">
        <v>25</v>
      </c>
      <c r="I20" s="67">
        <v>18</v>
      </c>
      <c r="L20" s="67" t="s">
        <v>26</v>
      </c>
      <c r="M20" s="67">
        <v>60</v>
      </c>
      <c r="O20" s="8"/>
    </row>
    <row r="21" spans="1:16" x14ac:dyDescent="0.3">
      <c r="B21" s="67" t="s">
        <v>27</v>
      </c>
      <c r="C21" s="67">
        <v>40.299999999999997</v>
      </c>
      <c r="H21" s="67" t="s">
        <v>26</v>
      </c>
      <c r="I21" s="67">
        <v>60</v>
      </c>
      <c r="L21" s="67" t="s">
        <v>28</v>
      </c>
      <c r="M21" s="67"/>
    </row>
    <row r="22" spans="1:16" x14ac:dyDescent="0.3">
      <c r="B22" s="67" t="s">
        <v>29</v>
      </c>
      <c r="C22" s="67">
        <v>8322</v>
      </c>
      <c r="H22" s="67" t="s">
        <v>29</v>
      </c>
      <c r="I22" s="67">
        <v>8322</v>
      </c>
      <c r="L22" s="67" t="s">
        <v>29</v>
      </c>
      <c r="M22" s="67">
        <v>8322</v>
      </c>
    </row>
    <row r="23" spans="1:16" x14ac:dyDescent="0.3">
      <c r="B23" s="67" t="s">
        <v>30</v>
      </c>
      <c r="C23" s="67"/>
      <c r="H23" s="67" t="s">
        <v>31</v>
      </c>
      <c r="I23" s="67">
        <v>80</v>
      </c>
      <c r="L23" s="67" t="s">
        <v>30</v>
      </c>
      <c r="M23" s="67"/>
    </row>
    <row r="24" spans="1:16" x14ac:dyDescent="0.3">
      <c r="B24" s="69" t="s">
        <v>32</v>
      </c>
      <c r="C24" s="69"/>
      <c r="H24" s="67" t="s">
        <v>33</v>
      </c>
      <c r="I24" s="68">
        <f>I50*(100/77)</f>
        <v>2674116003.5957322</v>
      </c>
      <c r="L24" s="69" t="s">
        <v>34</v>
      </c>
      <c r="M24" s="69"/>
    </row>
    <row r="25" spans="1:16" x14ac:dyDescent="0.3">
      <c r="A25" t="s">
        <v>35</v>
      </c>
      <c r="B25" s="70" t="s">
        <v>36</v>
      </c>
      <c r="C25" s="71">
        <f>C64/0.7</f>
        <v>113934061.57830086</v>
      </c>
      <c r="H25" s="67" t="s">
        <v>34</v>
      </c>
      <c r="I25" s="67">
        <v>57</v>
      </c>
      <c r="L25" s="67" t="s">
        <v>33</v>
      </c>
      <c r="M25" s="68">
        <f>M50*(100/70)</f>
        <v>934942152.115852</v>
      </c>
    </row>
    <row r="26" spans="1:16" x14ac:dyDescent="0.3">
      <c r="B26" s="72" t="s">
        <v>37</v>
      </c>
      <c r="C26" s="73">
        <f>D55</f>
        <v>50971440</v>
      </c>
      <c r="H26" s="67" t="s">
        <v>37</v>
      </c>
      <c r="I26" s="68">
        <f>I24*0.15</f>
        <v>401117400.53935981</v>
      </c>
      <c r="J26" s="54" t="s">
        <v>38</v>
      </c>
      <c r="L26" s="67" t="s">
        <v>37</v>
      </c>
      <c r="M26" s="68">
        <f>M25*0.15</f>
        <v>140241322.81737781</v>
      </c>
      <c r="N26" s="54" t="s">
        <v>38</v>
      </c>
    </row>
    <row r="27" spans="1:16" x14ac:dyDescent="0.3">
      <c r="B27" s="67" t="s">
        <v>39</v>
      </c>
      <c r="C27" s="68">
        <f>D45+E45</f>
        <v>5742180</v>
      </c>
      <c r="E27" s="15"/>
      <c r="H27" s="67" t="s">
        <v>39</v>
      </c>
      <c r="I27" s="68">
        <f>I56</f>
        <v>352020600</v>
      </c>
      <c r="L27" s="67" t="s">
        <v>40</v>
      </c>
      <c r="M27" s="68">
        <f>M56</f>
        <v>168520500</v>
      </c>
    </row>
    <row r="28" spans="1:16" x14ac:dyDescent="0.3">
      <c r="B28" s="67" t="s">
        <v>41</v>
      </c>
      <c r="C28" s="68">
        <f>C27*C20</f>
        <v>229687200</v>
      </c>
    </row>
    <row r="30" spans="1:16" x14ac:dyDescent="0.3">
      <c r="H30" s="80" t="s">
        <v>42</v>
      </c>
      <c r="I30" s="1"/>
      <c r="L30" s="80" t="s">
        <v>42</v>
      </c>
      <c r="M30" s="1"/>
    </row>
    <row r="31" spans="1:16" x14ac:dyDescent="0.3">
      <c r="B31" s="66" t="s">
        <v>43</v>
      </c>
      <c r="C31" s="67"/>
      <c r="H31" s="1" t="s">
        <v>44</v>
      </c>
      <c r="I31" s="1">
        <v>40</v>
      </c>
      <c r="L31" s="1" t="s">
        <v>44</v>
      </c>
      <c r="M31" s="1">
        <v>40</v>
      </c>
    </row>
    <row r="32" spans="1:16" x14ac:dyDescent="0.3">
      <c r="B32" s="67" t="s">
        <v>45</v>
      </c>
      <c r="C32" s="67">
        <v>0.06</v>
      </c>
      <c r="H32" s="1" t="s">
        <v>46</v>
      </c>
      <c r="I32" s="1">
        <v>70</v>
      </c>
      <c r="L32" s="3" t="s">
        <v>46</v>
      </c>
      <c r="M32" s="3">
        <v>70</v>
      </c>
    </row>
    <row r="33" spans="1:13" x14ac:dyDescent="0.3">
      <c r="H33" s="1" t="s">
        <v>47</v>
      </c>
      <c r="I33" s="1">
        <v>2.42</v>
      </c>
      <c r="L33" s="1" t="s">
        <v>47</v>
      </c>
      <c r="M33" s="1">
        <v>2.42</v>
      </c>
    </row>
    <row r="34" spans="1:13" x14ac:dyDescent="0.3">
      <c r="B34" s="66" t="s">
        <v>48</v>
      </c>
      <c r="C34" s="67"/>
      <c r="H34" s="1" t="s">
        <v>49</v>
      </c>
      <c r="I34" s="1">
        <v>0.56999999999999995</v>
      </c>
      <c r="L34" s="1" t="s">
        <v>49</v>
      </c>
      <c r="M34" s="1">
        <v>0.56999999999999995</v>
      </c>
    </row>
    <row r="35" spans="1:13" x14ac:dyDescent="0.3">
      <c r="B35" s="67" t="s">
        <v>50</v>
      </c>
      <c r="C35" s="67">
        <f>C15*C22 *10^-3</f>
        <v>41.61</v>
      </c>
    </row>
    <row r="36" spans="1:13" x14ac:dyDescent="0.3">
      <c r="B36" s="67" t="s">
        <v>51</v>
      </c>
      <c r="C36" s="75">
        <f>C16*C22 *10^-3</f>
        <v>108.18600000000001</v>
      </c>
      <c r="D36" s="21">
        <f>C36-70</f>
        <v>38.186000000000007</v>
      </c>
      <c r="I36" s="8"/>
      <c r="M36" s="8"/>
    </row>
    <row r="37" spans="1:13" x14ac:dyDescent="0.3">
      <c r="B37" s="67" t="s">
        <v>52</v>
      </c>
      <c r="C37" s="75">
        <f>C35+C36</f>
        <v>149.79599999999999</v>
      </c>
      <c r="H37" s="2" t="s">
        <v>50</v>
      </c>
      <c r="I37" s="1">
        <f>I15*I22*10^-3</f>
        <v>3911.34</v>
      </c>
      <c r="L37" s="2" t="s">
        <v>50</v>
      </c>
      <c r="M37" s="1">
        <f>M15*M22*10^-3</f>
        <v>1872.45</v>
      </c>
    </row>
    <row r="38" spans="1:13" x14ac:dyDescent="0.3">
      <c r="B38" s="67" t="s">
        <v>53</v>
      </c>
      <c r="C38" s="76">
        <f>I31/C35</f>
        <v>0.96130737803412647</v>
      </c>
      <c r="H38" s="2" t="s">
        <v>51</v>
      </c>
      <c r="I38" s="1">
        <f>I16*I22*10^-3</f>
        <v>11301.276</v>
      </c>
      <c r="L38" s="2" t="s">
        <v>51</v>
      </c>
      <c r="M38" s="1">
        <f>M16*M22*10^-3</f>
        <v>6657.6</v>
      </c>
    </row>
    <row r="39" spans="1:13" x14ac:dyDescent="0.3">
      <c r="B39" s="67" t="s">
        <v>54</v>
      </c>
      <c r="C39" s="76">
        <f>I32/C36</f>
        <v>0.64703381213835431</v>
      </c>
      <c r="H39" s="2" t="s">
        <v>53</v>
      </c>
      <c r="I39" s="1">
        <f>I31/I37</f>
        <v>1.0226674234405599E-2</v>
      </c>
      <c r="L39" s="2" t="s">
        <v>53</v>
      </c>
      <c r="M39" s="1">
        <f>M31/M37</f>
        <v>2.1362386178536141E-2</v>
      </c>
    </row>
    <row r="40" spans="1:13" x14ac:dyDescent="0.3">
      <c r="B40" s="67" t="s">
        <v>55</v>
      </c>
      <c r="C40" s="75">
        <f>C37-110</f>
        <v>39.795999999999992</v>
      </c>
      <c r="H40" s="2" t="s">
        <v>54</v>
      </c>
      <c r="I40" s="1">
        <f>I32/I38</f>
        <v>6.193990837848753E-3</v>
      </c>
      <c r="L40" s="2" t="s">
        <v>54</v>
      </c>
      <c r="M40" s="1">
        <f>M32/M38</f>
        <v>1.0514299447248257E-2</v>
      </c>
    </row>
    <row r="42" spans="1:13" x14ac:dyDescent="0.3">
      <c r="H42" s="1" t="s">
        <v>56</v>
      </c>
      <c r="I42" s="1">
        <f>I15*I22*10^-3</f>
        <v>3911.34</v>
      </c>
      <c r="L42" s="1" t="s">
        <v>56</v>
      </c>
      <c r="M42" s="1">
        <f>M37</f>
        <v>1872.45</v>
      </c>
    </row>
    <row r="43" spans="1:13" x14ac:dyDescent="0.3">
      <c r="H43" s="1" t="s">
        <v>57</v>
      </c>
      <c r="I43" s="1">
        <f>I16*I22*10^-3</f>
        <v>11301.276</v>
      </c>
      <c r="L43" s="1" t="s">
        <v>57</v>
      </c>
      <c r="M43" s="1">
        <f>M38</f>
        <v>6657.6</v>
      </c>
    </row>
    <row r="44" spans="1:13" x14ac:dyDescent="0.3">
      <c r="A44" t="s">
        <v>58</v>
      </c>
      <c r="B44" s="65" t="s">
        <v>59</v>
      </c>
      <c r="C44" s="82" t="s">
        <v>60</v>
      </c>
      <c r="D44" s="81" t="s">
        <v>61</v>
      </c>
      <c r="E44" s="80" t="s">
        <v>62</v>
      </c>
      <c r="F44" s="80" t="s">
        <v>63</v>
      </c>
      <c r="H44" s="1" t="s">
        <v>64</v>
      </c>
      <c r="I44" s="1">
        <f>I42+I43</f>
        <v>15212.616</v>
      </c>
      <c r="L44" s="1" t="s">
        <v>64</v>
      </c>
      <c r="M44" s="1">
        <f>M42+M43</f>
        <v>8530.0500000000011</v>
      </c>
    </row>
    <row r="45" spans="1:13" x14ac:dyDescent="0.3">
      <c r="B45" s="22" t="s">
        <v>65</v>
      </c>
      <c r="C45" s="22" t="s">
        <v>66</v>
      </c>
      <c r="D45" s="63">
        <f>0.06*(C35*10^6)</f>
        <v>2496600</v>
      </c>
      <c r="E45" s="18">
        <f>0.03*(C36*10^6)</f>
        <v>3245580</v>
      </c>
      <c r="F45" s="18">
        <f>E45+D45</f>
        <v>5742180</v>
      </c>
    </row>
    <row r="46" spans="1:13" x14ac:dyDescent="0.3">
      <c r="B46" s="22" t="s">
        <v>67</v>
      </c>
      <c r="C46" s="22" t="s">
        <v>68</v>
      </c>
      <c r="D46" s="63">
        <f>0.0175*(C35*10^6)</f>
        <v>728175.00000000012</v>
      </c>
      <c r="E46" s="64">
        <f>0.0175*(C36*10^6)</f>
        <v>1893255.0000000002</v>
      </c>
      <c r="F46" s="15">
        <f>D46+E46</f>
        <v>2621430.0000000005</v>
      </c>
      <c r="I46" s="93"/>
      <c r="M46" s="93"/>
    </row>
    <row r="47" spans="1:13" x14ac:dyDescent="0.3">
      <c r="B47" s="22" t="s">
        <v>69</v>
      </c>
      <c r="C47" s="41" t="s">
        <v>70</v>
      </c>
      <c r="D47" s="63">
        <f>0.01*(C35*10^6)</f>
        <v>416100</v>
      </c>
      <c r="E47" s="64">
        <f>0.01*(C36*10^6)</f>
        <v>1081860</v>
      </c>
      <c r="F47" s="15">
        <f>D47+E47</f>
        <v>1497960</v>
      </c>
      <c r="H47" s="85" t="s">
        <v>71</v>
      </c>
      <c r="I47" s="18">
        <f>(I24+I26)/(I44*10^6)</f>
        <v>0.2021502024461205</v>
      </c>
      <c r="L47" s="85" t="s">
        <v>71</v>
      </c>
      <c r="M47" s="18">
        <f>(M25+M26)/(M44*10^6)</f>
        <v>0.12604656185288829</v>
      </c>
    </row>
    <row r="48" spans="1:13" x14ac:dyDescent="0.3">
      <c r="C48" s="7"/>
      <c r="H48" s="94" t="s">
        <v>72</v>
      </c>
      <c r="I48" s="18">
        <f>(I24+I26)/(I43*10^6)</f>
        <v>0.27211382184941696</v>
      </c>
      <c r="L48" s="85" t="s">
        <v>72</v>
      </c>
      <c r="M48" s="18">
        <f>(M25+M26)/(M43*10^6)</f>
        <v>0.16149715737401316</v>
      </c>
    </row>
    <row r="49" spans="1:13" x14ac:dyDescent="0.3">
      <c r="A49" t="s">
        <v>58</v>
      </c>
      <c r="B49" s="65" t="s">
        <v>73</v>
      </c>
      <c r="C49" s="22" t="s">
        <v>74</v>
      </c>
      <c r="D49" s="24">
        <f>0.02*(C37*10^6)</f>
        <v>2995920</v>
      </c>
      <c r="E49" s="7"/>
      <c r="F49" s="15"/>
    </row>
    <row r="50" spans="1:13" x14ac:dyDescent="0.3">
      <c r="A50" t="s">
        <v>58</v>
      </c>
      <c r="B50" s="65" t="s">
        <v>75</v>
      </c>
      <c r="C50" s="41" t="s">
        <v>76</v>
      </c>
      <c r="D50" s="24">
        <f>0.12*(C37*10^6)</f>
        <v>17975520</v>
      </c>
      <c r="H50" s="85" t="s">
        <v>77</v>
      </c>
      <c r="I50" s="18">
        <f>I19*((C32*(1+C32)^I21)/((1+C32)^I21-1))</f>
        <v>2059069322.7687137</v>
      </c>
      <c r="L50" s="85" t="s">
        <v>77</v>
      </c>
      <c r="M50" s="18">
        <f>M18*((C32*(1+C32)^M20)/((1+C32)^M20-1))</f>
        <v>654459506.48109639</v>
      </c>
    </row>
    <row r="51" spans="1:13" x14ac:dyDescent="0.3">
      <c r="B51" s="22"/>
      <c r="C51" s="42" t="s">
        <v>78</v>
      </c>
      <c r="D51" s="24">
        <f>D49+D50</f>
        <v>20971440</v>
      </c>
      <c r="H51" s="85" t="s">
        <v>79</v>
      </c>
      <c r="I51" s="18">
        <f>I50*10^-6</f>
        <v>2059.0693227687138</v>
      </c>
      <c r="L51" s="85" t="s">
        <v>79</v>
      </c>
      <c r="M51" s="18">
        <f>M50*10^-6</f>
        <v>654.45950648109635</v>
      </c>
    </row>
    <row r="52" spans="1:13" x14ac:dyDescent="0.3">
      <c r="C52" s="38"/>
      <c r="D52" s="15"/>
      <c r="F52" s="15"/>
    </row>
    <row r="53" spans="1:13" x14ac:dyDescent="0.3">
      <c r="A53" s="8" t="s">
        <v>80</v>
      </c>
      <c r="B53" s="24">
        <f>727000*C54*30</f>
        <v>24863399.999999996</v>
      </c>
      <c r="C53" s="27" t="s">
        <v>81</v>
      </c>
      <c r="D53" s="24">
        <f>30*10^6</f>
        <v>30000000</v>
      </c>
      <c r="H53" s="80" t="s">
        <v>59</v>
      </c>
      <c r="I53" s="1"/>
      <c r="L53" s="80" t="s">
        <v>59</v>
      </c>
      <c r="M53" s="1"/>
    </row>
    <row r="54" spans="1:13" x14ac:dyDescent="0.3">
      <c r="B54" s="24" t="s">
        <v>82</v>
      </c>
      <c r="C54" s="27">
        <v>1.1399999999999999</v>
      </c>
      <c r="D54" s="24"/>
      <c r="H54" s="4" t="s">
        <v>83</v>
      </c>
      <c r="I54" s="64">
        <f>0.06*(I42*10^6)</f>
        <v>234680400</v>
      </c>
      <c r="L54" s="4" t="s">
        <v>84</v>
      </c>
      <c r="M54" s="64">
        <f>0.06*(M42*10^6)</f>
        <v>112347000</v>
      </c>
    </row>
    <row r="55" spans="1:13" x14ac:dyDescent="0.3">
      <c r="B55" s="83" t="s">
        <v>85</v>
      </c>
      <c r="C55" s="77" t="s">
        <v>78</v>
      </c>
      <c r="D55" s="78">
        <f>D51+D53</f>
        <v>50971440</v>
      </c>
      <c r="H55" s="4" t="s">
        <v>86</v>
      </c>
      <c r="I55" s="64">
        <f>0.03*(I42*10^6)</f>
        <v>117340200</v>
      </c>
      <c r="L55" s="4" t="s">
        <v>86</v>
      </c>
      <c r="M55" s="64">
        <f>0.03*(M42*10^6)</f>
        <v>56173500</v>
      </c>
    </row>
    <row r="56" spans="1:13" x14ac:dyDescent="0.3">
      <c r="B56" s="84" t="s">
        <v>87</v>
      </c>
      <c r="C56" s="79" t="s">
        <v>78</v>
      </c>
      <c r="D56" s="18">
        <f>D53+D51+D45+E45</f>
        <v>56713620</v>
      </c>
      <c r="H56" s="45" t="s">
        <v>88</v>
      </c>
      <c r="I56" s="64">
        <f>I54+I55</f>
        <v>352020600</v>
      </c>
      <c r="L56" s="45" t="s">
        <v>88</v>
      </c>
      <c r="M56" s="64">
        <f>M54+M55</f>
        <v>168520500</v>
      </c>
    </row>
    <row r="58" spans="1:13" x14ac:dyDescent="0.3">
      <c r="A58" s="54" t="s">
        <v>89</v>
      </c>
      <c r="B58" s="54" t="s">
        <v>90</v>
      </c>
    </row>
    <row r="60" spans="1:13" x14ac:dyDescent="0.3">
      <c r="C60" s="80" t="s">
        <v>91</v>
      </c>
      <c r="D60" s="80" t="s">
        <v>92</v>
      </c>
    </row>
    <row r="61" spans="1:13" x14ac:dyDescent="0.3">
      <c r="B61" s="80" t="s">
        <v>71</v>
      </c>
      <c r="C61" s="43">
        <f>(C64+D55)/(C37*10^6)</f>
        <v>0.87268874405732189</v>
      </c>
      <c r="D61" s="18">
        <f>(D64+D55)/((C37)*10^6)</f>
        <v>0.60648055724054917</v>
      </c>
      <c r="H61" s="80" t="s">
        <v>93</v>
      </c>
      <c r="I61" s="1"/>
      <c r="L61" s="80" t="s">
        <v>94</v>
      </c>
      <c r="M61" s="1"/>
    </row>
    <row r="62" spans="1:13" x14ac:dyDescent="0.3">
      <c r="B62" s="80" t="s">
        <v>72</v>
      </c>
      <c r="C62" s="44">
        <f>(C64+D55)/(C36*10^6)</f>
        <v>1.2083382610024458</v>
      </c>
      <c r="D62" s="18">
        <f>(D64+D55)/(C36*10^6)</f>
        <v>0.83974231002537569</v>
      </c>
      <c r="H62" s="1" t="s">
        <v>95</v>
      </c>
      <c r="I62" s="18">
        <f>(I31*10^6)*I33</f>
        <v>96800000</v>
      </c>
      <c r="L62" s="1" t="s">
        <v>95</v>
      </c>
      <c r="M62" s="18">
        <f>(I31*10^6)*I33</f>
        <v>96800000</v>
      </c>
    </row>
    <row r="63" spans="1:13" x14ac:dyDescent="0.3">
      <c r="H63" s="1" t="s">
        <v>96</v>
      </c>
      <c r="I63" s="18">
        <f>(I32*10^6)*I34</f>
        <v>39900000</v>
      </c>
      <c r="L63" s="1" t="s">
        <v>96</v>
      </c>
      <c r="M63" s="18">
        <f>(I32*10^6)*I34</f>
        <v>39900000</v>
      </c>
    </row>
    <row r="64" spans="1:13" x14ac:dyDescent="0.3">
      <c r="B64" s="80" t="s">
        <v>77</v>
      </c>
      <c r="C64" s="18">
        <f>C17*((C32*(1+C32)^C20)/(((1+C32)^C20) -1))</f>
        <v>79753843.104810596</v>
      </c>
      <c r="D64" s="18">
        <f>C18*((C32*(1+C32)^C20)/(((1+C32)^C20) -1))</f>
        <v>39876921.552405298</v>
      </c>
      <c r="H64" s="1" t="s">
        <v>97</v>
      </c>
      <c r="I64" s="18">
        <f>I62+I63</f>
        <v>136700000</v>
      </c>
      <c r="L64" s="1" t="s">
        <v>97</v>
      </c>
      <c r="M64" s="18">
        <f>M62+M63</f>
        <v>136700000</v>
      </c>
    </row>
    <row r="65" spans="2:13" x14ac:dyDescent="0.3">
      <c r="B65" s="80" t="s">
        <v>79</v>
      </c>
      <c r="C65" s="20">
        <f>C64*10^-6</f>
        <v>79.753843104810585</v>
      </c>
      <c r="D65" s="20">
        <f>D64*10^-6</f>
        <v>39.876921552405292</v>
      </c>
      <c r="H65" s="4" t="s">
        <v>98</v>
      </c>
      <c r="I65" s="18">
        <f>I64-I26-I56</f>
        <v>-616438000.53935981</v>
      </c>
      <c r="L65" s="4" t="s">
        <v>98</v>
      </c>
      <c r="M65" s="18">
        <f>M64-M26-M27</f>
        <v>-172061822.81737781</v>
      </c>
    </row>
    <row r="67" spans="2:13" x14ac:dyDescent="0.3">
      <c r="B67" s="80" t="s">
        <v>99</v>
      </c>
      <c r="C67" s="8"/>
      <c r="D67" s="8"/>
      <c r="H67" s="80" t="s">
        <v>100</v>
      </c>
      <c r="I67" s="1"/>
      <c r="L67" s="80" t="s">
        <v>101</v>
      </c>
      <c r="M67" s="1"/>
    </row>
    <row r="68" spans="2:13" x14ac:dyDescent="0.3">
      <c r="B68" s="85" t="s">
        <v>102</v>
      </c>
      <c r="C68" s="18">
        <f>(C64+D55)/((I31+I32)*10^6)</f>
        <v>1.1884116645891871</v>
      </c>
      <c r="D68" s="18">
        <f>(D64+D55)/((I31+I32)*10^6)</f>
        <v>0.82589419593095725</v>
      </c>
      <c r="H68" s="1" t="s">
        <v>98</v>
      </c>
      <c r="I68" s="18">
        <f>I65</f>
        <v>-616438000.53935981</v>
      </c>
      <c r="L68" s="1" t="s">
        <v>98</v>
      </c>
      <c r="M68" s="18">
        <f>M65</f>
        <v>-172061822.81737781</v>
      </c>
    </row>
    <row r="69" spans="2:13" x14ac:dyDescent="0.3">
      <c r="H69" s="1" t="s">
        <v>103</v>
      </c>
      <c r="I69" s="1">
        <f>I21</f>
        <v>60</v>
      </c>
      <c r="L69" s="1" t="s">
        <v>103</v>
      </c>
      <c r="M69" s="1">
        <f>M20</f>
        <v>60</v>
      </c>
    </row>
    <row r="70" spans="2:13" x14ac:dyDescent="0.3">
      <c r="H70" s="1" t="s">
        <v>104</v>
      </c>
      <c r="I70" s="18">
        <f>I17</f>
        <v>2900000000</v>
      </c>
      <c r="L70" s="1" t="s">
        <v>104</v>
      </c>
      <c r="M70" s="18">
        <f>M18</f>
        <v>10577000000</v>
      </c>
    </row>
    <row r="71" spans="2:13" x14ac:dyDescent="0.3">
      <c r="B71" s="80" t="s">
        <v>105</v>
      </c>
      <c r="C71" s="18">
        <f>(D45+E45)*40</f>
        <v>229687200</v>
      </c>
      <c r="H71" s="1" t="s">
        <v>106</v>
      </c>
      <c r="I71" s="18">
        <f>(I65*((1-(1+C92)^(-I69))/(C92)))-I70</f>
        <v>-12862518180.478346</v>
      </c>
      <c r="L71" s="1" t="s">
        <v>106</v>
      </c>
      <c r="M71" s="18">
        <f>(M65*((1-(1+C92)^(-M69))/(C92)))-M70</f>
        <v>-13357764710.294527</v>
      </c>
    </row>
    <row r="72" spans="2:13" x14ac:dyDescent="0.3">
      <c r="B72" s="53" t="s">
        <v>107</v>
      </c>
      <c r="C72" s="1"/>
      <c r="I72" s="15"/>
      <c r="M72" s="15"/>
    </row>
    <row r="73" spans="2:13" x14ac:dyDescent="0.3">
      <c r="B73" s="4" t="s">
        <v>108</v>
      </c>
      <c r="C73" s="18">
        <f>(250*10^6)</f>
        <v>250000000</v>
      </c>
      <c r="D73" s="15"/>
    </row>
    <row r="75" spans="2:13" x14ac:dyDescent="0.3">
      <c r="C75" s="15"/>
      <c r="L75" s="60"/>
    </row>
    <row r="76" spans="2:13" x14ac:dyDescent="0.3">
      <c r="C76" s="15"/>
      <c r="H76" s="60"/>
      <c r="L76" s="60"/>
    </row>
    <row r="77" spans="2:13" x14ac:dyDescent="0.3">
      <c r="B77" s="80" t="s">
        <v>109</v>
      </c>
      <c r="D77" s="80" t="s">
        <v>110</v>
      </c>
      <c r="E77" s="1"/>
      <c r="H77" s="60"/>
      <c r="L77" s="60"/>
      <c r="M77" s="61"/>
    </row>
    <row r="78" spans="2:13" x14ac:dyDescent="0.3">
      <c r="B78" s="1" t="s">
        <v>95</v>
      </c>
      <c r="C78" s="44">
        <f>(I31*10^6)*I33</f>
        <v>96800000</v>
      </c>
      <c r="D78" s="64">
        <f>(I31*10^6)*3.55</f>
        <v>142000000</v>
      </c>
      <c r="E78" s="1"/>
      <c r="H78" s="60"/>
      <c r="I78" s="61"/>
    </row>
    <row r="79" spans="2:13" x14ac:dyDescent="0.3">
      <c r="B79" s="1" t="s">
        <v>96</v>
      </c>
      <c r="C79" s="44">
        <f>(I32*10^6)*I34</f>
        <v>39900000</v>
      </c>
      <c r="D79" s="64">
        <f>(I32*10^6)*0.84</f>
        <v>58800000</v>
      </c>
      <c r="E79" s="1" t="s">
        <v>111</v>
      </c>
    </row>
    <row r="80" spans="2:13" x14ac:dyDescent="0.3">
      <c r="B80" s="1" t="s">
        <v>97</v>
      </c>
      <c r="C80" s="44">
        <f>C78+C79</f>
        <v>136700000</v>
      </c>
      <c r="D80" s="64">
        <f>D78+D79</f>
        <v>200800000</v>
      </c>
      <c r="E80" s="86">
        <f>((D80-C86)/C86)</f>
        <v>0.46891002194586684</v>
      </c>
    </row>
    <row r="81" spans="2:8" x14ac:dyDescent="0.3">
      <c r="B81" s="8"/>
      <c r="C81" s="16"/>
    </row>
    <row r="83" spans="2:8" x14ac:dyDescent="0.3">
      <c r="B83" s="80" t="s">
        <v>112</v>
      </c>
    </row>
    <row r="84" spans="2:8" x14ac:dyDescent="0.3">
      <c r="B84" s="1" t="s">
        <v>95</v>
      </c>
      <c r="C84" s="18">
        <f>(I31*10^6)*I33</f>
        <v>96800000</v>
      </c>
    </row>
    <row r="85" spans="2:8" x14ac:dyDescent="0.3">
      <c r="B85" s="1" t="s">
        <v>96</v>
      </c>
      <c r="C85" s="18">
        <f>(I32*10^6)*I34</f>
        <v>39900000</v>
      </c>
    </row>
    <row r="86" spans="2:8" x14ac:dyDescent="0.3">
      <c r="B86" s="1" t="s">
        <v>97</v>
      </c>
      <c r="C86" s="18">
        <f>C84+C85</f>
        <v>136700000</v>
      </c>
    </row>
    <row r="87" spans="2:8" x14ac:dyDescent="0.3">
      <c r="B87" s="1" t="s">
        <v>98</v>
      </c>
      <c r="C87" s="18">
        <f>C86</f>
        <v>136700000</v>
      </c>
    </row>
    <row r="90" spans="2:8" x14ac:dyDescent="0.3">
      <c r="B90" s="80" t="s">
        <v>113</v>
      </c>
      <c r="H90" s="53"/>
    </row>
    <row r="91" spans="2:8" x14ac:dyDescent="0.3">
      <c r="B91" s="1" t="s">
        <v>98</v>
      </c>
      <c r="C91" s="18">
        <f>C80</f>
        <v>136700000</v>
      </c>
      <c r="E91" s="15"/>
    </row>
    <row r="92" spans="2:8" x14ac:dyDescent="0.3">
      <c r="B92" s="1" t="s">
        <v>114</v>
      </c>
      <c r="C92" s="1">
        <f>C32</f>
        <v>0.06</v>
      </c>
    </row>
    <row r="93" spans="2:8" x14ac:dyDescent="0.3">
      <c r="B93" s="1" t="s">
        <v>103</v>
      </c>
      <c r="C93" s="1">
        <f>C20</f>
        <v>40</v>
      </c>
    </row>
    <row r="94" spans="2:8" x14ac:dyDescent="0.3">
      <c r="B94" s="1" t="s">
        <v>104</v>
      </c>
      <c r="C94" s="18">
        <f>1200*10^6</f>
        <v>1200000000</v>
      </c>
      <c r="D94" s="8"/>
      <c r="E94" s="88"/>
    </row>
    <row r="95" spans="2:8" x14ac:dyDescent="0.3">
      <c r="B95" s="1" t="s">
        <v>115</v>
      </c>
      <c r="C95" s="52"/>
      <c r="D95" s="15"/>
      <c r="E95" s="15"/>
    </row>
    <row r="96" spans="2:8" x14ac:dyDescent="0.3">
      <c r="C96" s="89"/>
    </row>
    <row r="97" spans="1:5" x14ac:dyDescent="0.3">
      <c r="B97" s="80" t="s">
        <v>116</v>
      </c>
    </row>
    <row r="98" spans="1:5" x14ac:dyDescent="0.3">
      <c r="B98" s="1" t="s">
        <v>98</v>
      </c>
      <c r="C98" s="18">
        <f>C87</f>
        <v>136700000</v>
      </c>
      <c r="D98" s="90"/>
    </row>
    <row r="99" spans="1:5" x14ac:dyDescent="0.3">
      <c r="B99" s="1" t="s">
        <v>104</v>
      </c>
      <c r="C99" s="18">
        <f>C18</f>
        <v>600000000</v>
      </c>
      <c r="D99" s="74" t="s">
        <v>117</v>
      </c>
      <c r="E99" s="92" t="s">
        <v>118</v>
      </c>
    </row>
    <row r="100" spans="1:5" x14ac:dyDescent="0.3">
      <c r="B100" s="1" t="s">
        <v>106</v>
      </c>
      <c r="C100" s="52">
        <f>(C98*((1-(1+C92)^(-C93))/(C92)))-C99</f>
        <v>1456828782.3374548</v>
      </c>
      <c r="D100" s="18">
        <f>(C104*((1-(1+C92)^(-C93))/(C92)))-C111-C99</f>
        <v>603498819.15860224</v>
      </c>
      <c r="E100" s="18">
        <f>(C110*((1-(1+C92)^(-C93))/(C92)))-C99</f>
        <v>603498819.15860248</v>
      </c>
    </row>
    <row r="102" spans="1:5" x14ac:dyDescent="0.3">
      <c r="C102" s="15"/>
    </row>
    <row r="103" spans="1:5" x14ac:dyDescent="0.3">
      <c r="B103" s="58" t="s">
        <v>119</v>
      </c>
      <c r="C103" s="22"/>
      <c r="D103" s="56" t="s">
        <v>106</v>
      </c>
      <c r="E103" s="54" t="s">
        <v>120</v>
      </c>
    </row>
    <row r="104" spans="1:5" x14ac:dyDescent="0.3">
      <c r="B104" s="59" t="s">
        <v>121</v>
      </c>
      <c r="C104" s="91">
        <f>C87-D55</f>
        <v>85728560</v>
      </c>
      <c r="D104" s="55">
        <f>(C104*((1-(1+C92)^(-C93))/(C92)))-C94</f>
        <v>89897364.128335238</v>
      </c>
      <c r="E104" s="54" t="s">
        <v>122</v>
      </c>
    </row>
    <row r="105" spans="1:5" x14ac:dyDescent="0.3">
      <c r="B105" s="59" t="s">
        <v>123</v>
      </c>
      <c r="C105" s="57">
        <f>C114*((1+C92)^-C93)</f>
        <v>37564584.769449085</v>
      </c>
      <c r="D105" s="55">
        <f>(C104*((1-(1+C92)^(-C93))/(C92)))-C105-C94</f>
        <v>52332779.358886242</v>
      </c>
      <c r="E105" s="54" t="s">
        <v>124</v>
      </c>
    </row>
    <row r="106" spans="1:5" x14ac:dyDescent="0.3">
      <c r="A106" s="59" t="s">
        <v>125</v>
      </c>
      <c r="B106" s="62" t="s">
        <v>126</v>
      </c>
      <c r="C106" s="57">
        <f>C91-D45-D55</f>
        <v>83231960</v>
      </c>
      <c r="D106" s="55">
        <f>(C106*((1-(1+C92)^(-C93))/(C92)))-C94</f>
        <v>52332779.358886242</v>
      </c>
      <c r="E106" s="54" t="s">
        <v>127</v>
      </c>
    </row>
    <row r="107" spans="1:5" x14ac:dyDescent="0.3">
      <c r="B107" s="59" t="s">
        <v>128</v>
      </c>
      <c r="C107" s="15"/>
      <c r="D107" s="55">
        <f>(C104*((1-(1+C92)^(-C93))/(C92)))-C73-C94</f>
        <v>-160102635.87166476</v>
      </c>
      <c r="E107" s="54" t="s">
        <v>129</v>
      </c>
    </row>
    <row r="109" spans="1:5" x14ac:dyDescent="0.3">
      <c r="B109" s="87" t="s">
        <v>130</v>
      </c>
    </row>
    <row r="110" spans="1:5" x14ac:dyDescent="0.3">
      <c r="A110" s="59" t="s">
        <v>125</v>
      </c>
      <c r="B110" s="59" t="s">
        <v>126</v>
      </c>
      <c r="C110" s="18">
        <f>C91-D55-D45-E45</f>
        <v>79986380</v>
      </c>
      <c r="D110" s="55">
        <f>(C110*((1-(1+C92)^(-C93))/(C92)))-C94</f>
        <v>3498819.1586024761</v>
      </c>
      <c r="E110" s="54" t="s">
        <v>127</v>
      </c>
    </row>
    <row r="111" spans="1:5" x14ac:dyDescent="0.3">
      <c r="B111" s="59" t="s">
        <v>123</v>
      </c>
      <c r="C111" s="57">
        <f>B114*((1+0.06)^-40)</f>
        <v>86398544.969732881</v>
      </c>
      <c r="D111" s="55">
        <f>(C104*((1-(1+C92)^(-C93))/(C92)))-C94-C111</f>
        <v>3498819.1586023569</v>
      </c>
      <c r="E111" s="54" t="s">
        <v>124</v>
      </c>
    </row>
    <row r="112" spans="1:5" x14ac:dyDescent="0.3">
      <c r="B112" s="59" t="s">
        <v>128</v>
      </c>
      <c r="C112" s="15"/>
      <c r="D112" s="55">
        <f>(C104*((1-(1+C92)^(-C93))/(C92)))-C73-C94</f>
        <v>-160102635.87166476</v>
      </c>
      <c r="E112" s="54" t="s">
        <v>129</v>
      </c>
    </row>
    <row r="114" spans="1:4" x14ac:dyDescent="0.3">
      <c r="A114" t="s">
        <v>131</v>
      </c>
      <c r="B114" s="112">
        <f>F45*((((1.06)^40)-1)/0.06)</f>
        <v>888671063.73676276</v>
      </c>
      <c r="C114" s="112">
        <f>D45*((((1.06)^40)-1)/0.06)</f>
        <v>386378723.36380994</v>
      </c>
      <c r="D114" s="15"/>
    </row>
    <row r="119" spans="1:4" x14ac:dyDescent="0.3">
      <c r="B119" s="15"/>
    </row>
    <row r="120" spans="1:4" x14ac:dyDescent="0.3">
      <c r="C120" s="60"/>
    </row>
    <row r="121" spans="1:4" x14ac:dyDescent="0.3">
      <c r="C121" s="6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6541-7320-4313-A529-4863E6B67CC0}">
  <dimension ref="B4:N156"/>
  <sheetViews>
    <sheetView zoomScale="67" zoomScaleNormal="70" workbookViewId="0">
      <selection activeCell="D90" sqref="D90"/>
    </sheetView>
  </sheetViews>
  <sheetFormatPr baseColWidth="10" defaultColWidth="8.88671875" defaultRowHeight="14.4" x14ac:dyDescent="0.3"/>
  <cols>
    <col min="1" max="1" width="10.6640625" customWidth="1"/>
    <col min="2" max="2" width="29.44140625" customWidth="1"/>
    <col min="3" max="3" width="25.6640625" bestFit="1" customWidth="1"/>
    <col min="4" max="4" width="25.109375" customWidth="1"/>
    <col min="5" max="5" width="24" customWidth="1"/>
    <col min="6" max="6" width="26.6640625" customWidth="1"/>
    <col min="7" max="7" width="23.6640625" customWidth="1"/>
    <col min="8" max="8" width="32.109375" customWidth="1"/>
    <col min="9" max="9" width="18.33203125" bestFit="1" customWidth="1"/>
    <col min="10" max="10" width="26.5546875" bestFit="1" customWidth="1"/>
    <col min="11" max="11" width="18.33203125" bestFit="1" customWidth="1"/>
    <col min="12" max="12" width="22.44140625" bestFit="1" customWidth="1"/>
    <col min="13" max="13" width="16.6640625" bestFit="1" customWidth="1"/>
    <col min="14" max="14" width="30.33203125" customWidth="1"/>
  </cols>
  <sheetData>
    <row r="4" spans="3:10" x14ac:dyDescent="0.3">
      <c r="C4" s="4" t="s">
        <v>6</v>
      </c>
      <c r="D4" s="1"/>
      <c r="G4" s="4" t="s">
        <v>42</v>
      </c>
      <c r="H4" s="1"/>
    </row>
    <row r="5" spans="3:10" x14ac:dyDescent="0.3">
      <c r="C5" s="1" t="s">
        <v>9</v>
      </c>
      <c r="D5" s="1" t="s">
        <v>10</v>
      </c>
      <c r="G5" s="1" t="s">
        <v>44</v>
      </c>
      <c r="H5" s="1">
        <v>40</v>
      </c>
    </row>
    <row r="6" spans="3:10" x14ac:dyDescent="0.3">
      <c r="C6" s="1" t="s">
        <v>13</v>
      </c>
      <c r="D6" s="1">
        <v>5</v>
      </c>
      <c r="G6" s="1" t="s">
        <v>46</v>
      </c>
      <c r="H6" s="1">
        <v>70</v>
      </c>
      <c r="J6" s="21"/>
    </row>
    <row r="7" spans="3:10" x14ac:dyDescent="0.3">
      <c r="C7" s="1" t="s">
        <v>14</v>
      </c>
      <c r="D7" s="1">
        <v>13</v>
      </c>
      <c r="G7" s="1" t="s">
        <v>47</v>
      </c>
      <c r="H7" s="1">
        <v>2.42</v>
      </c>
    </row>
    <row r="8" spans="3:10" x14ac:dyDescent="0.3">
      <c r="C8" s="1" t="s">
        <v>15</v>
      </c>
      <c r="D8" s="18">
        <f>1200*10^6</f>
        <v>1200000000</v>
      </c>
      <c r="G8" s="1" t="s">
        <v>49</v>
      </c>
      <c r="H8" s="1">
        <v>0.56999999999999995</v>
      </c>
    </row>
    <row r="9" spans="3:10" x14ac:dyDescent="0.3">
      <c r="C9" s="1" t="s">
        <v>20</v>
      </c>
      <c r="D9" s="18">
        <f>600*10^6</f>
        <v>600000000</v>
      </c>
      <c r="G9" s="12" t="s">
        <v>132</v>
      </c>
      <c r="H9">
        <f>H7+H8</f>
        <v>2.9899999999999998</v>
      </c>
    </row>
    <row r="10" spans="3:10" x14ac:dyDescent="0.3">
      <c r="C10" s="1" t="s">
        <v>25</v>
      </c>
      <c r="D10" s="1">
        <v>36</v>
      </c>
      <c r="H10" s="8"/>
    </row>
    <row r="11" spans="3:10" x14ac:dyDescent="0.3">
      <c r="C11" s="1" t="s">
        <v>26</v>
      </c>
      <c r="D11" s="1">
        <v>40</v>
      </c>
      <c r="G11" s="8" t="s">
        <v>109</v>
      </c>
    </row>
    <row r="12" spans="3:10" x14ac:dyDescent="0.3">
      <c r="C12" s="1" t="s">
        <v>27</v>
      </c>
      <c r="D12" s="1">
        <v>40.299999999999997</v>
      </c>
      <c r="G12" t="s">
        <v>95</v>
      </c>
      <c r="H12" s="15">
        <f>(H5*10^6)*H7</f>
        <v>96800000</v>
      </c>
    </row>
    <row r="13" spans="3:10" x14ac:dyDescent="0.3">
      <c r="C13" s="1" t="s">
        <v>29</v>
      </c>
      <c r="D13" s="1">
        <v>8322</v>
      </c>
      <c r="G13" t="s">
        <v>96</v>
      </c>
      <c r="H13" s="15">
        <f>(H6*10^6)*H8</f>
        <v>39900000</v>
      </c>
    </row>
    <row r="14" spans="3:10" x14ac:dyDescent="0.3">
      <c r="C14" s="1" t="s">
        <v>30</v>
      </c>
      <c r="D14" s="1"/>
      <c r="G14" t="s">
        <v>97</v>
      </c>
      <c r="H14" s="15">
        <f>((H6*10^6)*H8)+((H5*10^6)*H7)</f>
        <v>136700000</v>
      </c>
    </row>
    <row r="15" spans="3:10" x14ac:dyDescent="0.3">
      <c r="C15" s="1" t="s">
        <v>32</v>
      </c>
      <c r="D15" s="1"/>
      <c r="G15" s="8"/>
      <c r="H15" s="16"/>
    </row>
    <row r="16" spans="3:10" x14ac:dyDescent="0.3">
      <c r="D16" s="15"/>
    </row>
    <row r="17" spans="3:8" x14ac:dyDescent="0.3">
      <c r="C17" t="s">
        <v>39</v>
      </c>
      <c r="D17" s="15">
        <v>5742180</v>
      </c>
      <c r="G17" s="8" t="s">
        <v>112</v>
      </c>
    </row>
    <row r="18" spans="3:8" x14ac:dyDescent="0.3">
      <c r="C18" t="s">
        <v>97</v>
      </c>
      <c r="D18" s="15">
        <f>D17+D23</f>
        <v>56713620</v>
      </c>
      <c r="G18" t="s">
        <v>95</v>
      </c>
      <c r="H18" s="15">
        <f>(H5*10^6)*H7</f>
        <v>96800000</v>
      </c>
    </row>
    <row r="19" spans="3:8" x14ac:dyDescent="0.3">
      <c r="D19" s="15"/>
      <c r="G19" t="s">
        <v>96</v>
      </c>
      <c r="H19" s="15">
        <f>(H6*10^6)*H8</f>
        <v>39900000</v>
      </c>
    </row>
    <row r="20" spans="3:8" x14ac:dyDescent="0.3">
      <c r="C20" s="4" t="s">
        <v>43</v>
      </c>
      <c r="D20" s="1"/>
      <c r="G20" t="s">
        <v>97</v>
      </c>
      <c r="H20" s="15">
        <f>H18+H19</f>
        <v>136700000</v>
      </c>
    </row>
    <row r="21" spans="3:8" x14ac:dyDescent="0.3">
      <c r="C21" s="1" t="s">
        <v>45</v>
      </c>
      <c r="D21" s="1">
        <v>0.06</v>
      </c>
      <c r="G21" t="s">
        <v>98</v>
      </c>
      <c r="H21" s="15">
        <f>H20-D23-D17</f>
        <v>79986380</v>
      </c>
    </row>
    <row r="22" spans="3:8" x14ac:dyDescent="0.3">
      <c r="C22" s="1" t="s">
        <v>133</v>
      </c>
      <c r="D22" s="1"/>
    </row>
    <row r="23" spans="3:8" x14ac:dyDescent="0.3">
      <c r="C23" s="3" t="s">
        <v>134</v>
      </c>
      <c r="D23" s="19">
        <v>50971440</v>
      </c>
    </row>
    <row r="24" spans="3:8" x14ac:dyDescent="0.3">
      <c r="C24" s="1" t="s">
        <v>135</v>
      </c>
      <c r="D24" s="1"/>
      <c r="G24" s="8" t="s">
        <v>113</v>
      </c>
    </row>
    <row r="25" spans="3:8" x14ac:dyDescent="0.3">
      <c r="G25" t="s">
        <v>98</v>
      </c>
      <c r="H25" s="15">
        <f>H14-D23-D17</f>
        <v>79986380</v>
      </c>
    </row>
    <row r="26" spans="3:8" x14ac:dyDescent="0.3">
      <c r="C26" s="4" t="s">
        <v>48</v>
      </c>
      <c r="D26" s="1"/>
      <c r="G26" t="s">
        <v>114</v>
      </c>
      <c r="H26">
        <f>D21</f>
        <v>0.06</v>
      </c>
    </row>
    <row r="27" spans="3:8" x14ac:dyDescent="0.3">
      <c r="C27" s="1" t="s">
        <v>50</v>
      </c>
      <c r="D27" s="1">
        <f>D6*D13 *10^-3</f>
        <v>41.61</v>
      </c>
      <c r="G27" t="s">
        <v>103</v>
      </c>
      <c r="H27">
        <f>D11</f>
        <v>40</v>
      </c>
    </row>
    <row r="28" spans="3:8" x14ac:dyDescent="0.3">
      <c r="C28" s="1" t="s">
        <v>51</v>
      </c>
      <c r="D28" s="5">
        <f>D7*D13 *10^-3</f>
        <v>108.18600000000001</v>
      </c>
      <c r="G28" t="s">
        <v>104</v>
      </c>
      <c r="H28" s="15">
        <f>1200*10^6</f>
        <v>1200000000</v>
      </c>
    </row>
    <row r="29" spans="3:8" x14ac:dyDescent="0.3">
      <c r="C29" s="1" t="s">
        <v>53</v>
      </c>
      <c r="D29" s="6">
        <f>H5/D27</f>
        <v>0.96130737803412647</v>
      </c>
      <c r="G29" t="s">
        <v>115</v>
      </c>
      <c r="H29" s="16">
        <f>(H25*((1-(1+H26)^(-H27))/(H26)))-H28</f>
        <v>3498819.1586024761</v>
      </c>
    </row>
    <row r="30" spans="3:8" x14ac:dyDescent="0.3">
      <c r="C30" s="1" t="s">
        <v>54</v>
      </c>
      <c r="D30" s="6">
        <f>H6/D28</f>
        <v>0.64703381213835431</v>
      </c>
    </row>
    <row r="31" spans="3:8" x14ac:dyDescent="0.3">
      <c r="G31" s="8" t="s">
        <v>116</v>
      </c>
    </row>
    <row r="32" spans="3:8" x14ac:dyDescent="0.3">
      <c r="C32" s="1" t="s">
        <v>56</v>
      </c>
      <c r="D32" s="9">
        <f>D27</f>
        <v>41.61</v>
      </c>
      <c r="G32" t="s">
        <v>98</v>
      </c>
      <c r="H32" s="15">
        <f>H21</f>
        <v>79986380</v>
      </c>
    </row>
    <row r="33" spans="3:9" x14ac:dyDescent="0.3">
      <c r="C33" s="1" t="s">
        <v>57</v>
      </c>
      <c r="D33" s="9">
        <f>D28</f>
        <v>108.18600000000001</v>
      </c>
      <c r="E33" s="7"/>
      <c r="G33" t="s">
        <v>104</v>
      </c>
      <c r="H33" s="15">
        <f>D9</f>
        <v>600000000</v>
      </c>
    </row>
    <row r="34" spans="3:9" x14ac:dyDescent="0.3">
      <c r="C34" s="1" t="s">
        <v>64</v>
      </c>
      <c r="D34" s="17">
        <f>D32+D33</f>
        <v>149.79599999999999</v>
      </c>
      <c r="G34" t="s">
        <v>106</v>
      </c>
      <c r="H34" s="16">
        <f>(H32*((1-(1+H26)^(-H27))/(H26)))-H33</f>
        <v>603498819.15860248</v>
      </c>
    </row>
    <row r="35" spans="3:9" x14ac:dyDescent="0.3">
      <c r="H35" s="15"/>
    </row>
    <row r="36" spans="3:9" x14ac:dyDescent="0.3">
      <c r="D36" s="4" t="s">
        <v>91</v>
      </c>
      <c r="E36" s="4" t="s">
        <v>92</v>
      </c>
      <c r="F36" s="8"/>
    </row>
    <row r="37" spans="3:9" x14ac:dyDescent="0.3">
      <c r="C37" s="4" t="s">
        <v>71</v>
      </c>
      <c r="D37" s="10">
        <f>(D40+D23)/(D34*10^6)</f>
        <v>0.87268874405732189</v>
      </c>
      <c r="E37" s="13">
        <f>(E40+D23)/((D34)*10^6)</f>
        <v>0.60648055724054917</v>
      </c>
      <c r="F37" s="13"/>
    </row>
    <row r="38" spans="3:9" x14ac:dyDescent="0.3">
      <c r="C38" s="4" t="s">
        <v>72</v>
      </c>
      <c r="D38" s="11">
        <f>(D40+D23)/(D33*10^6)</f>
        <v>1.2083382610024458</v>
      </c>
      <c r="E38" s="9">
        <f>(E40+D23)/(D33*10^6)</f>
        <v>0.83974231002537569</v>
      </c>
      <c r="F38" s="7"/>
    </row>
    <row r="40" spans="3:9" x14ac:dyDescent="0.3">
      <c r="C40" s="4" t="s">
        <v>77</v>
      </c>
      <c r="D40" s="18">
        <f>D8*((D21*(1+D21)^D11)/(((1+D21)^D11) -1))</f>
        <v>79753843.104810596</v>
      </c>
      <c r="E40" s="18">
        <f>D9*((D21*(1+D21)^D11)/(((1+D21)^D11) -1))</f>
        <v>39876921.552405298</v>
      </c>
      <c r="G40" s="49" t="s">
        <v>136</v>
      </c>
      <c r="H40" s="1" t="s">
        <v>137</v>
      </c>
    </row>
    <row r="41" spans="3:9" x14ac:dyDescent="0.3">
      <c r="C41" s="4" t="s">
        <v>79</v>
      </c>
      <c r="D41" s="20">
        <f>D40*10^-6</f>
        <v>79.753843104810585</v>
      </c>
      <c r="E41" s="20">
        <f>E40*10^-6</f>
        <v>39.876921552405292</v>
      </c>
      <c r="G41" s="1"/>
      <c r="H41" s="1"/>
    </row>
    <row r="42" spans="3:9" x14ac:dyDescent="0.3">
      <c r="G42" s="18">
        <f>$D$8*H42</f>
        <v>480000000</v>
      </c>
      <c r="H42" s="1">
        <v>0.4</v>
      </c>
    </row>
    <row r="43" spans="3:9" x14ac:dyDescent="0.3">
      <c r="C43" s="8"/>
      <c r="G43" s="18">
        <f>$D$8*H43</f>
        <v>540000000</v>
      </c>
      <c r="H43" s="1">
        <v>0.45</v>
      </c>
    </row>
    <row r="44" spans="3:9" x14ac:dyDescent="0.3">
      <c r="C44" s="8"/>
      <c r="G44" s="50">
        <f t="shared" ref="G44" si="0">$D$8*H44</f>
        <v>600000000</v>
      </c>
      <c r="H44" s="51">
        <v>0.5</v>
      </c>
    </row>
    <row r="45" spans="3:9" x14ac:dyDescent="0.3">
      <c r="C45" s="4" t="s">
        <v>99</v>
      </c>
      <c r="D45" s="8"/>
      <c r="E45" s="8"/>
      <c r="G45" s="18">
        <f>$D$8*H45</f>
        <v>660000000</v>
      </c>
      <c r="H45" s="1">
        <v>0.55000000000000004</v>
      </c>
    </row>
    <row r="46" spans="3:9" x14ac:dyDescent="0.3">
      <c r="C46" s="14" t="s">
        <v>102</v>
      </c>
      <c r="D46" s="18">
        <f>(D40+D23)/((H5+H6)*10^6)</f>
        <v>1.1884116645891871</v>
      </c>
      <c r="E46" s="18">
        <f>(E40+D23)/((H5+H6)*10^6)</f>
        <v>0.82589419593095725</v>
      </c>
      <c r="G46" s="18">
        <f t="shared" ref="G46:G48" si="1">$D$8*H46</f>
        <v>720000000</v>
      </c>
      <c r="H46" s="1">
        <v>0.6</v>
      </c>
    </row>
    <row r="47" spans="3:9" x14ac:dyDescent="0.3">
      <c r="G47" s="18">
        <f t="shared" si="1"/>
        <v>780000000</v>
      </c>
      <c r="H47" s="1">
        <v>0.65</v>
      </c>
    </row>
    <row r="48" spans="3:9" x14ac:dyDescent="0.3">
      <c r="G48" s="18">
        <f t="shared" si="1"/>
        <v>840000000</v>
      </c>
      <c r="H48" s="1">
        <v>0.7</v>
      </c>
      <c r="I48" s="29" t="s">
        <v>138</v>
      </c>
    </row>
    <row r="49" spans="3:14" x14ac:dyDescent="0.3">
      <c r="C49" s="28" t="s">
        <v>114</v>
      </c>
      <c r="D49" s="22" t="s">
        <v>137</v>
      </c>
      <c r="E49" s="28" t="s">
        <v>139</v>
      </c>
      <c r="F49" s="25" t="s">
        <v>137</v>
      </c>
      <c r="G49" s="18">
        <f>$D$8*H49</f>
        <v>900000000</v>
      </c>
      <c r="H49" s="1">
        <v>0.75</v>
      </c>
      <c r="I49" s="46" t="s">
        <v>140</v>
      </c>
      <c r="J49" s="22" t="s">
        <v>137</v>
      </c>
      <c r="K49" s="22" t="s">
        <v>141</v>
      </c>
      <c r="L49" s="22"/>
      <c r="M49" s="22"/>
      <c r="N49" s="22" t="s">
        <v>142</v>
      </c>
    </row>
    <row r="50" spans="3:14" x14ac:dyDescent="0.3">
      <c r="C50" s="27">
        <f>$D$21*D50</f>
        <v>4.8000000000000001E-2</v>
      </c>
      <c r="D50" s="22">
        <v>0.8</v>
      </c>
      <c r="E50" s="99">
        <f t="shared" ref="E50:E53" si="2">$D$11*F50</f>
        <v>32</v>
      </c>
      <c r="F50" s="25">
        <v>0.8</v>
      </c>
      <c r="G50" s="18">
        <f>$D$8*H50</f>
        <v>960000000</v>
      </c>
      <c r="H50" s="1">
        <v>0.8</v>
      </c>
      <c r="I50" s="26">
        <f>$H$7*J50</f>
        <v>1.9359999999999999</v>
      </c>
      <c r="J50" s="22">
        <v>0.8</v>
      </c>
      <c r="K50" s="24">
        <f>$H$8*L50</f>
        <v>0.45599999999999996</v>
      </c>
      <c r="L50" s="22">
        <v>0.8</v>
      </c>
      <c r="M50" s="22"/>
      <c r="N50" s="34">
        <f t="shared" ref="N50:N53" si="3">(($H$6*10^6)*K50)+(($H$5*10^6)*I50)-$D$18</f>
        <v>52646380</v>
      </c>
    </row>
    <row r="51" spans="3:14" x14ac:dyDescent="0.3">
      <c r="C51" s="27">
        <f t="shared" ref="C51:C58" si="4">$D$21*D51</f>
        <v>5.0999999999999997E-2</v>
      </c>
      <c r="D51" s="22">
        <v>0.85</v>
      </c>
      <c r="E51" s="99">
        <f t="shared" si="2"/>
        <v>34</v>
      </c>
      <c r="F51" s="25">
        <v>0.85</v>
      </c>
      <c r="G51" s="18">
        <f t="shared" ref="G51:G53" si="5">$D$8*H51</f>
        <v>1020000000</v>
      </c>
      <c r="H51" s="1">
        <v>0.85</v>
      </c>
      <c r="I51" s="26">
        <f t="shared" ref="I51:I58" si="6">$H$7*J51</f>
        <v>2.0569999999999999</v>
      </c>
      <c r="J51" s="22">
        <v>0.85</v>
      </c>
      <c r="K51" s="24">
        <f t="shared" ref="K51:K58" si="7">$H$8*L51</f>
        <v>0.48449999999999993</v>
      </c>
      <c r="L51" s="22">
        <v>0.85</v>
      </c>
      <c r="M51" s="22"/>
      <c r="N51" s="34">
        <f t="shared" si="3"/>
        <v>59481380</v>
      </c>
    </row>
    <row r="52" spans="3:14" x14ac:dyDescent="0.3">
      <c r="C52" s="27">
        <f t="shared" si="4"/>
        <v>5.3999999999999999E-2</v>
      </c>
      <c r="D52" s="22">
        <v>0.9</v>
      </c>
      <c r="E52" s="99">
        <f t="shared" si="2"/>
        <v>36</v>
      </c>
      <c r="F52" s="22">
        <v>0.9</v>
      </c>
      <c r="G52" s="47">
        <f t="shared" si="5"/>
        <v>1080000000</v>
      </c>
      <c r="H52" s="48">
        <v>0.9</v>
      </c>
      <c r="I52" s="24">
        <f t="shared" si="6"/>
        <v>2.1779999999999999</v>
      </c>
      <c r="J52" s="22">
        <v>0.9</v>
      </c>
      <c r="K52" s="24">
        <f t="shared" si="7"/>
        <v>0.51300000000000001</v>
      </c>
      <c r="L52" s="22">
        <v>0.9</v>
      </c>
      <c r="M52" s="22"/>
      <c r="N52" s="34">
        <f t="shared" si="3"/>
        <v>66316380</v>
      </c>
    </row>
    <row r="53" spans="3:14" x14ac:dyDescent="0.3">
      <c r="C53" s="27">
        <f t="shared" si="4"/>
        <v>5.6999999999999995E-2</v>
      </c>
      <c r="D53" s="22">
        <v>0.95</v>
      </c>
      <c r="E53" s="99">
        <f t="shared" si="2"/>
        <v>38</v>
      </c>
      <c r="F53" s="22">
        <v>0.95</v>
      </c>
      <c r="G53" s="26">
        <f t="shared" si="5"/>
        <v>1140000000</v>
      </c>
      <c r="H53" s="25">
        <v>0.95</v>
      </c>
      <c r="I53" s="24">
        <f t="shared" si="6"/>
        <v>2.2989999999999999</v>
      </c>
      <c r="J53" s="22">
        <v>0.95</v>
      </c>
      <c r="K53" s="24">
        <f t="shared" si="7"/>
        <v>0.54149999999999998</v>
      </c>
      <c r="L53" s="22">
        <v>0.95</v>
      </c>
      <c r="M53" s="22"/>
      <c r="N53" s="34">
        <f t="shared" si="3"/>
        <v>73151380</v>
      </c>
    </row>
    <row r="54" spans="3:14" x14ac:dyDescent="0.3">
      <c r="C54" s="31">
        <f t="shared" si="4"/>
        <v>0.06</v>
      </c>
      <c r="D54" s="23">
        <v>1</v>
      </c>
      <c r="E54" s="99">
        <f>$D$11*F54</f>
        <v>40</v>
      </c>
      <c r="F54" s="23">
        <v>1</v>
      </c>
      <c r="G54" s="32">
        <f>$D$8*H54</f>
        <v>1200000000</v>
      </c>
      <c r="H54" s="33">
        <v>1</v>
      </c>
      <c r="I54" s="34">
        <f t="shared" si="6"/>
        <v>2.42</v>
      </c>
      <c r="J54" s="23">
        <v>1</v>
      </c>
      <c r="K54" s="34">
        <f t="shared" si="7"/>
        <v>0.56999999999999995</v>
      </c>
      <c r="L54" s="23">
        <v>1</v>
      </c>
      <c r="M54" s="23"/>
      <c r="N54" s="34">
        <f>(($H$6*10^6)*K54)+(($H$5*10^6)*I54)-$D$18</f>
        <v>79986380</v>
      </c>
    </row>
    <row r="55" spans="3:14" x14ac:dyDescent="0.3">
      <c r="C55" s="27">
        <f t="shared" si="4"/>
        <v>6.3E-2</v>
      </c>
      <c r="D55" s="22">
        <v>1.05</v>
      </c>
      <c r="E55" s="99">
        <f t="shared" ref="E55:E58" si="8">$D$11*F55</f>
        <v>42</v>
      </c>
      <c r="F55" s="22">
        <v>1.05</v>
      </c>
      <c r="G55" s="26">
        <f t="shared" ref="G55:G74" si="9">$D$8*H55</f>
        <v>1260000000</v>
      </c>
      <c r="H55" s="25">
        <v>1.05</v>
      </c>
      <c r="I55" s="24">
        <f t="shared" si="6"/>
        <v>2.5409999999999999</v>
      </c>
      <c r="J55" s="22">
        <v>1.05</v>
      </c>
      <c r="K55" s="24">
        <f t="shared" si="7"/>
        <v>0.59849999999999992</v>
      </c>
      <c r="L55" s="22">
        <v>1.05</v>
      </c>
      <c r="M55" s="22"/>
      <c r="N55" s="34">
        <f t="shared" ref="N55:N58" si="10">(($H$6*10^6)*K55)+(($H$5*10^6)*I55)-$D$18</f>
        <v>86821380</v>
      </c>
    </row>
    <row r="56" spans="3:14" x14ac:dyDescent="0.3">
      <c r="C56" s="27">
        <f t="shared" si="4"/>
        <v>6.6000000000000003E-2</v>
      </c>
      <c r="D56" s="22">
        <v>1.1000000000000001</v>
      </c>
      <c r="E56" s="99">
        <f t="shared" si="8"/>
        <v>44</v>
      </c>
      <c r="F56" s="22">
        <v>1.1000000000000001</v>
      </c>
      <c r="G56" s="26">
        <f t="shared" si="9"/>
        <v>1320000000</v>
      </c>
      <c r="H56" s="25">
        <v>1.1000000000000001</v>
      </c>
      <c r="I56" s="24">
        <f t="shared" si="6"/>
        <v>2.6619999999999999</v>
      </c>
      <c r="J56" s="22">
        <v>1.1000000000000001</v>
      </c>
      <c r="K56" s="24">
        <f t="shared" si="7"/>
        <v>0.627</v>
      </c>
      <c r="L56" s="22">
        <v>1.1000000000000001</v>
      </c>
      <c r="M56" s="22"/>
      <c r="N56" s="34">
        <f t="shared" si="10"/>
        <v>93656380</v>
      </c>
    </row>
    <row r="57" spans="3:14" x14ac:dyDescent="0.3">
      <c r="C57" s="27">
        <f t="shared" si="4"/>
        <v>6.8999999999999992E-2</v>
      </c>
      <c r="D57" s="22">
        <v>1.1499999999999999</v>
      </c>
      <c r="E57" s="99">
        <f t="shared" si="8"/>
        <v>46</v>
      </c>
      <c r="F57" s="22">
        <v>1.1499999999999999</v>
      </c>
      <c r="G57" s="26">
        <f t="shared" si="9"/>
        <v>1380000000</v>
      </c>
      <c r="H57" s="25">
        <v>1.1499999999999999</v>
      </c>
      <c r="I57" s="24">
        <f t="shared" si="6"/>
        <v>2.7829999999999999</v>
      </c>
      <c r="J57" s="22">
        <v>1.1499999999999999</v>
      </c>
      <c r="K57" s="24">
        <f t="shared" si="7"/>
        <v>0.65549999999999986</v>
      </c>
      <c r="L57" s="22">
        <v>1.1499999999999999</v>
      </c>
      <c r="M57" s="22"/>
      <c r="N57" s="34">
        <f t="shared" si="10"/>
        <v>100491380</v>
      </c>
    </row>
    <row r="58" spans="3:14" x14ac:dyDescent="0.3">
      <c r="C58" s="27">
        <f t="shared" si="4"/>
        <v>7.1999999999999995E-2</v>
      </c>
      <c r="D58" s="22">
        <v>1.2</v>
      </c>
      <c r="E58" s="99">
        <f t="shared" si="8"/>
        <v>48</v>
      </c>
      <c r="F58" s="22">
        <v>1.2</v>
      </c>
      <c r="G58" s="26">
        <f t="shared" si="9"/>
        <v>1440000000</v>
      </c>
      <c r="H58" s="25">
        <v>1.2</v>
      </c>
      <c r="I58" s="24">
        <f t="shared" si="6"/>
        <v>2.9039999999999999</v>
      </c>
      <c r="J58" s="22">
        <v>1.2</v>
      </c>
      <c r="K58" s="24">
        <f t="shared" si="7"/>
        <v>0.68399999999999994</v>
      </c>
      <c r="L58" s="22">
        <v>1.2</v>
      </c>
      <c r="M58" s="22"/>
      <c r="N58" s="34">
        <f t="shared" si="10"/>
        <v>107326380</v>
      </c>
    </row>
    <row r="59" spans="3:14" x14ac:dyDescent="0.3">
      <c r="G59" s="24">
        <f t="shared" si="9"/>
        <v>1500000000</v>
      </c>
      <c r="H59" s="25">
        <v>1.25</v>
      </c>
      <c r="I59" s="22"/>
      <c r="J59" s="22"/>
      <c r="K59" s="22"/>
      <c r="L59" s="22"/>
      <c r="M59" s="22"/>
      <c r="N59" s="24"/>
    </row>
    <row r="60" spans="3:14" x14ac:dyDescent="0.3">
      <c r="G60" s="24">
        <f t="shared" si="9"/>
        <v>1560000000</v>
      </c>
      <c r="H60" s="22">
        <v>1.3</v>
      </c>
    </row>
    <row r="61" spans="3:14" x14ac:dyDescent="0.3">
      <c r="G61" s="24">
        <f t="shared" si="9"/>
        <v>1620000000</v>
      </c>
      <c r="H61" s="22">
        <v>1.35</v>
      </c>
    </row>
    <row r="62" spans="3:14" x14ac:dyDescent="0.3">
      <c r="E62" s="16"/>
      <c r="G62" s="24">
        <f t="shared" si="9"/>
        <v>1680000000</v>
      </c>
      <c r="H62" s="22">
        <v>1.4</v>
      </c>
    </row>
    <row r="63" spans="3:14" x14ac:dyDescent="0.3">
      <c r="E63" s="16"/>
      <c r="G63" s="24">
        <f t="shared" si="9"/>
        <v>1740000000</v>
      </c>
      <c r="H63" s="22">
        <v>1.45</v>
      </c>
    </row>
    <row r="64" spans="3:14" x14ac:dyDescent="0.3">
      <c r="E64" s="16"/>
      <c r="G64" s="40">
        <f t="shared" si="9"/>
        <v>1800000000</v>
      </c>
      <c r="H64" s="39">
        <v>1.5</v>
      </c>
    </row>
    <row r="65" spans="2:10" x14ac:dyDescent="0.3">
      <c r="E65" s="16"/>
      <c r="G65" s="24">
        <f t="shared" si="9"/>
        <v>1860000000</v>
      </c>
      <c r="H65" s="22">
        <v>1.55</v>
      </c>
    </row>
    <row r="66" spans="2:10" x14ac:dyDescent="0.3">
      <c r="E66" s="16"/>
      <c r="G66" s="24">
        <f t="shared" si="9"/>
        <v>1920000000</v>
      </c>
      <c r="H66" s="22">
        <v>1.6</v>
      </c>
    </row>
    <row r="67" spans="2:10" x14ac:dyDescent="0.3">
      <c r="E67" s="16"/>
      <c r="G67" s="24">
        <f t="shared" si="9"/>
        <v>1980000000</v>
      </c>
      <c r="H67" s="22">
        <v>1.65</v>
      </c>
    </row>
    <row r="68" spans="2:10" x14ac:dyDescent="0.3">
      <c r="E68" s="16"/>
      <c r="G68" s="24">
        <f t="shared" si="9"/>
        <v>2040000000</v>
      </c>
      <c r="H68" s="22">
        <v>1.7</v>
      </c>
    </row>
    <row r="69" spans="2:10" x14ac:dyDescent="0.3">
      <c r="E69" s="16"/>
      <c r="G69" s="24">
        <f t="shared" si="9"/>
        <v>2100000000</v>
      </c>
      <c r="H69" s="22">
        <v>1.75</v>
      </c>
      <c r="J69" s="28" t="s">
        <v>136</v>
      </c>
    </row>
    <row r="70" spans="2:10" x14ac:dyDescent="0.3">
      <c r="E70" s="16"/>
      <c r="G70" s="24">
        <f t="shared" si="9"/>
        <v>2160000000</v>
      </c>
      <c r="H70" s="22">
        <v>1.8</v>
      </c>
      <c r="I70" s="24" t="s">
        <v>143</v>
      </c>
      <c r="J70" s="23" t="s">
        <v>106</v>
      </c>
    </row>
    <row r="71" spans="2:10" x14ac:dyDescent="0.3">
      <c r="G71" s="24">
        <f t="shared" si="9"/>
        <v>2220000000</v>
      </c>
      <c r="H71" s="22">
        <v>1.85</v>
      </c>
      <c r="I71" s="95">
        <v>-0.6</v>
      </c>
      <c r="J71" s="34">
        <f t="shared" ref="J71:J82" si="11">($H$25*((1-(1+$H$26)^(-$H$27))/($H$26)))-G42</f>
        <v>723498819.15860248</v>
      </c>
    </row>
    <row r="72" spans="2:10" x14ac:dyDescent="0.3">
      <c r="G72" s="24">
        <f t="shared" si="9"/>
        <v>2280000000</v>
      </c>
      <c r="H72" s="22">
        <v>1.9</v>
      </c>
      <c r="I72" s="95">
        <v>-0.55000000000000004</v>
      </c>
      <c r="J72" s="34">
        <f t="shared" si="11"/>
        <v>663498819.15860248</v>
      </c>
    </row>
    <row r="73" spans="2:10" x14ac:dyDescent="0.3">
      <c r="G73" s="24">
        <f t="shared" si="9"/>
        <v>2340000000</v>
      </c>
      <c r="H73" s="22">
        <v>1.95</v>
      </c>
      <c r="I73" s="96">
        <v>-0.5</v>
      </c>
      <c r="J73" s="34">
        <f t="shared" si="11"/>
        <v>603498819.15860248</v>
      </c>
    </row>
    <row r="74" spans="2:10" x14ac:dyDescent="0.3">
      <c r="G74" s="24">
        <f t="shared" si="9"/>
        <v>2400000000</v>
      </c>
      <c r="H74" s="22">
        <v>2</v>
      </c>
      <c r="I74" s="95">
        <v>-0.45</v>
      </c>
      <c r="J74" s="34">
        <f t="shared" si="11"/>
        <v>543498819.15860248</v>
      </c>
    </row>
    <row r="75" spans="2:10" x14ac:dyDescent="0.3">
      <c r="G75" s="15"/>
      <c r="I75" s="95">
        <v>-0.4</v>
      </c>
      <c r="J75" s="34">
        <f t="shared" si="11"/>
        <v>483498819.15860248</v>
      </c>
    </row>
    <row r="76" spans="2:10" x14ac:dyDescent="0.3">
      <c r="G76" s="15"/>
      <c r="I76" s="95">
        <v>-0.35</v>
      </c>
      <c r="J76" s="34">
        <f t="shared" si="11"/>
        <v>423498819.15860248</v>
      </c>
    </row>
    <row r="77" spans="2:10" x14ac:dyDescent="0.3">
      <c r="C77" s="28" t="s">
        <v>144</v>
      </c>
      <c r="D77" s="28" t="s">
        <v>103</v>
      </c>
      <c r="E77" s="28" t="s">
        <v>145</v>
      </c>
      <c r="F77" s="28" t="s">
        <v>136</v>
      </c>
      <c r="I77" s="95">
        <v>-0.3</v>
      </c>
      <c r="J77" s="34">
        <f t="shared" si="11"/>
        <v>363498819.15860248</v>
      </c>
    </row>
    <row r="78" spans="2:10" x14ac:dyDescent="0.3">
      <c r="C78" s="35"/>
      <c r="D78" s="36"/>
      <c r="E78" s="23"/>
      <c r="F78" s="23"/>
      <c r="G78" s="24" t="s">
        <v>143</v>
      </c>
      <c r="I78" s="95">
        <v>-0.25</v>
      </c>
      <c r="J78" s="34">
        <f t="shared" si="11"/>
        <v>303498819.15860248</v>
      </c>
    </row>
    <row r="79" spans="2:10" x14ac:dyDescent="0.3">
      <c r="B79" s="37">
        <v>-0.2</v>
      </c>
      <c r="C79" s="30">
        <f t="shared" ref="C79:C82" si="12">($H$25*((1-(1+C50)^(-$H$27))/(C50)))-$H$28</f>
        <v>210922569.06576347</v>
      </c>
      <c r="D79" s="24">
        <f t="shared" ref="D79:D82" si="13">($H$25*((1-(1+$H$26)^(-E50))/($H$26)))-$H$28</f>
        <v>-73468353.578790426</v>
      </c>
      <c r="E79" s="24">
        <f t="shared" ref="E79:E82" si="14">(N50*((1-(1+$H$26)^(-$H$27))/($H$26)))-$H$28</f>
        <v>-407866937.30888855</v>
      </c>
      <c r="F79" s="24">
        <f t="shared" ref="F79:F82" si="15">($H$25*((1-(1+$H$26)^(-$H$27))/($H$26)))-G50</f>
        <v>243498819.15860248</v>
      </c>
      <c r="G79" s="37">
        <v>-0.2</v>
      </c>
      <c r="I79" s="95">
        <v>-0.2</v>
      </c>
      <c r="J79" s="34">
        <f t="shared" si="11"/>
        <v>243498819.15860248</v>
      </c>
    </row>
    <row r="80" spans="2:10" x14ac:dyDescent="0.3">
      <c r="B80" s="37">
        <v>-0.15</v>
      </c>
      <c r="C80" s="30">
        <f t="shared" si="12"/>
        <v>153904874.35555887</v>
      </c>
      <c r="D80" s="24">
        <f t="shared" si="13"/>
        <v>-50744402.615512848</v>
      </c>
      <c r="E80" s="24">
        <f t="shared" si="14"/>
        <v>-305025498.19201577</v>
      </c>
      <c r="F80" s="24">
        <f t="shared" si="15"/>
        <v>183498819.15860248</v>
      </c>
      <c r="G80" s="37">
        <v>-0.15</v>
      </c>
      <c r="I80" s="95">
        <v>-0.15</v>
      </c>
      <c r="J80" s="34">
        <f t="shared" si="11"/>
        <v>183498819.15860248</v>
      </c>
    </row>
    <row r="81" spans="2:10" x14ac:dyDescent="0.3">
      <c r="B81" s="37">
        <v>-0.1</v>
      </c>
      <c r="C81" s="30">
        <f t="shared" si="12"/>
        <v>100512742.48242855</v>
      </c>
      <c r="D81" s="24">
        <f t="shared" si="13"/>
        <v>-30520167.155137777</v>
      </c>
      <c r="E81" s="24">
        <f t="shared" si="14"/>
        <v>-202184059.0751431</v>
      </c>
      <c r="F81" s="24">
        <f t="shared" si="15"/>
        <v>123498819.15860248</v>
      </c>
      <c r="G81" s="37">
        <v>-0.1</v>
      </c>
      <c r="I81" s="95">
        <v>-0.1</v>
      </c>
      <c r="J81" s="34">
        <f t="shared" si="11"/>
        <v>123498819.15860248</v>
      </c>
    </row>
    <row r="82" spans="2:10" x14ac:dyDescent="0.3">
      <c r="B82" s="37">
        <v>-0.05</v>
      </c>
      <c r="C82" s="30">
        <f t="shared" si="12"/>
        <v>50463371.823132277</v>
      </c>
      <c r="D82" s="24">
        <f t="shared" si="13"/>
        <v>-12520669.593394279</v>
      </c>
      <c r="E82" s="24">
        <f t="shared" si="14"/>
        <v>-99342619.958270311</v>
      </c>
      <c r="F82" s="24">
        <f t="shared" si="15"/>
        <v>63498819.158602476</v>
      </c>
      <c r="G82" s="37">
        <v>-0.05</v>
      </c>
      <c r="I82" s="95">
        <v>-0.05</v>
      </c>
      <c r="J82" s="34">
        <f t="shared" si="11"/>
        <v>63498819.158602476</v>
      </c>
    </row>
    <row r="83" spans="2:10" x14ac:dyDescent="0.3">
      <c r="B83" s="37">
        <v>0</v>
      </c>
      <c r="C83" s="30">
        <f>($H$25*((1-(1+C54)^(-$H$27))/(C54)))-$H$28</f>
        <v>3498819.1586024761</v>
      </c>
      <c r="D83" s="24">
        <f>($H$25*((1-(1+$H$26)^(-E54))/($H$26)))-$H$28</f>
        <v>3498819.1586024761</v>
      </c>
      <c r="E83" s="24">
        <f>(N54*((1-(1+$H$26)^(-$H$27))/($H$26)))-$H$28</f>
        <v>3498819.1586024761</v>
      </c>
      <c r="F83" s="24">
        <f>($H$25*((1-(1+$H$26)^(-$H$27))/($H$26)))-G54</f>
        <v>3498819.1586024761</v>
      </c>
      <c r="G83" s="37">
        <v>0</v>
      </c>
      <c r="I83" s="97">
        <v>0</v>
      </c>
      <c r="J83" s="98">
        <f>($H$25*((1-(1+$H$26)^(-$H$27))/($H$26)))-G54</f>
        <v>3498819.1586024761</v>
      </c>
    </row>
    <row r="84" spans="2:10" x14ac:dyDescent="0.3">
      <c r="B84" s="37">
        <v>0.05</v>
      </c>
      <c r="C84" s="30">
        <f t="shared" ref="C84:C87" si="16">($H$25*((1-(1+C55)^(-$H$27))/(C55)))-$H$28</f>
        <v>-40616369.320684433</v>
      </c>
      <c r="D84" s="24">
        <f>($H$25*((1-(1+$H$26)^(-E55))/($H$26)))-$H$28</f>
        <v>17756107.118727684</v>
      </c>
      <c r="E84" s="24">
        <f t="shared" ref="E84:E87" si="17">(N55*((1-(1+$H$26)^(-$H$27))/($H$26)))-$H$28</f>
        <v>106340258.27547526</v>
      </c>
      <c r="F84" s="24">
        <f t="shared" ref="F84:F103" si="18">($H$25*((1-(1+$H$26)^(-$H$27))/($H$26)))-G55</f>
        <v>-56501180.841397524</v>
      </c>
      <c r="G84" s="37">
        <v>0.05</v>
      </c>
      <c r="I84" s="95">
        <v>0.05</v>
      </c>
      <c r="J84" s="34">
        <f t="shared" ref="J84:J103" si="19">($H$25*((1-(1+$H$26)^(-$H$27))/($H$26)))-G55</f>
        <v>-56501180.841397524</v>
      </c>
    </row>
    <row r="85" spans="2:10" x14ac:dyDescent="0.3">
      <c r="B85" s="37">
        <v>0.1</v>
      </c>
      <c r="C85" s="30">
        <f t="shared" si="16"/>
        <v>-82097287.239680052</v>
      </c>
      <c r="D85" s="24">
        <f t="shared" ref="D85:D87" si="20">($H$25*((1-(1+$H$26)^(-E56))/($H$26)))-$H$28</f>
        <v>30445042.647497177</v>
      </c>
      <c r="E85" s="24">
        <f t="shared" si="17"/>
        <v>209181697.39234781</v>
      </c>
      <c r="F85" s="24">
        <f t="shared" si="18"/>
        <v>-116501180.84139752</v>
      </c>
      <c r="G85" s="37">
        <v>0.1</v>
      </c>
      <c r="I85" s="95">
        <v>0.1</v>
      </c>
      <c r="J85" s="34">
        <f t="shared" si="19"/>
        <v>-116501180.84139752</v>
      </c>
    </row>
    <row r="86" spans="2:10" x14ac:dyDescent="0.3">
      <c r="B86" s="37">
        <v>0.15</v>
      </c>
      <c r="C86" s="30">
        <f t="shared" si="16"/>
        <v>-121140582.95305562</v>
      </c>
      <c r="D86" s="24">
        <f t="shared" si="20"/>
        <v>41738150.095672131</v>
      </c>
      <c r="E86" s="24">
        <f t="shared" si="17"/>
        <v>312023136.5092206</v>
      </c>
      <c r="F86" s="24">
        <f t="shared" si="18"/>
        <v>-176501180.84139752</v>
      </c>
      <c r="G86" s="37">
        <v>0.15</v>
      </c>
      <c r="I86" s="95">
        <v>0.15</v>
      </c>
      <c r="J86" s="34">
        <f t="shared" si="19"/>
        <v>-176501180.84139752</v>
      </c>
    </row>
    <row r="87" spans="2:10" x14ac:dyDescent="0.3">
      <c r="B87" s="37">
        <v>0.2</v>
      </c>
      <c r="C87" s="30">
        <f t="shared" si="16"/>
        <v>-157926182.79401493</v>
      </c>
      <c r="D87" s="24">
        <f t="shared" si="20"/>
        <v>51788975.521245956</v>
      </c>
      <c r="E87" s="24">
        <f t="shared" si="17"/>
        <v>414864575.62609339</v>
      </c>
      <c r="F87" s="24">
        <f t="shared" si="18"/>
        <v>-236501180.84139752</v>
      </c>
      <c r="G87" s="37">
        <v>0.2</v>
      </c>
      <c r="I87" s="95">
        <v>0.2</v>
      </c>
      <c r="J87" s="34">
        <f t="shared" si="19"/>
        <v>-236501180.84139752</v>
      </c>
    </row>
    <row r="88" spans="2:10" x14ac:dyDescent="0.3">
      <c r="F88" s="24">
        <f t="shared" si="18"/>
        <v>-296501180.84139752</v>
      </c>
      <c r="G88" s="37">
        <v>0.25</v>
      </c>
      <c r="I88" s="95">
        <v>0.25</v>
      </c>
      <c r="J88" s="34">
        <f t="shared" si="19"/>
        <v>-296501180.84139752</v>
      </c>
    </row>
    <row r="89" spans="2:10" x14ac:dyDescent="0.3">
      <c r="F89" s="24">
        <f t="shared" si="18"/>
        <v>-356501180.84139752</v>
      </c>
      <c r="G89" s="37">
        <v>0.3</v>
      </c>
      <c r="I89" s="95">
        <v>0.3</v>
      </c>
      <c r="J89" s="34">
        <f t="shared" si="19"/>
        <v>-356501180.84139752</v>
      </c>
    </row>
    <row r="90" spans="2:10" x14ac:dyDescent="0.3">
      <c r="F90" s="24">
        <f t="shared" si="18"/>
        <v>-416501180.84139752</v>
      </c>
      <c r="G90" s="37">
        <v>0.35</v>
      </c>
      <c r="I90" s="95">
        <v>0.35</v>
      </c>
      <c r="J90" s="34">
        <f t="shared" si="19"/>
        <v>-416501180.84139752</v>
      </c>
    </row>
    <row r="91" spans="2:10" x14ac:dyDescent="0.3">
      <c r="F91" s="24">
        <f t="shared" si="18"/>
        <v>-476501180.84139752</v>
      </c>
      <c r="G91" s="37">
        <v>0.4</v>
      </c>
      <c r="I91" s="95">
        <v>0.4</v>
      </c>
      <c r="J91" s="34">
        <f t="shared" si="19"/>
        <v>-476501180.84139752</v>
      </c>
    </row>
    <row r="92" spans="2:10" x14ac:dyDescent="0.3">
      <c r="F92" s="24">
        <f t="shared" si="18"/>
        <v>-536501180.84139752</v>
      </c>
      <c r="G92" s="37">
        <v>0.45</v>
      </c>
      <c r="I92" s="95">
        <v>0.45</v>
      </c>
      <c r="J92" s="34">
        <f t="shared" si="19"/>
        <v>-536501180.84139752</v>
      </c>
    </row>
    <row r="93" spans="2:10" x14ac:dyDescent="0.3">
      <c r="F93" s="24">
        <f t="shared" si="18"/>
        <v>-596501180.84139752</v>
      </c>
      <c r="G93" s="37">
        <v>0.5</v>
      </c>
      <c r="I93" s="95">
        <v>0.5</v>
      </c>
      <c r="J93" s="34">
        <f t="shared" si="19"/>
        <v>-596501180.84139752</v>
      </c>
    </row>
    <row r="94" spans="2:10" x14ac:dyDescent="0.3">
      <c r="F94" s="24">
        <f t="shared" si="18"/>
        <v>-656501180.84139752</v>
      </c>
      <c r="G94" s="37">
        <v>0.55000000000000004</v>
      </c>
      <c r="I94" s="37">
        <v>0.55000000000000004</v>
      </c>
      <c r="J94" s="34">
        <f t="shared" si="19"/>
        <v>-656501180.84139752</v>
      </c>
    </row>
    <row r="95" spans="2:10" x14ac:dyDescent="0.3">
      <c r="F95" s="24">
        <f t="shared" si="18"/>
        <v>-716501180.84139752</v>
      </c>
      <c r="G95" s="37">
        <v>0.6</v>
      </c>
      <c r="I95" s="37">
        <v>0.6</v>
      </c>
      <c r="J95" s="34">
        <f t="shared" si="19"/>
        <v>-716501180.84139752</v>
      </c>
    </row>
    <row r="96" spans="2:10" x14ac:dyDescent="0.3">
      <c r="F96" s="24">
        <f t="shared" si="18"/>
        <v>-776501180.84139752</v>
      </c>
      <c r="G96" s="37">
        <v>0.65</v>
      </c>
      <c r="I96" s="37">
        <v>0.65</v>
      </c>
      <c r="J96" s="34">
        <f>($H$25*((1-(1+$H$26)^(-$H$27))/($H$26)))-G67</f>
        <v>-776501180.84139752</v>
      </c>
    </row>
    <row r="97" spans="6:12" x14ac:dyDescent="0.3">
      <c r="F97" s="24">
        <f t="shared" si="18"/>
        <v>-836501180.84139752</v>
      </c>
      <c r="G97" s="37">
        <v>0.7</v>
      </c>
      <c r="I97" s="37">
        <v>0.7</v>
      </c>
      <c r="J97" s="34">
        <f t="shared" si="19"/>
        <v>-836501180.84139752</v>
      </c>
    </row>
    <row r="98" spans="6:12" x14ac:dyDescent="0.3">
      <c r="F98" s="24">
        <f t="shared" si="18"/>
        <v>-896501180.84139752</v>
      </c>
      <c r="G98" s="37">
        <v>0.75</v>
      </c>
      <c r="I98" s="37">
        <v>0.75</v>
      </c>
      <c r="J98" s="34">
        <f t="shared" si="19"/>
        <v>-896501180.84139752</v>
      </c>
    </row>
    <row r="99" spans="6:12" x14ac:dyDescent="0.3">
      <c r="F99" s="24">
        <f t="shared" si="18"/>
        <v>-956501180.84139752</v>
      </c>
      <c r="G99" s="37">
        <v>0.8</v>
      </c>
      <c r="I99" s="37">
        <v>0.8</v>
      </c>
      <c r="J99" s="34">
        <f t="shared" si="19"/>
        <v>-956501180.84139752</v>
      </c>
    </row>
    <row r="100" spans="6:12" x14ac:dyDescent="0.3">
      <c r="F100" s="24">
        <f t="shared" si="18"/>
        <v>-1016501180.8413975</v>
      </c>
      <c r="G100" s="37">
        <v>0.85</v>
      </c>
      <c r="I100" s="37">
        <v>0.85</v>
      </c>
      <c r="J100" s="34">
        <f t="shared" si="19"/>
        <v>-1016501180.8413975</v>
      </c>
    </row>
    <row r="101" spans="6:12" x14ac:dyDescent="0.3">
      <c r="F101" s="24">
        <f t="shared" si="18"/>
        <v>-1076501180.8413975</v>
      </c>
      <c r="G101" s="37">
        <v>0.9</v>
      </c>
      <c r="I101" s="37">
        <v>0.9</v>
      </c>
      <c r="J101" s="34">
        <f t="shared" si="19"/>
        <v>-1076501180.8413975</v>
      </c>
    </row>
    <row r="102" spans="6:12" x14ac:dyDescent="0.3">
      <c r="F102" s="24">
        <f t="shared" si="18"/>
        <v>-1136501180.8413975</v>
      </c>
      <c r="G102" s="37">
        <v>0.95</v>
      </c>
      <c r="I102" s="37">
        <v>0.95</v>
      </c>
      <c r="J102" s="34">
        <f t="shared" si="19"/>
        <v>-1136501180.8413975</v>
      </c>
    </row>
    <row r="103" spans="6:12" x14ac:dyDescent="0.3">
      <c r="F103" s="24">
        <f t="shared" si="18"/>
        <v>-1196501180.8413975</v>
      </c>
      <c r="G103" s="37">
        <v>1</v>
      </c>
      <c r="I103" s="37">
        <v>1</v>
      </c>
      <c r="J103" s="34">
        <f t="shared" si="19"/>
        <v>-1196501180.8413975</v>
      </c>
    </row>
    <row r="108" spans="6:12" x14ac:dyDescent="0.3">
      <c r="F108" s="28" t="s">
        <v>146</v>
      </c>
      <c r="G108" s="25" t="s">
        <v>137</v>
      </c>
      <c r="H108" s="1" t="s">
        <v>147</v>
      </c>
      <c r="J108" s="28" t="s">
        <v>148</v>
      </c>
      <c r="K108" s="25" t="s">
        <v>137</v>
      </c>
      <c r="L108" s="1" t="s">
        <v>149</v>
      </c>
    </row>
    <row r="109" spans="6:12" x14ac:dyDescent="0.3">
      <c r="F109" s="99">
        <f t="shared" ref="F109:F131" si="21">$D$17*G109</f>
        <v>3158199.0000000005</v>
      </c>
      <c r="G109" s="25">
        <v>0.55000000000000004</v>
      </c>
      <c r="H109" s="101">
        <f t="shared" ref="H109:H131" si="22">$H$20-$D$23-F109</f>
        <v>82570361</v>
      </c>
      <c r="J109" s="105">
        <f t="shared" ref="J109:J131" si="23">$D$23*K109</f>
        <v>28034292.000000004</v>
      </c>
      <c r="K109" s="25">
        <v>0.55000000000000004</v>
      </c>
      <c r="L109" s="34">
        <f t="shared" ref="L109:L131" si="24">$H$20-J109-$D$17</f>
        <v>102923528</v>
      </c>
    </row>
    <row r="110" spans="6:12" x14ac:dyDescent="0.3">
      <c r="F110" s="99">
        <f t="shared" si="21"/>
        <v>3445308</v>
      </c>
      <c r="G110" s="22">
        <v>0.6</v>
      </c>
      <c r="H110" s="34">
        <f t="shared" si="22"/>
        <v>82283252</v>
      </c>
      <c r="J110" s="105">
        <f t="shared" si="23"/>
        <v>30582864</v>
      </c>
      <c r="K110" s="22">
        <v>0.6</v>
      </c>
      <c r="L110" s="34">
        <f t="shared" si="24"/>
        <v>100374956</v>
      </c>
    </row>
    <row r="111" spans="6:12" x14ac:dyDescent="0.3">
      <c r="F111" s="99">
        <f t="shared" si="21"/>
        <v>3732417</v>
      </c>
      <c r="G111" s="25">
        <v>0.65</v>
      </c>
      <c r="H111" s="34">
        <f t="shared" si="22"/>
        <v>81996143</v>
      </c>
      <c r="J111" s="105">
        <f t="shared" si="23"/>
        <v>33131436</v>
      </c>
      <c r="K111" s="25">
        <v>0.65</v>
      </c>
      <c r="L111" s="34">
        <f t="shared" si="24"/>
        <v>97826384</v>
      </c>
    </row>
    <row r="112" spans="6:12" x14ac:dyDescent="0.3">
      <c r="F112" s="99">
        <f t="shared" si="21"/>
        <v>4019525.9999999995</v>
      </c>
      <c r="G112" s="25">
        <v>0.7</v>
      </c>
      <c r="H112" s="34">
        <f t="shared" si="22"/>
        <v>81709034</v>
      </c>
      <c r="J112" s="105">
        <f t="shared" si="23"/>
        <v>35680008</v>
      </c>
      <c r="K112" s="25">
        <v>0.7</v>
      </c>
      <c r="L112" s="34">
        <f t="shared" si="24"/>
        <v>95277812</v>
      </c>
    </row>
    <row r="113" spans="6:12" x14ac:dyDescent="0.3">
      <c r="F113" s="99">
        <f t="shared" si="21"/>
        <v>4306635</v>
      </c>
      <c r="G113" s="25">
        <v>0.75</v>
      </c>
      <c r="H113" s="34">
        <f t="shared" si="22"/>
        <v>81421925</v>
      </c>
      <c r="J113" s="105">
        <f t="shared" si="23"/>
        <v>38228580</v>
      </c>
      <c r="K113" s="25">
        <v>0.75</v>
      </c>
      <c r="L113" s="34">
        <f t="shared" si="24"/>
        <v>92729240</v>
      </c>
    </row>
    <row r="114" spans="6:12" x14ac:dyDescent="0.3">
      <c r="F114" s="99">
        <f t="shared" si="21"/>
        <v>4593744</v>
      </c>
      <c r="G114" s="25">
        <v>0.8</v>
      </c>
      <c r="H114" s="34">
        <f t="shared" si="22"/>
        <v>81134816</v>
      </c>
      <c r="J114" s="105">
        <f t="shared" si="23"/>
        <v>40777152</v>
      </c>
      <c r="K114" s="25">
        <v>0.8</v>
      </c>
      <c r="L114" s="34">
        <f t="shared" si="24"/>
        <v>90180668</v>
      </c>
    </row>
    <row r="115" spans="6:12" x14ac:dyDescent="0.3">
      <c r="F115" s="99">
        <f t="shared" si="21"/>
        <v>4880853</v>
      </c>
      <c r="G115" s="25">
        <v>0.85</v>
      </c>
      <c r="H115" s="34">
        <f t="shared" si="22"/>
        <v>80847707</v>
      </c>
      <c r="J115" s="105">
        <f t="shared" si="23"/>
        <v>43325724</v>
      </c>
      <c r="K115" s="25">
        <v>0.85</v>
      </c>
      <c r="L115" s="34">
        <f t="shared" si="24"/>
        <v>87632096</v>
      </c>
    </row>
    <row r="116" spans="6:12" x14ac:dyDescent="0.3">
      <c r="F116" s="99">
        <f t="shared" si="21"/>
        <v>5167962</v>
      </c>
      <c r="G116" s="22">
        <v>0.9</v>
      </c>
      <c r="H116" s="34">
        <f t="shared" si="22"/>
        <v>80560598</v>
      </c>
      <c r="J116" s="105">
        <f t="shared" si="23"/>
        <v>45874296</v>
      </c>
      <c r="K116" s="22">
        <v>0.9</v>
      </c>
      <c r="L116" s="34">
        <f t="shared" si="24"/>
        <v>85083524</v>
      </c>
    </row>
    <row r="117" spans="6:12" x14ac:dyDescent="0.3">
      <c r="F117" s="99">
        <f t="shared" si="21"/>
        <v>5455071</v>
      </c>
      <c r="G117" s="22">
        <v>0.95</v>
      </c>
      <c r="H117" s="34">
        <f t="shared" si="22"/>
        <v>80273489</v>
      </c>
      <c r="J117" s="105">
        <f t="shared" si="23"/>
        <v>48422868</v>
      </c>
      <c r="K117" s="22">
        <v>0.95</v>
      </c>
      <c r="L117" s="34">
        <f t="shared" si="24"/>
        <v>82534952</v>
      </c>
    </row>
    <row r="118" spans="6:12" x14ac:dyDescent="0.3">
      <c r="F118" s="102">
        <f t="shared" si="21"/>
        <v>5742180</v>
      </c>
      <c r="G118" s="103">
        <v>1</v>
      </c>
      <c r="H118" s="104">
        <f t="shared" si="22"/>
        <v>79986380</v>
      </c>
      <c r="J118" s="102">
        <f t="shared" si="23"/>
        <v>50971440</v>
      </c>
      <c r="K118" s="103">
        <v>1</v>
      </c>
      <c r="L118" s="104">
        <f t="shared" si="24"/>
        <v>79986380</v>
      </c>
    </row>
    <row r="119" spans="6:12" x14ac:dyDescent="0.3">
      <c r="F119" s="99">
        <f t="shared" si="21"/>
        <v>6029289</v>
      </c>
      <c r="G119" s="22">
        <v>1.05</v>
      </c>
      <c r="H119" s="34">
        <f t="shared" si="22"/>
        <v>79699271</v>
      </c>
      <c r="J119" s="105">
        <f t="shared" si="23"/>
        <v>53520012</v>
      </c>
      <c r="K119" s="22">
        <v>1.05</v>
      </c>
      <c r="L119" s="34">
        <f t="shared" si="24"/>
        <v>77437808</v>
      </c>
    </row>
    <row r="120" spans="6:12" x14ac:dyDescent="0.3">
      <c r="F120" s="99">
        <f t="shared" si="21"/>
        <v>6316398.0000000009</v>
      </c>
      <c r="G120" s="22">
        <v>1.1000000000000001</v>
      </c>
      <c r="H120" s="34">
        <f t="shared" si="22"/>
        <v>79412162</v>
      </c>
      <c r="J120" s="105">
        <f t="shared" si="23"/>
        <v>56068584.000000007</v>
      </c>
      <c r="K120" s="22">
        <v>1.1000000000000001</v>
      </c>
      <c r="L120" s="34">
        <f t="shared" si="24"/>
        <v>74889236</v>
      </c>
    </row>
    <row r="121" spans="6:12" x14ac:dyDescent="0.3">
      <c r="F121" s="99">
        <f t="shared" si="21"/>
        <v>6603506.9999999991</v>
      </c>
      <c r="G121" s="22">
        <v>1.1499999999999999</v>
      </c>
      <c r="H121" s="34">
        <f t="shared" si="22"/>
        <v>79125053</v>
      </c>
      <c r="J121" s="105">
        <f t="shared" si="23"/>
        <v>58617155.999999993</v>
      </c>
      <c r="K121" s="22">
        <v>1.1499999999999999</v>
      </c>
      <c r="L121" s="34">
        <f t="shared" si="24"/>
        <v>72340664</v>
      </c>
    </row>
    <row r="122" spans="6:12" x14ac:dyDescent="0.3">
      <c r="F122" s="99">
        <f t="shared" si="21"/>
        <v>6890616</v>
      </c>
      <c r="G122" s="22">
        <v>1.2</v>
      </c>
      <c r="H122" s="34">
        <f t="shared" si="22"/>
        <v>78837944</v>
      </c>
      <c r="J122" s="105">
        <f t="shared" si="23"/>
        <v>61165728</v>
      </c>
      <c r="K122" s="22">
        <v>1.2</v>
      </c>
      <c r="L122" s="34">
        <f t="shared" si="24"/>
        <v>69792092</v>
      </c>
    </row>
    <row r="123" spans="6:12" x14ac:dyDescent="0.3">
      <c r="F123" s="99">
        <f t="shared" si="21"/>
        <v>7177725</v>
      </c>
      <c r="G123" s="22">
        <v>1.25</v>
      </c>
      <c r="H123" s="34">
        <f t="shared" si="22"/>
        <v>78550835</v>
      </c>
      <c r="J123" s="105">
        <f t="shared" si="23"/>
        <v>63714300</v>
      </c>
      <c r="K123" s="22">
        <v>1.25</v>
      </c>
      <c r="L123" s="34">
        <f t="shared" si="24"/>
        <v>67243520</v>
      </c>
    </row>
    <row r="124" spans="6:12" x14ac:dyDescent="0.3">
      <c r="F124" s="99">
        <f t="shared" si="21"/>
        <v>7464834</v>
      </c>
      <c r="G124" s="22">
        <v>1.3</v>
      </c>
      <c r="H124" s="34">
        <f t="shared" si="22"/>
        <v>78263726</v>
      </c>
      <c r="J124" s="105">
        <f t="shared" si="23"/>
        <v>66262872</v>
      </c>
      <c r="K124" s="22">
        <v>1.3</v>
      </c>
      <c r="L124" s="34">
        <f t="shared" si="24"/>
        <v>64694948</v>
      </c>
    </row>
    <row r="125" spans="6:12" x14ac:dyDescent="0.3">
      <c r="F125" s="99">
        <f t="shared" si="21"/>
        <v>7751943.0000000009</v>
      </c>
      <c r="G125" s="22">
        <v>1.35</v>
      </c>
      <c r="H125" s="34">
        <f t="shared" si="22"/>
        <v>77976617</v>
      </c>
      <c r="J125" s="105">
        <f t="shared" si="23"/>
        <v>68811444</v>
      </c>
      <c r="K125" s="22">
        <v>1.35</v>
      </c>
      <c r="L125" s="34">
        <f t="shared" si="24"/>
        <v>62146376</v>
      </c>
    </row>
    <row r="126" spans="6:12" x14ac:dyDescent="0.3">
      <c r="F126" s="99">
        <f t="shared" si="21"/>
        <v>8039051.9999999991</v>
      </c>
      <c r="G126" s="22">
        <v>1.4</v>
      </c>
      <c r="H126" s="34">
        <f t="shared" si="22"/>
        <v>77689508</v>
      </c>
      <c r="J126" s="105">
        <f t="shared" si="23"/>
        <v>71360016</v>
      </c>
      <c r="K126" s="22">
        <v>1.4</v>
      </c>
      <c r="L126" s="34">
        <f t="shared" si="24"/>
        <v>59597804</v>
      </c>
    </row>
    <row r="127" spans="6:12" x14ac:dyDescent="0.3">
      <c r="F127" s="99">
        <f t="shared" si="21"/>
        <v>8326161</v>
      </c>
      <c r="G127" s="22">
        <v>1.45</v>
      </c>
      <c r="H127" s="34">
        <f t="shared" si="22"/>
        <v>77402399</v>
      </c>
      <c r="J127" s="105">
        <f t="shared" si="23"/>
        <v>73908588</v>
      </c>
      <c r="K127" s="22">
        <v>1.45</v>
      </c>
      <c r="L127" s="34">
        <f t="shared" si="24"/>
        <v>57049232</v>
      </c>
    </row>
    <row r="128" spans="6:12" x14ac:dyDescent="0.3">
      <c r="F128" s="99">
        <f t="shared" si="21"/>
        <v>8613270</v>
      </c>
      <c r="G128" s="22">
        <v>1.5</v>
      </c>
      <c r="H128" s="34">
        <f t="shared" si="22"/>
        <v>77115290</v>
      </c>
      <c r="J128" s="105">
        <f t="shared" si="23"/>
        <v>76457160</v>
      </c>
      <c r="K128" s="22">
        <v>1.5</v>
      </c>
      <c r="L128" s="34">
        <f t="shared" si="24"/>
        <v>54500660</v>
      </c>
    </row>
    <row r="129" spans="6:12" x14ac:dyDescent="0.3">
      <c r="F129" s="99">
        <f t="shared" si="21"/>
        <v>8900379</v>
      </c>
      <c r="G129" s="22">
        <v>1.55</v>
      </c>
      <c r="H129" s="34">
        <f t="shared" si="22"/>
        <v>76828181</v>
      </c>
      <c r="J129" s="105">
        <f t="shared" si="23"/>
        <v>79005732</v>
      </c>
      <c r="K129" s="22">
        <v>1.55</v>
      </c>
      <c r="L129" s="34">
        <f t="shared" si="24"/>
        <v>51952088</v>
      </c>
    </row>
    <row r="130" spans="6:12" x14ac:dyDescent="0.3">
      <c r="F130" s="99">
        <f t="shared" si="21"/>
        <v>9187488</v>
      </c>
      <c r="G130" s="22">
        <v>1.6</v>
      </c>
      <c r="H130" s="34">
        <f t="shared" si="22"/>
        <v>76541072</v>
      </c>
      <c r="J130" s="105">
        <f t="shared" si="23"/>
        <v>81554304</v>
      </c>
      <c r="K130" s="22">
        <v>1.6</v>
      </c>
      <c r="L130" s="34">
        <f t="shared" si="24"/>
        <v>49403516</v>
      </c>
    </row>
    <row r="131" spans="6:12" x14ac:dyDescent="0.3">
      <c r="F131" s="99">
        <f t="shared" si="21"/>
        <v>9474597</v>
      </c>
      <c r="G131" s="22">
        <v>1.65</v>
      </c>
      <c r="H131" s="34">
        <f t="shared" si="22"/>
        <v>76253963</v>
      </c>
      <c r="J131" s="105">
        <f t="shared" si="23"/>
        <v>84102876</v>
      </c>
      <c r="K131" s="22">
        <v>1.65</v>
      </c>
      <c r="L131" s="34">
        <f t="shared" si="24"/>
        <v>46854944</v>
      </c>
    </row>
    <row r="133" spans="6:12" x14ac:dyDescent="0.3">
      <c r="I133" s="51" t="s">
        <v>150</v>
      </c>
      <c r="J133" s="51" t="s">
        <v>85</v>
      </c>
    </row>
    <row r="134" spans="6:12" x14ac:dyDescent="0.3">
      <c r="H134" s="61">
        <v>-0.45</v>
      </c>
      <c r="I134" s="100">
        <f t="shared" ref="I134:I156" si="25">H109*((1-(1+$H$26)^(-$D$11))/($H$26))-$H$28</f>
        <v>42378164.3949821</v>
      </c>
      <c r="J134" s="24">
        <f t="shared" ref="J134:J156" si="26">L109*((1-(1+$H$26)^(-$D$11))/($H$26))-$H$28</f>
        <v>348617957.35270619</v>
      </c>
    </row>
    <row r="135" spans="6:12" x14ac:dyDescent="0.3">
      <c r="H135" s="61">
        <v>-0.4</v>
      </c>
      <c r="I135" s="24">
        <f t="shared" si="25"/>
        <v>38058237.146495581</v>
      </c>
      <c r="J135" s="24">
        <f t="shared" si="26"/>
        <v>310271386.44225025</v>
      </c>
    </row>
    <row r="136" spans="6:12" x14ac:dyDescent="0.3">
      <c r="H136" s="61">
        <v>-0.35</v>
      </c>
      <c r="I136" s="24">
        <f t="shared" si="25"/>
        <v>33738309.898008823</v>
      </c>
      <c r="J136" s="24">
        <f t="shared" si="26"/>
        <v>271924815.53179431</v>
      </c>
    </row>
    <row r="137" spans="6:12" x14ac:dyDescent="0.3">
      <c r="H137" s="61">
        <v>-0.3</v>
      </c>
      <c r="I137" s="24">
        <f t="shared" si="25"/>
        <v>29418382.649522305</v>
      </c>
      <c r="J137" s="24">
        <f t="shared" si="26"/>
        <v>233578244.62133837</v>
      </c>
    </row>
    <row r="138" spans="6:12" x14ac:dyDescent="0.3">
      <c r="H138" s="61">
        <v>-0.25</v>
      </c>
      <c r="I138" s="24">
        <f t="shared" si="25"/>
        <v>25098455.401035547</v>
      </c>
      <c r="J138" s="24">
        <f t="shared" si="26"/>
        <v>195231673.71088219</v>
      </c>
    </row>
    <row r="139" spans="6:12" x14ac:dyDescent="0.3">
      <c r="H139" s="61">
        <v>-0.2</v>
      </c>
      <c r="I139" s="24">
        <f t="shared" si="25"/>
        <v>20778528.152549028</v>
      </c>
      <c r="J139" s="24">
        <f t="shared" si="26"/>
        <v>156885102.80042624</v>
      </c>
    </row>
    <row r="140" spans="6:12" x14ac:dyDescent="0.3">
      <c r="H140" s="61">
        <v>-0.15</v>
      </c>
      <c r="I140" s="24">
        <f t="shared" si="25"/>
        <v>16458600.904062271</v>
      </c>
      <c r="J140" s="24">
        <f t="shared" si="26"/>
        <v>118538531.8899703</v>
      </c>
    </row>
    <row r="141" spans="6:12" x14ac:dyDescent="0.3">
      <c r="H141" s="61">
        <v>-0.1</v>
      </c>
      <c r="I141" s="24">
        <f t="shared" si="25"/>
        <v>12138673.655575752</v>
      </c>
      <c r="J141" s="24">
        <f t="shared" si="26"/>
        <v>80191960.97951436</v>
      </c>
    </row>
    <row r="142" spans="6:12" x14ac:dyDescent="0.3">
      <c r="H142" s="61">
        <v>-0.05</v>
      </c>
      <c r="I142" s="24">
        <f t="shared" si="25"/>
        <v>7818746.407088995</v>
      </c>
      <c r="J142" s="24">
        <f t="shared" si="26"/>
        <v>41845390.069058418</v>
      </c>
    </row>
    <row r="143" spans="6:12" x14ac:dyDescent="0.3">
      <c r="H143" s="61">
        <v>0</v>
      </c>
      <c r="I143" s="71">
        <f t="shared" si="25"/>
        <v>3498819.1586024761</v>
      </c>
      <c r="J143" s="71">
        <f t="shared" si="26"/>
        <v>3498819.1586024761</v>
      </c>
    </row>
    <row r="144" spans="6:12" x14ac:dyDescent="0.3">
      <c r="H144" s="61">
        <v>0.05</v>
      </c>
      <c r="I144" s="24">
        <f t="shared" si="25"/>
        <v>-821108.08988428116</v>
      </c>
      <c r="J144" s="24">
        <f t="shared" si="26"/>
        <v>-34847751.751853466</v>
      </c>
    </row>
    <row r="145" spans="8:10" x14ac:dyDescent="0.3">
      <c r="H145" s="61">
        <v>0.1</v>
      </c>
      <c r="I145" s="24">
        <f t="shared" si="25"/>
        <v>-5141035.3383708</v>
      </c>
      <c r="J145" s="24">
        <f t="shared" si="26"/>
        <v>-73194322.662309647</v>
      </c>
    </row>
    <row r="146" spans="8:10" x14ac:dyDescent="0.3">
      <c r="H146" s="61">
        <v>0.15</v>
      </c>
      <c r="I146" s="24">
        <f t="shared" si="25"/>
        <v>-9460962.5868575573</v>
      </c>
      <c r="J146" s="24">
        <f t="shared" si="26"/>
        <v>-111540893.57276559</v>
      </c>
    </row>
    <row r="147" spans="8:10" x14ac:dyDescent="0.3">
      <c r="H147" s="61">
        <v>0.2</v>
      </c>
      <c r="I147" s="24">
        <f t="shared" si="25"/>
        <v>-13780889.835344076</v>
      </c>
      <c r="J147" s="24">
        <f t="shared" si="26"/>
        <v>-149887464.48322153</v>
      </c>
    </row>
    <row r="148" spans="8:10" x14ac:dyDescent="0.3">
      <c r="H148" s="61">
        <v>0.25</v>
      </c>
      <c r="I148" s="24">
        <f t="shared" si="25"/>
        <v>-18100817.083830833</v>
      </c>
      <c r="J148" s="24">
        <f t="shared" si="26"/>
        <v>-188234035.39367747</v>
      </c>
    </row>
    <row r="149" spans="8:10" x14ac:dyDescent="0.3">
      <c r="H149" s="61">
        <v>0.3</v>
      </c>
      <c r="I149" s="24">
        <f t="shared" si="25"/>
        <v>-22420744.332317352</v>
      </c>
      <c r="J149" s="24">
        <f t="shared" si="26"/>
        <v>-226580606.30413342</v>
      </c>
    </row>
    <row r="150" spans="8:10" x14ac:dyDescent="0.3">
      <c r="H150" s="61">
        <v>0.35</v>
      </c>
      <c r="I150" s="24">
        <f t="shared" si="25"/>
        <v>-26740671.58080411</v>
      </c>
      <c r="J150" s="24">
        <f t="shared" si="26"/>
        <v>-264927177.21458948</v>
      </c>
    </row>
    <row r="151" spans="8:10" x14ac:dyDescent="0.3">
      <c r="H151" s="61">
        <v>0.4</v>
      </c>
      <c r="I151" s="24">
        <f t="shared" si="25"/>
        <v>-31060598.829290628</v>
      </c>
      <c r="J151" s="24">
        <f t="shared" si="26"/>
        <v>-303273748.12504542</v>
      </c>
    </row>
    <row r="152" spans="8:10" x14ac:dyDescent="0.3">
      <c r="H152" s="61">
        <v>0.45</v>
      </c>
      <c r="I152" s="24">
        <f t="shared" si="25"/>
        <v>-35380526.077777386</v>
      </c>
      <c r="J152" s="24">
        <f t="shared" si="26"/>
        <v>-341620319.03550136</v>
      </c>
    </row>
    <row r="153" spans="8:10" x14ac:dyDescent="0.3">
      <c r="H153" s="61">
        <v>0.5</v>
      </c>
      <c r="I153" s="24">
        <f t="shared" si="25"/>
        <v>-39700453.326264143</v>
      </c>
      <c r="J153" s="24">
        <f t="shared" si="26"/>
        <v>-379966889.9459573</v>
      </c>
    </row>
    <row r="154" spans="8:10" x14ac:dyDescent="0.3">
      <c r="H154" s="61">
        <v>0.55000000000000004</v>
      </c>
      <c r="I154" s="24">
        <f t="shared" si="25"/>
        <v>-44020380.574750662</v>
      </c>
      <c r="J154" s="24">
        <f t="shared" si="26"/>
        <v>-418313460.85641336</v>
      </c>
    </row>
    <row r="155" spans="8:10" x14ac:dyDescent="0.3">
      <c r="H155" s="61">
        <v>0.6</v>
      </c>
      <c r="I155" s="24">
        <f t="shared" si="25"/>
        <v>-48340307.823237419</v>
      </c>
      <c r="J155" s="24">
        <f t="shared" si="26"/>
        <v>-456660031.76686931</v>
      </c>
    </row>
    <row r="156" spans="8:10" x14ac:dyDescent="0.3">
      <c r="H156" s="61">
        <v>0.65</v>
      </c>
      <c r="I156" s="24">
        <f t="shared" si="25"/>
        <v>-52660235.071723938</v>
      </c>
      <c r="J156" s="24">
        <f t="shared" si="26"/>
        <v>-495006602.67732525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CDF8-68EB-4782-A468-8D4EB01A2346}">
  <sheetPr>
    <tabColor rgb="FF7030A0"/>
  </sheetPr>
  <dimension ref="A1:P189"/>
  <sheetViews>
    <sheetView topLeftCell="B110" zoomScale="102" zoomScaleNormal="98" workbookViewId="0">
      <selection activeCell="E120" sqref="E120"/>
    </sheetView>
  </sheetViews>
  <sheetFormatPr baseColWidth="10" defaultColWidth="11.44140625" defaultRowHeight="14.4" x14ac:dyDescent="0.3"/>
  <cols>
    <col min="1" max="1" width="30.33203125" bestFit="1" customWidth="1"/>
    <col min="2" max="2" width="38.6640625" bestFit="1" customWidth="1"/>
    <col min="3" max="3" width="26.6640625" bestFit="1" customWidth="1"/>
    <col min="4" max="4" width="25.88671875" bestFit="1" customWidth="1"/>
    <col min="5" max="5" width="55.88671875" bestFit="1" customWidth="1"/>
    <col min="6" max="6" width="24.5546875" bestFit="1" customWidth="1"/>
    <col min="7" max="7" width="29.44140625" bestFit="1" customWidth="1"/>
    <col min="8" max="8" width="31.44140625" bestFit="1" customWidth="1"/>
    <col min="9" max="9" width="21.44140625" bestFit="1" customWidth="1"/>
    <col min="10" max="10" width="29.5546875" bestFit="1" customWidth="1"/>
    <col min="11" max="11" width="26.44140625" bestFit="1" customWidth="1"/>
    <col min="12" max="12" width="29.6640625" bestFit="1" customWidth="1"/>
    <col min="13" max="13" width="19.33203125" bestFit="1" customWidth="1"/>
    <col min="14" max="14" width="19.109375" bestFit="1" customWidth="1"/>
  </cols>
  <sheetData>
    <row r="1" spans="1:16" x14ac:dyDescent="0.3">
      <c r="A1" t="s">
        <v>0</v>
      </c>
      <c r="B1" t="s">
        <v>1</v>
      </c>
    </row>
    <row r="4" spans="1:16" x14ac:dyDescent="0.3">
      <c r="A4">
        <v>218</v>
      </c>
      <c r="B4" t="s">
        <v>2</v>
      </c>
      <c r="C4" t="s">
        <v>3</v>
      </c>
    </row>
    <row r="5" spans="1:16" x14ac:dyDescent="0.3">
      <c r="A5">
        <v>57</v>
      </c>
      <c r="B5" t="s">
        <v>4</v>
      </c>
      <c r="C5" t="s">
        <v>5</v>
      </c>
    </row>
    <row r="6" spans="1:16" x14ac:dyDescent="0.3">
      <c r="A6">
        <f>A4/1.09</f>
        <v>199.99999999999997</v>
      </c>
      <c r="B6" t="s">
        <v>4</v>
      </c>
    </row>
    <row r="11" spans="1:16" x14ac:dyDescent="0.3">
      <c r="B11" s="66" t="s">
        <v>6</v>
      </c>
      <c r="C11" s="67"/>
      <c r="H11" s="66" t="s">
        <v>7</v>
      </c>
      <c r="I11" s="67"/>
      <c r="L11" s="66" t="s">
        <v>8</v>
      </c>
      <c r="M11" s="67"/>
    </row>
    <row r="12" spans="1:16" x14ac:dyDescent="0.3">
      <c r="B12" s="67" t="s">
        <v>9</v>
      </c>
      <c r="C12" s="67" t="s">
        <v>10</v>
      </c>
      <c r="H12" s="67" t="s">
        <v>9</v>
      </c>
      <c r="I12" s="67" t="s">
        <v>11</v>
      </c>
      <c r="L12" s="67" t="s">
        <v>9</v>
      </c>
      <c r="M12" s="67" t="s">
        <v>12</v>
      </c>
    </row>
    <row r="13" spans="1:16" x14ac:dyDescent="0.3">
      <c r="B13" s="67" t="s">
        <v>13</v>
      </c>
      <c r="C13" s="67">
        <v>5</v>
      </c>
      <c r="H13" s="67" t="s">
        <v>13</v>
      </c>
      <c r="I13" s="67">
        <v>470</v>
      </c>
      <c r="L13" s="67" t="s">
        <v>13</v>
      </c>
      <c r="M13" s="67">
        <v>225</v>
      </c>
    </row>
    <row r="14" spans="1:16" x14ac:dyDescent="0.3">
      <c r="B14" s="67" t="s">
        <v>14</v>
      </c>
      <c r="C14" s="67">
        <v>13</v>
      </c>
      <c r="H14" s="67" t="s">
        <v>14</v>
      </c>
      <c r="I14" s="67">
        <v>1358</v>
      </c>
      <c r="L14" s="67" t="s">
        <v>14</v>
      </c>
      <c r="M14" s="67">
        <v>800</v>
      </c>
    </row>
    <row r="15" spans="1:16" x14ac:dyDescent="0.3">
      <c r="B15" s="67" t="s">
        <v>15</v>
      </c>
      <c r="C15" s="68">
        <f>1200*10^6</f>
        <v>1200000000</v>
      </c>
      <c r="H15" s="67" t="s">
        <v>16</v>
      </c>
      <c r="I15" s="68">
        <f>2.9*10^9</f>
        <v>2900000000</v>
      </c>
      <c r="L15" s="67" t="s">
        <v>17</v>
      </c>
      <c r="M15" s="68">
        <v>1000000000</v>
      </c>
      <c r="N15" t="s">
        <v>18</v>
      </c>
      <c r="O15">
        <v>10.577</v>
      </c>
      <c r="P15" t="s">
        <v>19</v>
      </c>
    </row>
    <row r="16" spans="1:16" x14ac:dyDescent="0.3">
      <c r="B16" s="67" t="s">
        <v>20</v>
      </c>
      <c r="C16" s="68">
        <f>600*10^6</f>
        <v>600000000</v>
      </c>
      <c r="H16" s="67" t="s">
        <v>21</v>
      </c>
      <c r="I16" s="67">
        <v>11.475</v>
      </c>
      <c r="J16" t="s">
        <v>22</v>
      </c>
      <c r="L16" s="67" t="s">
        <v>23</v>
      </c>
      <c r="M16" s="68">
        <f>M15*O15</f>
        <v>10577000000</v>
      </c>
    </row>
    <row r="17" spans="1:15" x14ac:dyDescent="0.3">
      <c r="B17" s="67" t="s">
        <v>24</v>
      </c>
      <c r="C17" s="67">
        <v>8</v>
      </c>
      <c r="H17" s="67" t="s">
        <v>23</v>
      </c>
      <c r="I17" s="68">
        <f>I15*I16</f>
        <v>33277500000</v>
      </c>
      <c r="L17" s="67" t="s">
        <v>25</v>
      </c>
      <c r="M17" s="67">
        <v>24</v>
      </c>
    </row>
    <row r="18" spans="1:15" x14ac:dyDescent="0.3">
      <c r="B18" s="67" t="s">
        <v>26</v>
      </c>
      <c r="C18" s="67">
        <v>40</v>
      </c>
      <c r="H18" s="67" t="s">
        <v>25</v>
      </c>
      <c r="I18" s="67">
        <v>18</v>
      </c>
      <c r="L18" s="67" t="s">
        <v>26</v>
      </c>
      <c r="M18" s="67">
        <v>60</v>
      </c>
      <c r="O18" s="8"/>
    </row>
    <row r="19" spans="1:15" x14ac:dyDescent="0.3">
      <c r="B19" s="67" t="s">
        <v>27</v>
      </c>
      <c r="C19" s="67">
        <v>40.299999999999997</v>
      </c>
      <c r="H19" s="67" t="s">
        <v>26</v>
      </c>
      <c r="I19" s="67">
        <v>60</v>
      </c>
      <c r="L19" s="67" t="s">
        <v>28</v>
      </c>
      <c r="M19" s="67"/>
    </row>
    <row r="20" spans="1:15" x14ac:dyDescent="0.3">
      <c r="B20" s="67" t="s">
        <v>29</v>
      </c>
      <c r="C20" s="67">
        <v>8322</v>
      </c>
      <c r="H20" s="67" t="s">
        <v>29</v>
      </c>
      <c r="I20" s="67">
        <v>8322</v>
      </c>
      <c r="L20" s="67" t="s">
        <v>29</v>
      </c>
      <c r="M20" s="67">
        <v>8322</v>
      </c>
    </row>
    <row r="21" spans="1:15" x14ac:dyDescent="0.3">
      <c r="B21" s="67" t="s">
        <v>30</v>
      </c>
      <c r="C21" s="67"/>
      <c r="H21" s="67" t="s">
        <v>31</v>
      </c>
      <c r="I21" s="67">
        <v>80</v>
      </c>
      <c r="L21" s="67" t="s">
        <v>30</v>
      </c>
      <c r="M21" s="67"/>
    </row>
    <row r="22" spans="1:15" x14ac:dyDescent="0.3">
      <c r="B22" s="69" t="s">
        <v>32</v>
      </c>
      <c r="C22" s="69"/>
      <c r="H22" s="67" t="s">
        <v>33</v>
      </c>
      <c r="I22" s="68">
        <f>I48*(100/77)</f>
        <v>2674116003.5957322</v>
      </c>
      <c r="L22" s="69" t="s">
        <v>34</v>
      </c>
      <c r="M22" s="69"/>
    </row>
    <row r="23" spans="1:15" x14ac:dyDescent="0.3">
      <c r="A23" t="s">
        <v>35</v>
      </c>
      <c r="B23" s="70" t="s">
        <v>36</v>
      </c>
      <c r="C23" s="71">
        <f>C62/0.7</f>
        <v>113934061.57830086</v>
      </c>
      <c r="H23" s="67" t="s">
        <v>34</v>
      </c>
      <c r="I23" s="67">
        <v>57</v>
      </c>
      <c r="L23" s="67" t="s">
        <v>33</v>
      </c>
      <c r="M23" s="68">
        <f>M48*(100/70)</f>
        <v>934942152.115852</v>
      </c>
    </row>
    <row r="24" spans="1:15" x14ac:dyDescent="0.3">
      <c r="B24" s="72" t="s">
        <v>37</v>
      </c>
      <c r="C24" s="73">
        <f>D53</f>
        <v>50971440</v>
      </c>
      <c r="H24" s="67" t="s">
        <v>37</v>
      </c>
      <c r="I24" s="68">
        <f>I22*0.15</f>
        <v>401117400.53935981</v>
      </c>
      <c r="J24" s="54" t="s">
        <v>38</v>
      </c>
      <c r="L24" s="67" t="s">
        <v>37</v>
      </c>
      <c r="M24" s="68">
        <f>M23*0.15</f>
        <v>140241322.81737781</v>
      </c>
      <c r="N24" s="54" t="s">
        <v>38</v>
      </c>
    </row>
    <row r="25" spans="1:15" x14ac:dyDescent="0.3">
      <c r="B25" s="67" t="s">
        <v>39</v>
      </c>
      <c r="C25" s="68">
        <f>D43+E43</f>
        <v>5742180</v>
      </c>
      <c r="H25" s="67" t="s">
        <v>39</v>
      </c>
      <c r="I25" s="68">
        <f>I54</f>
        <v>352020600</v>
      </c>
      <c r="L25" s="67" t="s">
        <v>40</v>
      </c>
      <c r="M25" s="68">
        <f>M54</f>
        <v>168520500</v>
      </c>
    </row>
    <row r="26" spans="1:15" x14ac:dyDescent="0.3">
      <c r="B26" s="67" t="s">
        <v>41</v>
      </c>
      <c r="C26" s="68">
        <f>C25*C18</f>
        <v>229687200</v>
      </c>
    </row>
    <row r="28" spans="1:15" x14ac:dyDescent="0.3">
      <c r="H28" s="80" t="s">
        <v>42</v>
      </c>
      <c r="I28" s="1"/>
      <c r="L28" s="80" t="s">
        <v>42</v>
      </c>
      <c r="M28" s="1"/>
    </row>
    <row r="29" spans="1:15" x14ac:dyDescent="0.3">
      <c r="B29" s="66" t="s">
        <v>43</v>
      </c>
      <c r="C29" s="67"/>
      <c r="H29" s="1" t="s">
        <v>44</v>
      </c>
      <c r="I29" s="1">
        <v>40</v>
      </c>
      <c r="L29" s="1" t="s">
        <v>44</v>
      </c>
      <c r="M29" s="1">
        <v>40</v>
      </c>
    </row>
    <row r="30" spans="1:15" x14ac:dyDescent="0.3">
      <c r="B30" s="67" t="s">
        <v>45</v>
      </c>
      <c r="C30" s="67">
        <v>0.06</v>
      </c>
      <c r="H30" s="1" t="s">
        <v>46</v>
      </c>
      <c r="I30" s="1">
        <v>70</v>
      </c>
      <c r="L30" s="3" t="s">
        <v>46</v>
      </c>
      <c r="M30" s="3">
        <v>70</v>
      </c>
    </row>
    <row r="31" spans="1:15" x14ac:dyDescent="0.3">
      <c r="H31" s="1" t="s">
        <v>47</v>
      </c>
      <c r="I31" s="1">
        <v>2.42</v>
      </c>
      <c r="L31" s="1" t="s">
        <v>47</v>
      </c>
      <c r="M31" s="1">
        <v>2.42</v>
      </c>
    </row>
    <row r="32" spans="1:15" x14ac:dyDescent="0.3">
      <c r="B32" s="66" t="s">
        <v>48</v>
      </c>
      <c r="C32" s="67"/>
      <c r="H32" s="1" t="s">
        <v>49</v>
      </c>
      <c r="I32" s="1">
        <v>0.56999999999999995</v>
      </c>
      <c r="L32" s="1" t="s">
        <v>49</v>
      </c>
      <c r="M32" s="1">
        <v>0.56999999999999995</v>
      </c>
    </row>
    <row r="33" spans="1:13" x14ac:dyDescent="0.3">
      <c r="B33" s="67" t="s">
        <v>50</v>
      </c>
      <c r="C33" s="67">
        <f>C13*C20 *10^-3</f>
        <v>41.61</v>
      </c>
    </row>
    <row r="34" spans="1:13" x14ac:dyDescent="0.3">
      <c r="B34" s="67" t="s">
        <v>51</v>
      </c>
      <c r="C34" s="75">
        <f>C14*C20 *10^-3</f>
        <v>108.18600000000001</v>
      </c>
      <c r="I34" s="8"/>
      <c r="M34" s="8"/>
    </row>
    <row r="35" spans="1:13" x14ac:dyDescent="0.3">
      <c r="B35" s="67" t="s">
        <v>52</v>
      </c>
      <c r="C35" s="75">
        <f>C33+C34</f>
        <v>149.79599999999999</v>
      </c>
      <c r="H35" s="2" t="s">
        <v>50</v>
      </c>
      <c r="I35" s="1">
        <f>I13*I20*10^-3</f>
        <v>3911.34</v>
      </c>
      <c r="L35" s="2" t="s">
        <v>50</v>
      </c>
      <c r="M35" s="1">
        <f>M13*M20*10^-3</f>
        <v>1872.45</v>
      </c>
    </row>
    <row r="36" spans="1:13" x14ac:dyDescent="0.3">
      <c r="B36" s="67" t="s">
        <v>53</v>
      </c>
      <c r="C36" s="76">
        <f>I29/C33</f>
        <v>0.96130737803412647</v>
      </c>
      <c r="H36" s="2" t="s">
        <v>51</v>
      </c>
      <c r="I36" s="1">
        <f>I14*I20*10^-3</f>
        <v>11301.276</v>
      </c>
      <c r="L36" s="2" t="s">
        <v>51</v>
      </c>
      <c r="M36" s="1">
        <f>M14*M20*10^-3</f>
        <v>6657.6</v>
      </c>
    </row>
    <row r="37" spans="1:13" x14ac:dyDescent="0.3">
      <c r="B37" s="67" t="s">
        <v>54</v>
      </c>
      <c r="C37" s="76">
        <f>I30/C34</f>
        <v>0.64703381213835431</v>
      </c>
      <c r="H37" s="2" t="s">
        <v>53</v>
      </c>
      <c r="I37" s="1">
        <f>I29/I35</f>
        <v>1.0226674234405599E-2</v>
      </c>
      <c r="L37" s="2" t="s">
        <v>53</v>
      </c>
      <c r="M37" s="1">
        <f>M29/M35</f>
        <v>2.1362386178536141E-2</v>
      </c>
    </row>
    <row r="38" spans="1:13" x14ac:dyDescent="0.3">
      <c r="B38" s="67" t="s">
        <v>55</v>
      </c>
      <c r="C38" s="75">
        <f>C35-110</f>
        <v>39.795999999999992</v>
      </c>
      <c r="H38" s="2" t="s">
        <v>54</v>
      </c>
      <c r="I38" s="1">
        <f>I30/I36</f>
        <v>6.193990837848753E-3</v>
      </c>
      <c r="L38" s="2" t="s">
        <v>54</v>
      </c>
      <c r="M38" s="1">
        <f>M30/M36</f>
        <v>1.0514299447248257E-2</v>
      </c>
    </row>
    <row r="40" spans="1:13" x14ac:dyDescent="0.3">
      <c r="H40" s="1" t="s">
        <v>56</v>
      </c>
      <c r="I40" s="1">
        <f>I13*I20*10^-3</f>
        <v>3911.34</v>
      </c>
      <c r="L40" s="1" t="s">
        <v>56</v>
      </c>
      <c r="M40" s="1">
        <f>M35</f>
        <v>1872.45</v>
      </c>
    </row>
    <row r="41" spans="1:13" x14ac:dyDescent="0.3">
      <c r="H41" s="1" t="s">
        <v>57</v>
      </c>
      <c r="I41" s="1">
        <f>I14*I20*10^-3</f>
        <v>11301.276</v>
      </c>
      <c r="L41" s="1" t="s">
        <v>57</v>
      </c>
      <c r="M41" s="1">
        <f>M36</f>
        <v>6657.6</v>
      </c>
    </row>
    <row r="42" spans="1:13" x14ac:dyDescent="0.3">
      <c r="A42" t="s">
        <v>58</v>
      </c>
      <c r="B42" s="65" t="s">
        <v>59</v>
      </c>
      <c r="C42" s="82" t="s">
        <v>60</v>
      </c>
      <c r="D42" s="81" t="s">
        <v>61</v>
      </c>
      <c r="E42" s="80" t="s">
        <v>62</v>
      </c>
      <c r="H42" s="1" t="s">
        <v>64</v>
      </c>
      <c r="I42" s="1">
        <f>I40+I41</f>
        <v>15212.616</v>
      </c>
      <c r="L42" s="1" t="s">
        <v>64</v>
      </c>
      <c r="M42" s="1">
        <f>M40+M41</f>
        <v>8530.0500000000011</v>
      </c>
    </row>
    <row r="43" spans="1:13" x14ac:dyDescent="0.3">
      <c r="B43" s="22" t="s">
        <v>65</v>
      </c>
      <c r="C43" s="22" t="s">
        <v>66</v>
      </c>
      <c r="D43" s="63">
        <f>0.06*(C33*10^6)</f>
        <v>2496600</v>
      </c>
      <c r="E43" s="18">
        <f>0.03*(C34*10^6)</f>
        <v>3245580</v>
      </c>
      <c r="F43" s="15"/>
    </row>
    <row r="44" spans="1:13" x14ac:dyDescent="0.3">
      <c r="B44" s="22" t="s">
        <v>67</v>
      </c>
      <c r="C44" s="22" t="s">
        <v>68</v>
      </c>
      <c r="D44" s="63">
        <f>0.0175*(C33*10^6)</f>
        <v>728175.00000000012</v>
      </c>
      <c r="E44" s="64">
        <f>0.0175*(C34*10^6)</f>
        <v>1893255.0000000002</v>
      </c>
      <c r="I44" s="93"/>
      <c r="M44" s="93"/>
    </row>
    <row r="45" spans="1:13" x14ac:dyDescent="0.3">
      <c r="B45" s="22" t="s">
        <v>69</v>
      </c>
      <c r="C45" s="41" t="s">
        <v>70</v>
      </c>
      <c r="D45" s="63">
        <f>0.01*(C33*10^6)</f>
        <v>416100</v>
      </c>
      <c r="E45" s="64">
        <f>0.01*(C34*10^6)</f>
        <v>1081860</v>
      </c>
      <c r="H45" s="85" t="s">
        <v>71</v>
      </c>
      <c r="I45" s="18">
        <f>(I22+I24)/(I42*10^6)</f>
        <v>0.2021502024461205</v>
      </c>
      <c r="L45" s="85" t="s">
        <v>71</v>
      </c>
      <c r="M45" s="18">
        <f>(M23+M24)/(M42*10^6)</f>
        <v>0.12604656185288829</v>
      </c>
    </row>
    <row r="46" spans="1:13" x14ac:dyDescent="0.3">
      <c r="C46" s="7"/>
      <c r="H46" s="94" t="s">
        <v>72</v>
      </c>
      <c r="I46" s="18">
        <f>(I22+I24)/(I41*10^6)</f>
        <v>0.27211382184941696</v>
      </c>
      <c r="L46" s="85" t="s">
        <v>72</v>
      </c>
      <c r="M46" s="18">
        <f>(M23+M24)/(M41*10^6)</f>
        <v>0.16149715737401316</v>
      </c>
    </row>
    <row r="47" spans="1:13" x14ac:dyDescent="0.3">
      <c r="A47" t="s">
        <v>58</v>
      </c>
      <c r="B47" s="65" t="s">
        <v>73</v>
      </c>
      <c r="C47" s="22" t="s">
        <v>74</v>
      </c>
      <c r="D47" s="24">
        <f>0.02*(C35*10^6)</f>
        <v>2995920</v>
      </c>
      <c r="E47" s="7"/>
      <c r="F47" s="15"/>
    </row>
    <row r="48" spans="1:13" x14ac:dyDescent="0.3">
      <c r="A48" t="s">
        <v>58</v>
      </c>
      <c r="B48" s="65" t="s">
        <v>75</v>
      </c>
      <c r="C48" s="41" t="s">
        <v>76</v>
      </c>
      <c r="D48" s="24">
        <f>0.12*(C35*10^6)</f>
        <v>17975520</v>
      </c>
      <c r="H48" s="85" t="s">
        <v>77</v>
      </c>
      <c r="I48" s="18">
        <f>I17*((C30*(1+C30)^I19)/((1+C30)^I19-1))</f>
        <v>2059069322.7687137</v>
      </c>
      <c r="L48" s="85" t="s">
        <v>77</v>
      </c>
      <c r="M48" s="18">
        <f>M16*((C30*(1+C30)^M18)/((1+C30)^M18-1))</f>
        <v>654459506.48109639</v>
      </c>
    </row>
    <row r="49" spans="1:13" x14ac:dyDescent="0.3">
      <c r="B49" s="22"/>
      <c r="C49" s="42" t="s">
        <v>78</v>
      </c>
      <c r="D49" s="24">
        <f>D47+D48</f>
        <v>20971440</v>
      </c>
      <c r="H49" s="85" t="s">
        <v>79</v>
      </c>
      <c r="I49" s="18">
        <f>I48*10^-6</f>
        <v>2059.0693227687138</v>
      </c>
      <c r="L49" s="85" t="s">
        <v>79</v>
      </c>
      <c r="M49" s="18">
        <f>M48*10^-6</f>
        <v>654.45950648109635</v>
      </c>
    </row>
    <row r="50" spans="1:13" x14ac:dyDescent="0.3">
      <c r="C50" s="38"/>
      <c r="D50" s="15"/>
    </row>
    <row r="51" spans="1:13" x14ac:dyDescent="0.3">
      <c r="A51" s="8" t="s">
        <v>80</v>
      </c>
      <c r="B51" s="24">
        <f>727000*C52</f>
        <v>908750</v>
      </c>
      <c r="C51" s="27" t="s">
        <v>81</v>
      </c>
      <c r="D51" s="24">
        <f>30*10^6</f>
        <v>30000000</v>
      </c>
      <c r="H51" s="80" t="s">
        <v>59</v>
      </c>
      <c r="I51" s="1"/>
      <c r="L51" s="80" t="s">
        <v>59</v>
      </c>
      <c r="M51" s="1"/>
    </row>
    <row r="52" spans="1:13" x14ac:dyDescent="0.3">
      <c r="B52" s="24" t="s">
        <v>82</v>
      </c>
      <c r="C52" s="27">
        <v>1.25</v>
      </c>
      <c r="D52" s="24"/>
      <c r="H52" s="4" t="s">
        <v>83</v>
      </c>
      <c r="I52" s="64">
        <f>0.06*(I40*10^6)</f>
        <v>234680400</v>
      </c>
      <c r="L52" s="4" t="s">
        <v>84</v>
      </c>
      <c r="M52" s="64">
        <f>0.06*(M40*10^6)</f>
        <v>112347000</v>
      </c>
    </row>
    <row r="53" spans="1:13" x14ac:dyDescent="0.3">
      <c r="B53" s="83" t="s">
        <v>85</v>
      </c>
      <c r="C53" s="77" t="s">
        <v>78</v>
      </c>
      <c r="D53" s="78">
        <f>D49+D51</f>
        <v>50971440</v>
      </c>
      <c r="H53" s="4" t="s">
        <v>86</v>
      </c>
      <c r="I53" s="64">
        <f>0.03*(I40*10^6)</f>
        <v>117340200</v>
      </c>
      <c r="L53" s="4" t="s">
        <v>86</v>
      </c>
      <c r="M53" s="64">
        <f>0.03*(M40*10^6)</f>
        <v>56173500</v>
      </c>
    </row>
    <row r="54" spans="1:13" x14ac:dyDescent="0.3">
      <c r="B54" s="84" t="s">
        <v>87</v>
      </c>
      <c r="C54" s="79" t="s">
        <v>78</v>
      </c>
      <c r="D54" s="18">
        <f>D51+D49+D43+E43</f>
        <v>56713620</v>
      </c>
      <c r="H54" s="45" t="s">
        <v>88</v>
      </c>
      <c r="I54" s="64">
        <f>I52+I53</f>
        <v>352020600</v>
      </c>
      <c r="L54" s="45" t="s">
        <v>88</v>
      </c>
      <c r="M54" s="64">
        <f>M52+M53</f>
        <v>168520500</v>
      </c>
    </row>
    <row r="56" spans="1:13" x14ac:dyDescent="0.3">
      <c r="A56" s="54" t="s">
        <v>89</v>
      </c>
      <c r="B56" s="54" t="s">
        <v>90</v>
      </c>
    </row>
    <row r="58" spans="1:13" x14ac:dyDescent="0.3">
      <c r="C58" s="80" t="s">
        <v>91</v>
      </c>
      <c r="D58" s="80" t="s">
        <v>92</v>
      </c>
    </row>
    <row r="59" spans="1:13" x14ac:dyDescent="0.3">
      <c r="B59" s="80" t="s">
        <v>71</v>
      </c>
      <c r="C59" s="43">
        <f>(C62+D53)/(C35*10^6)</f>
        <v>0.87268874405732189</v>
      </c>
      <c r="D59" s="18">
        <f>(D62+D53)/((C35)*10^6)</f>
        <v>0.60648055724054917</v>
      </c>
      <c r="H59" s="80" t="s">
        <v>93</v>
      </c>
      <c r="I59" s="1"/>
      <c r="L59" s="80" t="s">
        <v>94</v>
      </c>
      <c r="M59" s="1"/>
    </row>
    <row r="60" spans="1:13" x14ac:dyDescent="0.3">
      <c r="B60" s="80" t="s">
        <v>72</v>
      </c>
      <c r="C60" s="44">
        <f>(C62+D53)/(C34*10^6)</f>
        <v>1.2083382610024458</v>
      </c>
      <c r="D60" s="18">
        <f>(D62+D53)/(C34*10^6)</f>
        <v>0.83974231002537569</v>
      </c>
      <c r="H60" s="1" t="s">
        <v>95</v>
      </c>
      <c r="I60" s="18">
        <f>(I29*10^6)*I31</f>
        <v>96800000</v>
      </c>
      <c r="L60" s="1" t="s">
        <v>95</v>
      </c>
      <c r="M60" s="18">
        <f>(I29*10^6)*I31</f>
        <v>96800000</v>
      </c>
    </row>
    <row r="61" spans="1:13" x14ac:dyDescent="0.3">
      <c r="H61" s="1" t="s">
        <v>96</v>
      </c>
      <c r="I61" s="18">
        <f>(I30*10^6)*I32</f>
        <v>39900000</v>
      </c>
      <c r="L61" s="1" t="s">
        <v>96</v>
      </c>
      <c r="M61" s="18">
        <f>(I30*10^6)*I32</f>
        <v>39900000</v>
      </c>
    </row>
    <row r="62" spans="1:13" x14ac:dyDescent="0.3">
      <c r="B62" s="80" t="s">
        <v>77</v>
      </c>
      <c r="C62" s="18">
        <f>C15*((C30*(1+C30)^C18)/(((1+C30)^C18) -1))</f>
        <v>79753843.104810596</v>
      </c>
      <c r="D62" s="18">
        <f>C16*((C30*(1+C30)^C18)/(((1+C30)^C18) -1))</f>
        <v>39876921.552405298</v>
      </c>
      <c r="H62" s="1" t="s">
        <v>97</v>
      </c>
      <c r="I62" s="18">
        <f>I60+I61</f>
        <v>136700000</v>
      </c>
      <c r="L62" s="1" t="s">
        <v>97</v>
      </c>
      <c r="M62" s="18">
        <f>M60+M61</f>
        <v>136700000</v>
      </c>
    </row>
    <row r="63" spans="1:13" x14ac:dyDescent="0.3">
      <c r="B63" s="80" t="s">
        <v>79</v>
      </c>
      <c r="C63" s="20">
        <f>C62*10^-6</f>
        <v>79.753843104810585</v>
      </c>
      <c r="D63" s="20">
        <f>D62*10^-6</f>
        <v>39.876921552405292</v>
      </c>
      <c r="H63" s="4" t="s">
        <v>98</v>
      </c>
      <c r="I63" s="18">
        <f>I62-I24-I54</f>
        <v>-616438000.53935981</v>
      </c>
      <c r="L63" s="4" t="s">
        <v>98</v>
      </c>
      <c r="M63" s="18">
        <f>M62-M24-M25</f>
        <v>-172061822.81737781</v>
      </c>
    </row>
    <row r="65" spans="2:13" x14ac:dyDescent="0.3">
      <c r="B65" s="80" t="s">
        <v>99</v>
      </c>
      <c r="C65" s="8"/>
      <c r="D65" s="8"/>
      <c r="H65" s="80" t="s">
        <v>100</v>
      </c>
      <c r="I65" s="1"/>
      <c r="L65" s="80" t="s">
        <v>101</v>
      </c>
      <c r="M65" s="1"/>
    </row>
    <row r="66" spans="2:13" x14ac:dyDescent="0.3">
      <c r="B66" s="85" t="s">
        <v>102</v>
      </c>
      <c r="C66" s="18">
        <f>(C62+D53)/((I29+I30)*10^6)</f>
        <v>1.1884116645891871</v>
      </c>
      <c r="D66" s="18">
        <f>(D62+D53)/((I29+I30)*10^6)</f>
        <v>0.82589419593095725</v>
      </c>
      <c r="H66" s="1" t="s">
        <v>98</v>
      </c>
      <c r="I66" s="18">
        <f>I63</f>
        <v>-616438000.53935981</v>
      </c>
      <c r="L66" s="1" t="s">
        <v>98</v>
      </c>
      <c r="M66" s="18">
        <f>M63</f>
        <v>-172061822.81737781</v>
      </c>
    </row>
    <row r="67" spans="2:13" x14ac:dyDescent="0.3">
      <c r="H67" s="1" t="s">
        <v>103</v>
      </c>
      <c r="I67" s="1">
        <f>I19</f>
        <v>60</v>
      </c>
      <c r="L67" s="1" t="s">
        <v>103</v>
      </c>
      <c r="M67" s="1">
        <f>M18</f>
        <v>60</v>
      </c>
    </row>
    <row r="68" spans="2:13" x14ac:dyDescent="0.3">
      <c r="H68" s="1" t="s">
        <v>104</v>
      </c>
      <c r="I68" s="18">
        <f>I15</f>
        <v>2900000000</v>
      </c>
      <c r="L68" s="1" t="s">
        <v>104</v>
      </c>
      <c r="M68" s="18">
        <f>M16</f>
        <v>10577000000</v>
      </c>
    </row>
    <row r="69" spans="2:13" x14ac:dyDescent="0.3">
      <c r="B69" s="80" t="s">
        <v>105</v>
      </c>
      <c r="C69" s="18">
        <f>(D43+E43)*40</f>
        <v>229687200</v>
      </c>
      <c r="H69" s="1" t="s">
        <v>106</v>
      </c>
      <c r="I69" s="18">
        <f>(I63*((1-(1+C90)^(-I67))/(C90)))-I68</f>
        <v>-12862518180.478346</v>
      </c>
      <c r="L69" s="1" t="s">
        <v>106</v>
      </c>
      <c r="M69" s="18">
        <f>(M63*((1-(1+C90)^(-M67))/(C90)))-M68</f>
        <v>-13357764710.294527</v>
      </c>
    </row>
    <row r="70" spans="2:13" x14ac:dyDescent="0.3">
      <c r="B70" s="53" t="s">
        <v>107</v>
      </c>
      <c r="C70" s="1"/>
      <c r="I70" s="15"/>
      <c r="M70" s="15"/>
    </row>
    <row r="71" spans="2:13" x14ac:dyDescent="0.3">
      <c r="B71" s="4" t="s">
        <v>108</v>
      </c>
      <c r="C71" s="18">
        <f>(250*10^6)</f>
        <v>250000000</v>
      </c>
      <c r="D71" s="15"/>
    </row>
    <row r="73" spans="2:13" x14ac:dyDescent="0.3">
      <c r="C73" s="15"/>
      <c r="L73" s="60"/>
    </row>
    <row r="74" spans="2:13" x14ac:dyDescent="0.3">
      <c r="C74" s="15"/>
      <c r="H74" s="60"/>
      <c r="L74" s="60"/>
    </row>
    <row r="75" spans="2:13" x14ac:dyDescent="0.3">
      <c r="B75" s="80" t="s">
        <v>109</v>
      </c>
      <c r="D75" s="80" t="s">
        <v>110</v>
      </c>
      <c r="E75" s="1"/>
      <c r="H75" s="60"/>
      <c r="L75" s="60"/>
      <c r="M75" s="61"/>
    </row>
    <row r="76" spans="2:13" x14ac:dyDescent="0.3">
      <c r="B76" s="1" t="s">
        <v>95</v>
      </c>
      <c r="C76" s="44">
        <f>(I29*10^6)*I31</f>
        <v>96800000</v>
      </c>
      <c r="D76" s="64">
        <f>(I29*10^6)*3.55</f>
        <v>142000000</v>
      </c>
      <c r="E76" s="1"/>
      <c r="H76" s="60"/>
      <c r="I76" s="61"/>
    </row>
    <row r="77" spans="2:13" x14ac:dyDescent="0.3">
      <c r="B77" s="1" t="s">
        <v>96</v>
      </c>
      <c r="C77" s="44">
        <f>(I30*10^6)*I32</f>
        <v>39900000</v>
      </c>
      <c r="D77" s="64">
        <f>(I30*10^6)*0.84</f>
        <v>58800000</v>
      </c>
      <c r="E77" s="1" t="s">
        <v>111</v>
      </c>
    </row>
    <row r="78" spans="2:13" x14ac:dyDescent="0.3">
      <c r="B78" s="1" t="s">
        <v>97</v>
      </c>
      <c r="C78" s="44">
        <f>C76+C77</f>
        <v>136700000</v>
      </c>
      <c r="D78" s="64">
        <f>D76+D77</f>
        <v>200800000</v>
      </c>
      <c r="E78" s="86">
        <f>((D78-C84)/C84)</f>
        <v>0.46891002194586684</v>
      </c>
    </row>
    <row r="79" spans="2:13" x14ac:dyDescent="0.3">
      <c r="B79" s="8"/>
      <c r="C79" s="16"/>
    </row>
    <row r="81" spans="2:8" x14ac:dyDescent="0.3">
      <c r="B81" s="80" t="s">
        <v>112</v>
      </c>
    </row>
    <row r="82" spans="2:8" x14ac:dyDescent="0.3">
      <c r="B82" s="1" t="s">
        <v>95</v>
      </c>
      <c r="C82" s="18">
        <f>(I29*10^6)*I31</f>
        <v>96800000</v>
      </c>
    </row>
    <row r="83" spans="2:8" x14ac:dyDescent="0.3">
      <c r="B83" s="1" t="s">
        <v>96</v>
      </c>
      <c r="C83" s="18">
        <f>(I30*10^6)*I32</f>
        <v>39900000</v>
      </c>
    </row>
    <row r="84" spans="2:8" x14ac:dyDescent="0.3">
      <c r="B84" s="1" t="s">
        <v>97</v>
      </c>
      <c r="C84" s="18">
        <f>C82+C83</f>
        <v>136700000</v>
      </c>
    </row>
    <row r="85" spans="2:8" x14ac:dyDescent="0.3">
      <c r="B85" s="1" t="s">
        <v>98</v>
      </c>
      <c r="C85" s="18">
        <f>C84</f>
        <v>136700000</v>
      </c>
    </row>
    <row r="88" spans="2:8" x14ac:dyDescent="0.3">
      <c r="B88" s="80" t="s">
        <v>113</v>
      </c>
      <c r="H88" s="53"/>
    </row>
    <row r="89" spans="2:8" x14ac:dyDescent="0.3">
      <c r="B89" s="1" t="s">
        <v>98</v>
      </c>
      <c r="C89" s="18">
        <f>C78</f>
        <v>136700000</v>
      </c>
      <c r="E89" s="15"/>
    </row>
    <row r="90" spans="2:8" x14ac:dyDescent="0.3">
      <c r="B90" s="1" t="s">
        <v>114</v>
      </c>
      <c r="C90" s="1">
        <f>C30</f>
        <v>0.06</v>
      </c>
    </row>
    <row r="91" spans="2:8" x14ac:dyDescent="0.3">
      <c r="B91" s="1" t="s">
        <v>103</v>
      </c>
      <c r="C91" s="1">
        <f>C18</f>
        <v>40</v>
      </c>
    </row>
    <row r="92" spans="2:8" x14ac:dyDescent="0.3">
      <c r="B92" s="1" t="s">
        <v>104</v>
      </c>
      <c r="C92" s="18">
        <f>1200*10^6</f>
        <v>1200000000</v>
      </c>
      <c r="D92" s="8"/>
      <c r="E92" s="88"/>
    </row>
    <row r="93" spans="2:8" x14ac:dyDescent="0.3">
      <c r="B93" s="1" t="s">
        <v>115</v>
      </c>
      <c r="C93" s="52"/>
      <c r="D93" s="15"/>
      <c r="E93" s="15"/>
    </row>
    <row r="94" spans="2:8" x14ac:dyDescent="0.3">
      <c r="C94" s="89"/>
    </row>
    <row r="95" spans="2:8" x14ac:dyDescent="0.3">
      <c r="B95" s="80" t="s">
        <v>116</v>
      </c>
    </row>
    <row r="96" spans="2:8" x14ac:dyDescent="0.3">
      <c r="B96" s="1" t="s">
        <v>98</v>
      </c>
      <c r="C96" s="18">
        <f>C85</f>
        <v>136700000</v>
      </c>
      <c r="D96" s="90"/>
    </row>
    <row r="97" spans="1:5" x14ac:dyDescent="0.3">
      <c r="B97" s="1" t="s">
        <v>104</v>
      </c>
      <c r="C97" s="18">
        <f>C16</f>
        <v>600000000</v>
      </c>
      <c r="D97" s="74" t="s">
        <v>117</v>
      </c>
      <c r="E97" s="92" t="s">
        <v>151</v>
      </c>
    </row>
    <row r="98" spans="1:5" x14ac:dyDescent="0.3">
      <c r="B98" s="1" t="s">
        <v>106</v>
      </c>
      <c r="C98" s="52">
        <f>(C96*((1-(1+C90)^(-C91))/(C90)))-C97</f>
        <v>1456828782.3374548</v>
      </c>
      <c r="D98" s="18">
        <f>(C102*((1-(1+C90)^(-C91))/(C90)))-C109-C97</f>
        <v>689339096.82651925</v>
      </c>
      <c r="E98" s="18">
        <f>(C108*((1-(1+C90)^(-C91))/(C90)))-C97</f>
        <v>603498819.15860248</v>
      </c>
    </row>
    <row r="100" spans="1:5" x14ac:dyDescent="0.3">
      <c r="C100" s="15"/>
    </row>
    <row r="101" spans="1:5" x14ac:dyDescent="0.3">
      <c r="B101" s="58" t="s">
        <v>119</v>
      </c>
      <c r="C101" s="22"/>
      <c r="D101" s="56" t="s">
        <v>106</v>
      </c>
      <c r="E101" s="54" t="s">
        <v>120</v>
      </c>
    </row>
    <row r="102" spans="1:5" x14ac:dyDescent="0.3">
      <c r="B102" s="59" t="s">
        <v>121</v>
      </c>
      <c r="C102" s="91">
        <f>C85-D53</f>
        <v>85728560</v>
      </c>
      <c r="D102" s="55">
        <f>(C102*((1-(1+C90)^(-C91))/(C90)))-C92</f>
        <v>89897364.128335238</v>
      </c>
      <c r="E102" s="54" t="s">
        <v>122</v>
      </c>
    </row>
    <row r="103" spans="1:5" x14ac:dyDescent="0.3">
      <c r="B103" s="59" t="s">
        <v>123</v>
      </c>
      <c r="C103" s="57">
        <f>D43*((1+C90)^-C91)</f>
        <v>242724.91383305506</v>
      </c>
      <c r="D103" s="55">
        <f>(C102*((1-(1+C90)^(-C91))/(C90)))-C103-C92</f>
        <v>89654639.214502096</v>
      </c>
      <c r="E103" s="54" t="s">
        <v>124</v>
      </c>
    </row>
    <row r="104" spans="1:5" x14ac:dyDescent="0.3">
      <c r="A104" s="59" t="s">
        <v>125</v>
      </c>
      <c r="B104" s="62" t="s">
        <v>126</v>
      </c>
      <c r="C104" s="57">
        <f>C89-D43-D53</f>
        <v>83231960</v>
      </c>
      <c r="D104" s="55">
        <f>(C104*((1-(1+C90)^(-C91))/(C90)))-C92</f>
        <v>52332779.358886242</v>
      </c>
      <c r="E104" s="54" t="s">
        <v>127</v>
      </c>
    </row>
    <row r="105" spans="1:5" x14ac:dyDescent="0.3">
      <c r="B105" s="59" t="s">
        <v>128</v>
      </c>
      <c r="C105" s="15"/>
      <c r="D105" s="55">
        <f>(C102*((1-(1+C90)^(-C91))/(C90)))-C71-C92</f>
        <v>-160102635.87166476</v>
      </c>
      <c r="E105" s="54" t="s">
        <v>129</v>
      </c>
    </row>
    <row r="107" spans="1:5" x14ac:dyDescent="0.3">
      <c r="B107" s="87" t="s">
        <v>130</v>
      </c>
    </row>
    <row r="108" spans="1:5" x14ac:dyDescent="0.3">
      <c r="A108" s="59" t="s">
        <v>125</v>
      </c>
      <c r="B108" s="59" t="s">
        <v>126</v>
      </c>
      <c r="C108" s="18">
        <f>C89-D53-D43-E43</f>
        <v>79986380</v>
      </c>
      <c r="D108" s="55">
        <f>(C108*((1-(1+C90)^(-C91))/(C90)))-C92</f>
        <v>3498819.1586024761</v>
      </c>
      <c r="E108" s="54" t="s">
        <v>127</v>
      </c>
    </row>
    <row r="109" spans="1:5" x14ac:dyDescent="0.3">
      <c r="B109" s="59" t="s">
        <v>123</v>
      </c>
      <c r="C109" s="57">
        <f>(D43+E43)*((1+C90)^-C91)</f>
        <v>558267.30181602668</v>
      </c>
      <c r="D109" s="55">
        <f>(C102*((1-(1+C90)^(-C91))/(C90)))-C109-C92</f>
        <v>89339096.826519251</v>
      </c>
      <c r="E109" s="54" t="s">
        <v>124</v>
      </c>
    </row>
    <row r="110" spans="1:5" x14ac:dyDescent="0.3">
      <c r="B110" s="59" t="s">
        <v>128</v>
      </c>
      <c r="C110" s="15"/>
      <c r="D110" s="55">
        <f>(C102*((1-(1+C90)^(-C91))/(C90)))-C71-C92</f>
        <v>-160102635.87166476</v>
      </c>
      <c r="E110" s="54" t="s">
        <v>129</v>
      </c>
    </row>
    <row r="114" spans="1:4" x14ac:dyDescent="0.3">
      <c r="A114" s="106" t="s">
        <v>152</v>
      </c>
      <c r="B114" s="107" t="s">
        <v>153</v>
      </c>
    </row>
    <row r="115" spans="1:4" x14ac:dyDescent="0.3">
      <c r="B115" s="106" t="s">
        <v>154</v>
      </c>
      <c r="C115" s="113">
        <f>D108</f>
        <v>3498819.1586024761</v>
      </c>
    </row>
    <row r="116" spans="1:4" x14ac:dyDescent="0.3">
      <c r="B116" s="106" t="s">
        <v>155</v>
      </c>
      <c r="C116" s="113">
        <f>I69</f>
        <v>-12862518180.478346</v>
      </c>
    </row>
    <row r="117" spans="1:4" x14ac:dyDescent="0.3">
      <c r="B117" s="108" t="s">
        <v>156</v>
      </c>
      <c r="C117" s="113">
        <f>M69</f>
        <v>-13357764710.294527</v>
      </c>
    </row>
    <row r="118" spans="1:4" x14ac:dyDescent="0.3">
      <c r="C118" s="60"/>
    </row>
    <row r="119" spans="1:4" x14ac:dyDescent="0.3">
      <c r="C119" s="60"/>
    </row>
    <row r="126" spans="1:4" x14ac:dyDescent="0.3">
      <c r="B126" s="107" t="s">
        <v>157</v>
      </c>
      <c r="C126" s="106" t="s">
        <v>158</v>
      </c>
      <c r="D126" s="106" t="s">
        <v>159</v>
      </c>
    </row>
    <row r="127" spans="1:4" x14ac:dyDescent="0.3">
      <c r="B127" s="106" t="s">
        <v>170</v>
      </c>
      <c r="C127">
        <f>I31</f>
        <v>2.42</v>
      </c>
      <c r="D127">
        <f>I32</f>
        <v>0.56999999999999995</v>
      </c>
    </row>
    <row r="128" spans="1:4" x14ac:dyDescent="0.3">
      <c r="B128" s="106" t="s">
        <v>154</v>
      </c>
      <c r="C128" s="15">
        <f>C59</f>
        <v>0.87268874405732189</v>
      </c>
      <c r="D128" s="15">
        <f>C60</f>
        <v>1.2083382610024458</v>
      </c>
    </row>
    <row r="129" spans="2:4" x14ac:dyDescent="0.3">
      <c r="B129" s="106" t="s">
        <v>155</v>
      </c>
      <c r="C129" s="15">
        <f>I45</f>
        <v>0.2021502024461205</v>
      </c>
      <c r="D129" s="15">
        <f>I46</f>
        <v>0.27211382184941696</v>
      </c>
    </row>
    <row r="130" spans="2:4" x14ac:dyDescent="0.3">
      <c r="B130" s="108" t="s">
        <v>156</v>
      </c>
      <c r="C130" s="15">
        <f>M45</f>
        <v>0.12604656185288829</v>
      </c>
      <c r="D130" s="15">
        <f>M46</f>
        <v>0.16149715737401316</v>
      </c>
    </row>
    <row r="137" spans="2:4" x14ac:dyDescent="0.3">
      <c r="B137" s="107" t="s">
        <v>59</v>
      </c>
      <c r="C137" s="106" t="s">
        <v>95</v>
      </c>
      <c r="D137" s="106" t="s">
        <v>96</v>
      </c>
    </row>
    <row r="138" spans="2:4" x14ac:dyDescent="0.3">
      <c r="B138" s="110">
        <v>0.01</v>
      </c>
      <c r="C138" s="60">
        <f>B138*($C$33*10^6)</f>
        <v>416100</v>
      </c>
      <c r="D138" s="60">
        <f>B138*($C$34*10^6)</f>
        <v>1081860</v>
      </c>
    </row>
    <row r="139" spans="2:4" x14ac:dyDescent="0.3">
      <c r="B139" s="110">
        <v>0.02</v>
      </c>
      <c r="C139" s="60">
        <f t="shared" ref="C139:C142" si="0">B139*($C$33*10^6)</f>
        <v>832200</v>
      </c>
      <c r="D139" s="60">
        <f t="shared" ref="D139:D143" si="1">B139*($C$34*10^6)</f>
        <v>2163720</v>
      </c>
    </row>
    <row r="140" spans="2:4" x14ac:dyDescent="0.3">
      <c r="B140" s="110">
        <v>0.03</v>
      </c>
      <c r="C140" s="60">
        <f t="shared" si="0"/>
        <v>1248300</v>
      </c>
      <c r="D140" s="109">
        <f t="shared" si="1"/>
        <v>3245580</v>
      </c>
    </row>
    <row r="141" spans="2:4" x14ac:dyDescent="0.3">
      <c r="B141" s="110">
        <v>0.04</v>
      </c>
      <c r="C141" s="60">
        <f t="shared" si="0"/>
        <v>1664400</v>
      </c>
      <c r="D141" s="60">
        <f t="shared" si="1"/>
        <v>4327440</v>
      </c>
    </row>
    <row r="142" spans="2:4" x14ac:dyDescent="0.3">
      <c r="B142" s="110">
        <v>0.05</v>
      </c>
      <c r="C142" s="60">
        <f t="shared" si="0"/>
        <v>2080500</v>
      </c>
      <c r="D142" s="60">
        <f t="shared" si="1"/>
        <v>5409300</v>
      </c>
    </row>
    <row r="143" spans="2:4" x14ac:dyDescent="0.3">
      <c r="B143" s="110">
        <v>0.06</v>
      </c>
      <c r="C143" s="109">
        <f>B143*($C$33*10^6)</f>
        <v>2496600</v>
      </c>
      <c r="D143" s="60">
        <f t="shared" si="1"/>
        <v>6491160</v>
      </c>
    </row>
    <row r="146" spans="2:6" x14ac:dyDescent="0.3">
      <c r="B146" s="111" t="s">
        <v>73</v>
      </c>
      <c r="C146" s="106" t="s">
        <v>160</v>
      </c>
    </row>
    <row r="147" spans="2:6" x14ac:dyDescent="0.3">
      <c r="B147" s="106">
        <v>0.01</v>
      </c>
      <c r="C147" s="15">
        <f>B147*(C35*10^6)</f>
        <v>1497960</v>
      </c>
    </row>
    <row r="148" spans="2:6" x14ac:dyDescent="0.3">
      <c r="B148" s="106">
        <v>0.02</v>
      </c>
      <c r="C148" s="38">
        <f>B148*(C35*10^6)</f>
        <v>2995920</v>
      </c>
      <c r="D148" s="15"/>
    </row>
    <row r="150" spans="2:6" x14ac:dyDescent="0.3">
      <c r="B150" s="111" t="s">
        <v>75</v>
      </c>
      <c r="C150" s="106"/>
    </row>
    <row r="151" spans="2:6" x14ac:dyDescent="0.3">
      <c r="B151" s="106">
        <v>0.05</v>
      </c>
      <c r="C151" s="15">
        <f>B151*($C$35*10^6)</f>
        <v>7489800</v>
      </c>
    </row>
    <row r="152" spans="2:6" x14ac:dyDescent="0.3">
      <c r="B152" s="106">
        <v>0.06</v>
      </c>
      <c r="C152" s="15">
        <f t="shared" ref="C152:C157" si="2">B152*($C$35*10^6)</f>
        <v>8987760</v>
      </c>
    </row>
    <row r="153" spans="2:6" x14ac:dyDescent="0.3">
      <c r="B153" s="106">
        <v>7.0000000000000007E-2</v>
      </c>
      <c r="C153" s="15">
        <f t="shared" si="2"/>
        <v>10485720.000000002</v>
      </c>
    </row>
    <row r="154" spans="2:6" x14ac:dyDescent="0.3">
      <c r="B154" s="106">
        <v>0.08</v>
      </c>
      <c r="C154" s="15">
        <f t="shared" si="2"/>
        <v>11983680</v>
      </c>
    </row>
    <row r="155" spans="2:6" x14ac:dyDescent="0.3">
      <c r="B155" s="106">
        <v>0.09</v>
      </c>
      <c r="C155" s="15">
        <f t="shared" si="2"/>
        <v>13481640</v>
      </c>
    </row>
    <row r="156" spans="2:6" x14ac:dyDescent="0.3">
      <c r="B156" s="106">
        <v>0.1</v>
      </c>
      <c r="C156" s="15">
        <f t="shared" si="2"/>
        <v>14979600</v>
      </c>
      <c r="E156" s="15">
        <f>$C$78-$D$51-$D$140-$C$143-$C$148-$C$158</f>
        <v>79986380</v>
      </c>
    </row>
    <row r="157" spans="2:6" x14ac:dyDescent="0.3">
      <c r="B157" s="106">
        <v>0.11</v>
      </c>
      <c r="C157" s="15">
        <f t="shared" si="2"/>
        <v>16477560</v>
      </c>
    </row>
    <row r="158" spans="2:6" x14ac:dyDescent="0.3">
      <c r="B158" s="106">
        <v>0.12</v>
      </c>
      <c r="C158" s="16">
        <f>B158*($C$35*10^6)</f>
        <v>17975520</v>
      </c>
    </row>
    <row r="160" spans="2:6" x14ac:dyDescent="0.3">
      <c r="B160" s="107" t="s">
        <v>161</v>
      </c>
      <c r="C160" s="106" t="s">
        <v>162</v>
      </c>
      <c r="D160" s="106" t="s">
        <v>163</v>
      </c>
      <c r="E160" s="108" t="s">
        <v>73</v>
      </c>
      <c r="F160" s="106" t="s">
        <v>75</v>
      </c>
    </row>
    <row r="161" spans="2:6" x14ac:dyDescent="0.3">
      <c r="C161" s="15">
        <f>$C$78-$D$51-$D$140-C138-$C$148-$C$158</f>
        <v>82066880</v>
      </c>
      <c r="D161" s="15">
        <f>$C$78-$D$51-D138-$C$143-$C$148-$C$158</f>
        <v>82150100</v>
      </c>
      <c r="E161" s="15">
        <f>$C$78-$D$51-$D$140-$C$143-C147-$C$158</f>
        <v>81484340</v>
      </c>
      <c r="F161" s="15">
        <f>$C$78-$D$51-$D$140-$C$143-$C$148-C151</f>
        <v>90472100</v>
      </c>
    </row>
    <row r="162" spans="2:6" x14ac:dyDescent="0.3">
      <c r="C162" s="15">
        <f t="shared" ref="C162:C166" si="3">$C$78-$D$51-$D$140-C139-$C$148-$C$158</f>
        <v>81650780</v>
      </c>
      <c r="D162" s="15">
        <f t="shared" ref="D162:D166" si="4">$C$78-$D$51-D139-$C$143-$C$148-$C$158</f>
        <v>81068240</v>
      </c>
      <c r="E162" s="16">
        <f>$C$78-$D$51-$D$140-$C$143-C148-$C$158</f>
        <v>79986380</v>
      </c>
      <c r="F162" s="15">
        <f t="shared" ref="F162:F166" si="5">$C$78-$D$51-$D$140-$C$143-$C$148-C152</f>
        <v>88974140</v>
      </c>
    </row>
    <row r="163" spans="2:6" x14ac:dyDescent="0.3">
      <c r="C163" s="15">
        <f t="shared" si="3"/>
        <v>81234680</v>
      </c>
      <c r="D163" s="16">
        <f t="shared" si="4"/>
        <v>79986380</v>
      </c>
      <c r="F163" s="15">
        <f t="shared" si="5"/>
        <v>87476180</v>
      </c>
    </row>
    <row r="164" spans="2:6" x14ac:dyDescent="0.3">
      <c r="C164" s="15">
        <f t="shared" si="3"/>
        <v>80818580</v>
      </c>
      <c r="D164" s="15">
        <f t="shared" si="4"/>
        <v>78904520</v>
      </c>
      <c r="F164" s="15">
        <f t="shared" si="5"/>
        <v>85978220</v>
      </c>
    </row>
    <row r="165" spans="2:6" x14ac:dyDescent="0.3">
      <c r="C165" s="15">
        <f t="shared" si="3"/>
        <v>80402480</v>
      </c>
      <c r="D165" s="15">
        <f t="shared" si="4"/>
        <v>77822660</v>
      </c>
      <c r="F165" s="15">
        <f t="shared" si="5"/>
        <v>84480260</v>
      </c>
    </row>
    <row r="166" spans="2:6" x14ac:dyDescent="0.3">
      <c r="C166" s="16">
        <f t="shared" si="3"/>
        <v>79986380</v>
      </c>
      <c r="D166" s="15">
        <f t="shared" si="4"/>
        <v>76740800</v>
      </c>
      <c r="F166" s="15">
        <f t="shared" si="5"/>
        <v>82982300</v>
      </c>
    </row>
    <row r="167" spans="2:6" x14ac:dyDescent="0.3">
      <c r="C167" s="15"/>
      <c r="F167" s="15">
        <f>$C$78-$D$51-$D$140-$C$143-$C$148-C157</f>
        <v>81484340</v>
      </c>
    </row>
    <row r="168" spans="2:6" x14ac:dyDescent="0.3">
      <c r="F168" s="16">
        <f>$C$78-$D$51-$D$140-$C$143-$C$148-C158</f>
        <v>79986380</v>
      </c>
    </row>
    <row r="170" spans="2:6" x14ac:dyDescent="0.3">
      <c r="B170" s="107" t="s">
        <v>164</v>
      </c>
      <c r="C170" s="108" t="s">
        <v>165</v>
      </c>
      <c r="D170" s="106" t="s">
        <v>166</v>
      </c>
      <c r="E170" s="106" t="s">
        <v>73</v>
      </c>
      <c r="F170" s="106" t="s">
        <v>75</v>
      </c>
    </row>
    <row r="171" spans="2:6" x14ac:dyDescent="0.3">
      <c r="C171" s="15">
        <f t="shared" ref="C171:F172" si="6">(C161*((1-(1+$C$90)^(-$C$91))/($C$90)))-$C$92</f>
        <v>34802639.799809933</v>
      </c>
      <c r="D171" s="15">
        <f t="shared" si="6"/>
        <v>36054792.625458241</v>
      </c>
      <c r="E171" s="15">
        <f t="shared" si="6"/>
        <v>26037570.020271778</v>
      </c>
      <c r="F171" s="15">
        <f t="shared" si="6"/>
        <v>161270075.19028854</v>
      </c>
    </row>
    <row r="172" spans="2:6" x14ac:dyDescent="0.3">
      <c r="C172" s="15">
        <f t="shared" si="6"/>
        <v>28541875.671568394</v>
      </c>
      <c r="D172" s="15">
        <f t="shared" si="6"/>
        <v>19776805.892030239</v>
      </c>
      <c r="E172" s="16">
        <f t="shared" si="6"/>
        <v>3498819.1586024761</v>
      </c>
      <c r="F172" s="15">
        <f t="shared" si="6"/>
        <v>138731324.328619</v>
      </c>
    </row>
    <row r="173" spans="2:6" x14ac:dyDescent="0.3">
      <c r="C173" s="15">
        <f t="shared" ref="C173:D176" si="7">(C163*((1-(1+$C$90)^(-$C$91))/($C$90)))-$C$92</f>
        <v>22281111.543326855</v>
      </c>
      <c r="D173" s="16">
        <f t="shared" si="7"/>
        <v>3498819.1586024761</v>
      </c>
      <c r="F173" s="15">
        <f t="shared" ref="F173:F178" si="8">(F163*((1-(1+$C$90)^(-$C$91))/($C$90)))-$C$92</f>
        <v>116192573.4669497</v>
      </c>
    </row>
    <row r="174" spans="2:6" x14ac:dyDescent="0.3">
      <c r="C174" s="15">
        <f t="shared" si="7"/>
        <v>16020347.415085554</v>
      </c>
      <c r="D174" s="15">
        <f t="shared" si="7"/>
        <v>-12779167.574825525</v>
      </c>
      <c r="F174" s="15">
        <f t="shared" si="8"/>
        <v>93653822.605280161</v>
      </c>
    </row>
    <row r="175" spans="2:6" x14ac:dyDescent="0.3">
      <c r="C175" s="15">
        <f t="shared" si="7"/>
        <v>9759583.2868440151</v>
      </c>
      <c r="D175" s="15">
        <f t="shared" si="7"/>
        <v>-29057154.308253527</v>
      </c>
      <c r="F175" s="15">
        <f t="shared" si="8"/>
        <v>71115071.743610859</v>
      </c>
    </row>
    <row r="176" spans="2:6" x14ac:dyDescent="0.3">
      <c r="C176" s="16">
        <f t="shared" si="7"/>
        <v>3498819.1586024761</v>
      </c>
      <c r="D176" s="15">
        <f t="shared" si="7"/>
        <v>-45335141.04168129</v>
      </c>
      <c r="F176" s="15">
        <f t="shared" si="8"/>
        <v>48576320.881941319</v>
      </c>
    </row>
    <row r="177" spans="2:6" x14ac:dyDescent="0.3">
      <c r="F177" s="15">
        <f t="shared" si="8"/>
        <v>26037570.020271778</v>
      </c>
    </row>
    <row r="178" spans="2:6" x14ac:dyDescent="0.3">
      <c r="F178" s="16">
        <f t="shared" si="8"/>
        <v>3498819.1586024761</v>
      </c>
    </row>
    <row r="180" spans="2:6" x14ac:dyDescent="0.3">
      <c r="B180" s="80" t="s">
        <v>167</v>
      </c>
      <c r="C180" s="80" t="s">
        <v>169</v>
      </c>
      <c r="D180" s="80" t="s">
        <v>168</v>
      </c>
    </row>
    <row r="181" spans="2:6" x14ac:dyDescent="0.3">
      <c r="B181" s="67"/>
      <c r="C181" s="114"/>
      <c r="D181" s="115"/>
    </row>
    <row r="182" spans="2:6" x14ac:dyDescent="0.3">
      <c r="B182" s="67">
        <f>8760*C182</f>
        <v>8760</v>
      </c>
      <c r="C182" s="116">
        <v>1</v>
      </c>
      <c r="D182" s="115">
        <f>($C$13+$C$14)*10^-3 *B182</f>
        <v>157.68</v>
      </c>
    </row>
    <row r="183" spans="2:6" x14ac:dyDescent="0.3">
      <c r="B183" s="66">
        <f>8760*C183</f>
        <v>8322</v>
      </c>
      <c r="C183" s="117">
        <v>0.95</v>
      </c>
      <c r="D183" s="118">
        <f t="shared" ref="D183:D189" si="9">($C$13+$C$14)*10^-3 *B183</f>
        <v>149.79600000000002</v>
      </c>
      <c r="E183" s="8"/>
      <c r="F183" s="8"/>
    </row>
    <row r="184" spans="2:6" x14ac:dyDescent="0.3">
      <c r="B184" s="67">
        <f t="shared" ref="B184:B189" si="10">8760*C184</f>
        <v>7884</v>
      </c>
      <c r="C184" s="116">
        <v>0.9</v>
      </c>
      <c r="D184" s="115">
        <f t="shared" si="9"/>
        <v>141.91200000000001</v>
      </c>
    </row>
    <row r="185" spans="2:6" x14ac:dyDescent="0.3">
      <c r="B185" s="67">
        <f t="shared" si="10"/>
        <v>7446</v>
      </c>
      <c r="C185" s="116">
        <v>0.85</v>
      </c>
      <c r="D185" s="115">
        <f t="shared" si="9"/>
        <v>134.02800000000002</v>
      </c>
    </row>
    <row r="186" spans="2:6" x14ac:dyDescent="0.3">
      <c r="B186" s="67">
        <f t="shared" si="10"/>
        <v>7008</v>
      </c>
      <c r="C186" s="116">
        <v>0.8</v>
      </c>
      <c r="D186" s="115">
        <f t="shared" si="9"/>
        <v>126.14400000000002</v>
      </c>
    </row>
    <row r="187" spans="2:6" x14ac:dyDescent="0.3">
      <c r="B187" s="67">
        <f t="shared" si="10"/>
        <v>6570</v>
      </c>
      <c r="C187" s="116">
        <v>0.75</v>
      </c>
      <c r="D187" s="115">
        <f t="shared" si="9"/>
        <v>118.26000000000002</v>
      </c>
    </row>
    <row r="188" spans="2:6" x14ac:dyDescent="0.3">
      <c r="B188" s="67">
        <f t="shared" si="10"/>
        <v>6132</v>
      </c>
      <c r="C188" s="116">
        <v>0.7</v>
      </c>
      <c r="D188" s="115">
        <f t="shared" si="9"/>
        <v>110.37600000000002</v>
      </c>
    </row>
    <row r="189" spans="2:6" x14ac:dyDescent="0.3">
      <c r="B189" s="67">
        <f t="shared" si="10"/>
        <v>5694</v>
      </c>
      <c r="C189" s="116">
        <v>0.65</v>
      </c>
      <c r="D189" s="115">
        <f t="shared" si="9"/>
        <v>102.49200000000002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CC57E02848B4E9FD5C7FAD16A39E3" ma:contentTypeVersion="6" ma:contentTypeDescription="Opprett et nytt dokument." ma:contentTypeScope="" ma:versionID="ad9f80e41bb491be966a574bfe288710">
  <xsd:schema xmlns:xsd="http://www.w3.org/2001/XMLSchema" xmlns:xs="http://www.w3.org/2001/XMLSchema" xmlns:p="http://schemas.microsoft.com/office/2006/metadata/properties" xmlns:ns2="a96cd584-cc78-4c85-a13f-bcfc97730e74" xmlns:ns3="a61145a5-b846-4480-a4ec-c0953bad8bf4" targetNamespace="http://schemas.microsoft.com/office/2006/metadata/properties" ma:root="true" ma:fieldsID="269c5787a97ed0c59d652a6ff34a13a0" ns2:_="" ns3:_="">
    <xsd:import namespace="a96cd584-cc78-4c85-a13f-bcfc97730e74"/>
    <xsd:import namespace="a61145a5-b846-4480-a4ec-c0953bad8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cd584-cc78-4c85-a13f-bcfc97730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145a5-b846-4480-a4ec-c0953bad8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09D2F-935E-4FBC-B4BC-926DE8794E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075CC8-1E7A-47AA-8823-CA42608C7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6cd584-cc78-4c85-a13f-bcfc97730e74"/>
    <ds:schemaRef ds:uri="a61145a5-b846-4480-a4ec-c0953bad8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D33C7F-5845-4204-8C67-3822EBDDF61C}">
  <ds:schemaRefs>
    <ds:schemaRef ds:uri="http://purl.org/dc/terms/"/>
    <ds:schemaRef ds:uri="http://schemas.microsoft.com/office/2006/metadata/properties"/>
    <ds:schemaRef ds:uri="http://purl.org/dc/elements/1.1/"/>
    <ds:schemaRef ds:uri="a61145a5-b846-4480-a4ec-c0953bad8bf4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96cd584-cc78-4c85-a13f-bcfc97730e7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Energiberekning kjernekraft</vt:lpstr>
      <vt:lpstr>Stjernediagram</vt:lpstr>
      <vt:lpstr>diagram og slikt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Blankenburgh Nilsen</dc:creator>
  <cp:keywords/>
  <dc:description/>
  <cp:lastModifiedBy>Maria Blankenburgh Nilsen</cp:lastModifiedBy>
  <cp:revision/>
  <cp:lastPrinted>2024-05-16T13:46:40Z</cp:lastPrinted>
  <dcterms:created xsi:type="dcterms:W3CDTF">2023-09-18T10:58:30Z</dcterms:created>
  <dcterms:modified xsi:type="dcterms:W3CDTF">2024-05-16T14:00:59Z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0x0101008E2CC57E02848B4E9FD5C7FAD16A39E3</vt:lpwstr>
  </property>
</Properties>
</file>