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hvl365-my.sharepoint.com/personal/602102_stud_hvl_no/Documents/MAS354, Bacheloroppgave/"/>
    </mc:Choice>
  </mc:AlternateContent>
  <xr:revisionPtr revIDLastSave="24" documentId="8_{247516D4-84F8-834E-93CB-F198384E870C}" xr6:coauthVersionLast="47" xr6:coauthVersionMax="47" xr10:uidLastSave="{4DD3B30D-7DCC-41AA-AD5B-DEDFBE011469}"/>
  <bookViews>
    <workbookView xWindow="-110" yWindow="-110" windowWidth="22620" windowHeight="13500" activeTab="2" xr2:uid="{364D4E84-05B0-0747-8BC8-4AEC6D2EC2E3}"/>
  </bookViews>
  <sheets>
    <sheet name="Ship LH2" sheetId="1" r:id="rId1"/>
    <sheet name="Ship CGH2" sheetId="6" r:id="rId2"/>
    <sheet name="Pipleline" sheetId="2" r:id="rId3"/>
    <sheet name="Submarine power cable" sheetId="3" r:id="rId4"/>
    <sheet name="LCOHT - LCOET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F6" i="6"/>
  <c r="B12" i="5"/>
  <c r="B13" i="5"/>
  <c r="M3" i="2"/>
  <c r="B21" i="3"/>
  <c r="B20" i="3"/>
  <c r="B24" i="3" s="1"/>
  <c r="B19" i="3"/>
  <c r="D68" i="2"/>
  <c r="C68" i="2"/>
  <c r="B68" i="2"/>
  <c r="G55" i="2"/>
  <c r="F55" i="2"/>
  <c r="E57" i="2"/>
  <c r="D57" i="2"/>
  <c r="C57" i="2"/>
  <c r="B57" i="2"/>
  <c r="J57" i="2" s="1"/>
  <c r="B56" i="2"/>
  <c r="B55" i="2"/>
  <c r="N55" i="2" s="1"/>
  <c r="C27" i="2"/>
  <c r="E27" i="2"/>
  <c r="D27" i="2"/>
  <c r="E29" i="2"/>
  <c r="D29" i="2"/>
  <c r="C29" i="2"/>
  <c r="B32" i="2"/>
  <c r="B49" i="2"/>
  <c r="F9" i="6"/>
  <c r="B60" i="2"/>
  <c r="B46" i="2"/>
  <c r="B45" i="2"/>
  <c r="G57" i="2"/>
  <c r="H57" i="2"/>
  <c r="I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F57" i="2"/>
  <c r="C43" i="2"/>
  <c r="B47" i="2" s="1"/>
  <c r="C41" i="2"/>
  <c r="D17" i="1"/>
  <c r="D17" i="6"/>
  <c r="AK29" i="2"/>
  <c r="AK27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B41" i="2"/>
  <c r="H41" i="2" s="1"/>
  <c r="D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F16" i="3"/>
  <c r="E16" i="3"/>
  <c r="D16" i="3"/>
  <c r="B16" i="3"/>
  <c r="B15" i="3"/>
  <c r="AD14" i="3"/>
  <c r="AL14" i="3"/>
  <c r="F14" i="3"/>
  <c r="E14" i="3"/>
  <c r="B14" i="3"/>
  <c r="AE14" i="3" s="1"/>
  <c r="B7" i="3"/>
  <c r="B19" i="6"/>
  <c r="AP19" i="6"/>
  <c r="B10" i="6"/>
  <c r="B4" i="1"/>
  <c r="B6" i="1"/>
  <c r="B5" i="1"/>
  <c r="B61" i="2" l="1"/>
  <c r="AC55" i="2"/>
  <c r="U55" i="2"/>
  <c r="C55" i="2"/>
  <c r="AH55" i="2"/>
  <c r="R55" i="2"/>
  <c r="J55" i="2"/>
  <c r="Y55" i="2"/>
  <c r="Q55" i="2"/>
  <c r="I55" i="2"/>
  <c r="AK55" i="2"/>
  <c r="M55" i="2"/>
  <c r="AB55" i="2"/>
  <c r="AI55" i="2"/>
  <c r="AA55" i="2"/>
  <c r="K55" i="2"/>
  <c r="Z55" i="2"/>
  <c r="AG55" i="2"/>
  <c r="D55" i="2"/>
  <c r="AF55" i="2"/>
  <c r="X55" i="2"/>
  <c r="P55" i="2"/>
  <c r="H55" i="2"/>
  <c r="L55" i="2"/>
  <c r="W55" i="2"/>
  <c r="AJ55" i="2"/>
  <c r="T55" i="2"/>
  <c r="S55" i="2"/>
  <c r="E55" i="2"/>
  <c r="AE55" i="2"/>
  <c r="O55" i="2"/>
  <c r="AD55" i="2"/>
  <c r="V55" i="2"/>
  <c r="B31" i="2"/>
  <c r="B33" i="2"/>
  <c r="B35" i="2" s="1"/>
  <c r="G41" i="2"/>
  <c r="O41" i="2"/>
  <c r="AD41" i="2"/>
  <c r="AK41" i="2"/>
  <c r="AC41" i="2"/>
  <c r="U41" i="2"/>
  <c r="M41" i="2"/>
  <c r="AJ41" i="2"/>
  <c r="L41" i="2"/>
  <c r="AB41" i="2"/>
  <c r="T41" i="2"/>
  <c r="AI41" i="2"/>
  <c r="AA41" i="2"/>
  <c r="S41" i="2"/>
  <c r="K41" i="2"/>
  <c r="E41" i="2"/>
  <c r="W41" i="2"/>
  <c r="V41" i="2"/>
  <c r="AH41" i="2"/>
  <c r="J41" i="2"/>
  <c r="AG41" i="2"/>
  <c r="Q41" i="2"/>
  <c r="I41" i="2"/>
  <c r="AE41" i="2"/>
  <c r="F41" i="2"/>
  <c r="N41" i="2"/>
  <c r="Z41" i="2"/>
  <c r="R41" i="2"/>
  <c r="Y41" i="2"/>
  <c r="D41" i="2"/>
  <c r="AF41" i="2"/>
  <c r="X41" i="2"/>
  <c r="P41" i="2"/>
  <c r="C21" i="3"/>
  <c r="D21" i="3"/>
  <c r="U14" i="3"/>
  <c r="J14" i="3"/>
  <c r="R14" i="3"/>
  <c r="AC14" i="3"/>
  <c r="Z14" i="3"/>
  <c r="N14" i="3"/>
  <c r="AK14" i="3"/>
  <c r="V14" i="3"/>
  <c r="M14" i="3"/>
  <c r="AH14" i="3"/>
  <c r="Y14" i="3"/>
  <c r="Q14" i="3"/>
  <c r="I14" i="3"/>
  <c r="AG14" i="3"/>
  <c r="AB14" i="3"/>
  <c r="X14" i="3"/>
  <c r="T14" i="3"/>
  <c r="P14" i="3"/>
  <c r="L14" i="3"/>
  <c r="H14" i="3"/>
  <c r="AJ14" i="3"/>
  <c r="AF14" i="3"/>
  <c r="D14" i="3"/>
  <c r="AA14" i="3"/>
  <c r="W14" i="3"/>
  <c r="S14" i="3"/>
  <c r="O14" i="3"/>
  <c r="K14" i="3"/>
  <c r="G14" i="3"/>
  <c r="AI14" i="3"/>
  <c r="G19" i="6"/>
  <c r="K19" i="6"/>
  <c r="O19" i="6"/>
  <c r="S19" i="6"/>
  <c r="W19" i="6"/>
  <c r="AA19" i="6"/>
  <c r="AE19" i="6"/>
  <c r="AI19" i="6"/>
  <c r="AM19" i="6"/>
  <c r="AQ19" i="6"/>
  <c r="O17" i="6"/>
  <c r="S17" i="6"/>
  <c r="AE17" i="6"/>
  <c r="AI17" i="6"/>
  <c r="D19" i="6"/>
  <c r="H19" i="6"/>
  <c r="L19" i="6"/>
  <c r="P19" i="6"/>
  <c r="T19" i="6"/>
  <c r="X19" i="6"/>
  <c r="AB19" i="6"/>
  <c r="AF19" i="6"/>
  <c r="AJ19" i="6"/>
  <c r="AN19" i="6"/>
  <c r="E19" i="6"/>
  <c r="I19" i="6"/>
  <c r="M19" i="6"/>
  <c r="Q19" i="6"/>
  <c r="U19" i="6"/>
  <c r="Y19" i="6"/>
  <c r="AC19" i="6"/>
  <c r="AG19" i="6"/>
  <c r="AK19" i="6"/>
  <c r="AO19" i="6"/>
  <c r="AB17" i="6"/>
  <c r="AF17" i="6"/>
  <c r="I17" i="6"/>
  <c r="M17" i="6"/>
  <c r="Y17" i="6"/>
  <c r="AC17" i="6"/>
  <c r="F19" i="6"/>
  <c r="J19" i="6"/>
  <c r="N19" i="6"/>
  <c r="R19" i="6"/>
  <c r="V19" i="6"/>
  <c r="Z19" i="6"/>
  <c r="AD19" i="6"/>
  <c r="AH19" i="6"/>
  <c r="AL19" i="6"/>
  <c r="B18" i="1"/>
  <c r="D18" i="1" s="1"/>
  <c r="F4" i="2"/>
  <c r="G4" i="2" s="1"/>
  <c r="F5" i="2"/>
  <c r="G5" i="2" s="1"/>
  <c r="F3" i="2"/>
  <c r="B27" i="2"/>
  <c r="B6" i="6"/>
  <c r="B10" i="1"/>
  <c r="B19" i="1" s="1"/>
  <c r="B4" i="6"/>
  <c r="B3" i="6"/>
  <c r="B17" i="6" s="1"/>
  <c r="E5" i="2"/>
  <c r="E4" i="2"/>
  <c r="E3" i="2"/>
  <c r="C5" i="2"/>
  <c r="C4" i="2"/>
  <c r="H4" i="2" s="1"/>
  <c r="I4" i="2" s="1"/>
  <c r="C3" i="2"/>
  <c r="B3" i="1"/>
  <c r="B17" i="1" s="1"/>
  <c r="B59" i="2" l="1"/>
  <c r="B63" i="2" s="1"/>
  <c r="M27" i="2"/>
  <c r="AD17" i="6"/>
  <c r="T17" i="6"/>
  <c r="L17" i="6"/>
  <c r="B22" i="6"/>
  <c r="AP17" i="6"/>
  <c r="Z17" i="6"/>
  <c r="R17" i="6"/>
  <c r="J17" i="6"/>
  <c r="AO17" i="6"/>
  <c r="AL17" i="6"/>
  <c r="X17" i="6"/>
  <c r="P17" i="6"/>
  <c r="H17" i="6"/>
  <c r="V17" i="6"/>
  <c r="N17" i="6"/>
  <c r="E17" i="6"/>
  <c r="AH17" i="6"/>
  <c r="F17" i="6"/>
  <c r="AK17" i="6"/>
  <c r="U17" i="6"/>
  <c r="AN17" i="6"/>
  <c r="AQ17" i="6"/>
  <c r="AA17" i="6"/>
  <c r="K17" i="6"/>
  <c r="AG17" i="6"/>
  <c r="Q17" i="6"/>
  <c r="AJ17" i="6"/>
  <c r="AM17" i="6"/>
  <c r="W17" i="6"/>
  <c r="G17" i="6"/>
  <c r="C20" i="3"/>
  <c r="C24" i="3" s="1"/>
  <c r="B14" i="5" s="1"/>
  <c r="B8" i="5" s="1"/>
  <c r="D20" i="3"/>
  <c r="D24" i="3" s="1"/>
  <c r="D19" i="3"/>
  <c r="C19" i="3"/>
  <c r="B24" i="6"/>
  <c r="D24" i="6"/>
  <c r="C24" i="6"/>
  <c r="B18" i="6"/>
  <c r="D18" i="6" s="1"/>
  <c r="B23" i="1"/>
  <c r="C23" i="1"/>
  <c r="D23" i="1"/>
  <c r="AA19" i="1"/>
  <c r="AE19" i="1"/>
  <c r="AI19" i="1"/>
  <c r="AM19" i="1"/>
  <c r="AQ19" i="1"/>
  <c r="Y19" i="1"/>
  <c r="AG19" i="1"/>
  <c r="AO19" i="1"/>
  <c r="AD19" i="1"/>
  <c r="AL19" i="1"/>
  <c r="X19" i="1"/>
  <c r="AB19" i="1"/>
  <c r="AF19" i="1"/>
  <c r="AJ19" i="1"/>
  <c r="AN19" i="1"/>
  <c r="AC19" i="1"/>
  <c r="AK19" i="1"/>
  <c r="Z19" i="1"/>
  <c r="AH19" i="1"/>
  <c r="AP19" i="1"/>
  <c r="AA17" i="1"/>
  <c r="AE17" i="1"/>
  <c r="AI17" i="1"/>
  <c r="AM17" i="1"/>
  <c r="AQ17" i="1"/>
  <c r="AC17" i="1"/>
  <c r="AK17" i="1"/>
  <c r="AP17" i="1"/>
  <c r="X17" i="1"/>
  <c r="AB17" i="1"/>
  <c r="AF17" i="1"/>
  <c r="AJ17" i="1"/>
  <c r="AN17" i="1"/>
  <c r="AG17" i="1"/>
  <c r="AO17" i="1"/>
  <c r="AD17" i="1"/>
  <c r="AH17" i="1"/>
  <c r="AL17" i="1"/>
  <c r="Y17" i="1"/>
  <c r="Z17" i="1"/>
  <c r="H5" i="2"/>
  <c r="I5" i="2" s="1"/>
  <c r="H19" i="1"/>
  <c r="D19" i="1"/>
  <c r="F17" i="1"/>
  <c r="J17" i="1"/>
  <c r="N17" i="1"/>
  <c r="R17" i="1"/>
  <c r="V17" i="1"/>
  <c r="E17" i="1"/>
  <c r="K17" i="1"/>
  <c r="O17" i="1"/>
  <c r="S17" i="1"/>
  <c r="W17" i="1"/>
  <c r="G17" i="1"/>
  <c r="H17" i="1"/>
  <c r="L17" i="1"/>
  <c r="P17" i="1"/>
  <c r="T17" i="1"/>
  <c r="I17" i="1"/>
  <c r="M17" i="1"/>
  <c r="Q17" i="1"/>
  <c r="U17" i="1"/>
  <c r="L19" i="1"/>
  <c r="P19" i="1"/>
  <c r="T19" i="1"/>
  <c r="I19" i="1"/>
  <c r="M19" i="1"/>
  <c r="Q19" i="1"/>
  <c r="U19" i="1"/>
  <c r="F19" i="1"/>
  <c r="J19" i="1"/>
  <c r="N19" i="1"/>
  <c r="R19" i="1"/>
  <c r="V19" i="1"/>
  <c r="G19" i="1"/>
  <c r="K19" i="1"/>
  <c r="O19" i="1"/>
  <c r="S19" i="1"/>
  <c r="W19" i="1"/>
  <c r="E19" i="1"/>
  <c r="Y27" i="2"/>
  <c r="AI27" i="2"/>
  <c r="AA27" i="2"/>
  <c r="S27" i="2"/>
  <c r="L27" i="2"/>
  <c r="AH27" i="2"/>
  <c r="Z27" i="2"/>
  <c r="R27" i="2"/>
  <c r="K27" i="2"/>
  <c r="I27" i="2"/>
  <c r="Q27" i="2"/>
  <c r="H27" i="2"/>
  <c r="F27" i="2"/>
  <c r="AE27" i="2"/>
  <c r="W27" i="2"/>
  <c r="O27" i="2"/>
  <c r="G27" i="2"/>
  <c r="AD27" i="2"/>
  <c r="V27" i="2"/>
  <c r="N27" i="2"/>
  <c r="J27" i="2"/>
  <c r="X27" i="2"/>
  <c r="AC27" i="2"/>
  <c r="U27" i="2"/>
  <c r="AG27" i="2"/>
  <c r="AF27" i="2"/>
  <c r="P27" i="2"/>
  <c r="AJ27" i="2"/>
  <c r="AB27" i="2"/>
  <c r="T27" i="2"/>
  <c r="J5" i="2"/>
  <c r="L5" i="2" s="1"/>
  <c r="G3" i="2"/>
  <c r="J4" i="2"/>
  <c r="L4" i="2" s="1"/>
  <c r="M4" i="2" l="1"/>
  <c r="M5" i="2"/>
  <c r="N5" i="2" s="1"/>
  <c r="O5" i="2" s="1"/>
  <c r="C23" i="6"/>
  <c r="C27" i="6" s="1"/>
  <c r="B6" i="5" s="1"/>
  <c r="D23" i="6"/>
  <c r="B23" i="6"/>
  <c r="B27" i="6" s="1"/>
  <c r="D22" i="6"/>
  <c r="C22" i="6"/>
  <c r="D24" i="1"/>
  <c r="C24" i="1"/>
  <c r="C27" i="1" s="1"/>
  <c r="B5" i="5" s="1"/>
  <c r="B11" i="5" s="1"/>
  <c r="D27" i="1"/>
  <c r="D22" i="1"/>
  <c r="C22" i="1"/>
  <c r="B24" i="1"/>
  <c r="H3" i="2"/>
  <c r="I3" i="2" s="1"/>
  <c r="J3" i="2" s="1"/>
  <c r="L3" i="2" s="1"/>
  <c r="B28" i="2" s="1"/>
  <c r="B22" i="1"/>
  <c r="D27" i="6" l="1"/>
  <c r="N4" i="2"/>
  <c r="O4" i="2" s="1"/>
  <c r="B43" i="2" s="1"/>
  <c r="B42" i="2"/>
  <c r="C42" i="2" s="1"/>
  <c r="N3" i="2"/>
  <c r="O3" i="2" s="1"/>
  <c r="B29" i="2" s="1"/>
  <c r="AJ29" i="2" s="1"/>
  <c r="C28" i="2"/>
  <c r="B27" i="1"/>
  <c r="F43" i="2" l="1"/>
  <c r="E43" i="2"/>
  <c r="D43" i="2"/>
  <c r="I29" i="2"/>
  <c r="M29" i="2"/>
  <c r="Q29" i="2"/>
  <c r="U29" i="2"/>
  <c r="Y29" i="2"/>
  <c r="AC29" i="2"/>
  <c r="AG29" i="2"/>
  <c r="K29" i="2"/>
  <c r="S29" i="2"/>
  <c r="AA29" i="2"/>
  <c r="AI29" i="2"/>
  <c r="H29" i="2"/>
  <c r="P29" i="2"/>
  <c r="X29" i="2"/>
  <c r="AF29" i="2"/>
  <c r="F29" i="2"/>
  <c r="J29" i="2"/>
  <c r="N29" i="2"/>
  <c r="R29" i="2"/>
  <c r="V29" i="2"/>
  <c r="Z29" i="2"/>
  <c r="AD29" i="2"/>
  <c r="AH29" i="2"/>
  <c r="G29" i="2"/>
  <c r="O29" i="2"/>
  <c r="W29" i="2"/>
  <c r="AE29" i="2"/>
  <c r="L29" i="2"/>
  <c r="T29" i="2"/>
  <c r="AB29" i="2"/>
  <c r="B7" i="5" l="1"/>
</calcChain>
</file>

<file path=xl/sharedStrings.xml><?xml version="1.0" encoding="utf-8"?>
<sst xmlns="http://schemas.openxmlformats.org/spreadsheetml/2006/main" count="194" uniqueCount="102">
  <si>
    <t>Ship LH2</t>
  </si>
  <si>
    <t>Yearly hydrogem production</t>
  </si>
  <si>
    <t>kg</t>
  </si>
  <si>
    <t>USD</t>
  </si>
  <si>
    <t>LH2 storage tank</t>
  </si>
  <si>
    <t>Cost of ship</t>
  </si>
  <si>
    <t>Crew cost</t>
  </si>
  <si>
    <t>USD/year</t>
  </si>
  <si>
    <t>Fuel cost</t>
  </si>
  <si>
    <t>Operation &amp; maintenance</t>
  </si>
  <si>
    <t>Discount rate</t>
  </si>
  <si>
    <t>Value</t>
  </si>
  <si>
    <t>Production</t>
  </si>
  <si>
    <t>CAPEX</t>
  </si>
  <si>
    <t>OPEX</t>
  </si>
  <si>
    <t>20 years</t>
  </si>
  <si>
    <t>30 years</t>
  </si>
  <si>
    <t>40 years</t>
  </si>
  <si>
    <t>SUM production</t>
  </si>
  <si>
    <t>SUM CAPEX</t>
  </si>
  <si>
    <t>SUM OPEX</t>
  </si>
  <si>
    <t>Density</t>
  </si>
  <si>
    <t>kg/m^3</t>
  </si>
  <si>
    <t>Price for tank</t>
  </si>
  <si>
    <t>USD/kg</t>
  </si>
  <si>
    <t>Volume</t>
  </si>
  <si>
    <t>m^3</t>
  </si>
  <si>
    <t>CH2 storage tank</t>
  </si>
  <si>
    <t>Compressed</t>
  </si>
  <si>
    <t>Liquid</t>
  </si>
  <si>
    <t>Dif.</t>
  </si>
  <si>
    <t>NPS [inch]</t>
  </si>
  <si>
    <t>Outside Diameter [mm]</t>
  </si>
  <si>
    <t>[m]</t>
  </si>
  <si>
    <t>Nominal wall thickness SCH 40 [mm]</t>
  </si>
  <si>
    <t>Calculated inside diameter ID [mm]</t>
  </si>
  <si>
    <t>Volume of pipe [m3]</t>
  </si>
  <si>
    <t>Weight of steel pipe [kg]</t>
  </si>
  <si>
    <t>[Ton]</t>
  </si>
  <si>
    <t>Price of steel  [USD/ton]</t>
  </si>
  <si>
    <t>Total material cost [USD]</t>
  </si>
  <si>
    <t>Total CAPEX [USD]</t>
  </si>
  <si>
    <t>CAPEX/year</t>
  </si>
  <si>
    <t>OPEX/year</t>
  </si>
  <si>
    <t>Distance [m]</t>
  </si>
  <si>
    <t>Antar at material kost. er 1/3 av totale kostnader</t>
  </si>
  <si>
    <t>Antar 2 ganger høyere kost for offshore</t>
  </si>
  <si>
    <t xml:space="preserve">Antar OPEX er 0.8%CAPEX/y </t>
  </si>
  <si>
    <t>Density of carbon steel [kg/m3]</t>
  </si>
  <si>
    <t>Antar 10% kost. Differanse mellom H2 og NG rør</t>
  </si>
  <si>
    <t>Multiplication factor:</t>
  </si>
  <si>
    <t>Lifetime of pipe [years]</t>
  </si>
  <si>
    <t>Cost of compressor [USD]</t>
  </si>
  <si>
    <t>Yearly H2 production [kg]</t>
  </si>
  <si>
    <t>Pipe size 10''</t>
  </si>
  <si>
    <t>Year</t>
  </si>
  <si>
    <t>Production [kg]</t>
  </si>
  <si>
    <t xml:space="preserve">Total CAPEX </t>
  </si>
  <si>
    <t>Sum CAPEX</t>
  </si>
  <si>
    <t>Sum OPEX</t>
  </si>
  <si>
    <t>LCOHT_pipe 10'' [USD/kg]</t>
  </si>
  <si>
    <t>Yearly production</t>
  </si>
  <si>
    <t>TWh</t>
  </si>
  <si>
    <t>h</t>
  </si>
  <si>
    <t>Distance</t>
  </si>
  <si>
    <t>meters</t>
  </si>
  <si>
    <t>€/$ conversion rate</t>
  </si>
  <si>
    <t>$/€</t>
  </si>
  <si>
    <t>Energy installed</t>
  </si>
  <si>
    <t>MW</t>
  </si>
  <si>
    <t>€/MW/m</t>
  </si>
  <si>
    <t>kWh</t>
  </si>
  <si>
    <t>Total CAPEX</t>
  </si>
  <si>
    <t>25 years</t>
  </si>
  <si>
    <t>35 years</t>
  </si>
  <si>
    <t>Oxfordenergy.org</t>
  </si>
  <si>
    <t>USD/kWh</t>
  </si>
  <si>
    <t>Density of hydrogen</t>
  </si>
  <si>
    <t>kWh/kg</t>
  </si>
  <si>
    <t>Pipeline 10''</t>
  </si>
  <si>
    <t>Pipe size 12''</t>
  </si>
  <si>
    <t>LCOHT_pipe 12'' [USD/kg]</t>
  </si>
  <si>
    <t>Sum production [kg]</t>
  </si>
  <si>
    <t xml:space="preserve"> </t>
  </si>
  <si>
    <t>Pipe size 14''</t>
  </si>
  <si>
    <t>LCOHT_pipe 14'' [USD/kg]</t>
  </si>
  <si>
    <t>LCOHT_ship_LH2</t>
  </si>
  <si>
    <t>LCOHT</t>
  </si>
  <si>
    <t>Pipe 10"</t>
  </si>
  <si>
    <t>LCOHT [USD/kg]</t>
  </si>
  <si>
    <t>LCOET</t>
  </si>
  <si>
    <t>Pipe 14''</t>
  </si>
  <si>
    <t>Pipe 12''</t>
  </si>
  <si>
    <t>15 years</t>
  </si>
  <si>
    <t>Operational time</t>
  </si>
  <si>
    <t>Yearly hydrogen production</t>
  </si>
  <si>
    <t>Liquefaction plant</t>
  </si>
  <si>
    <t>Compressor plant</t>
  </si>
  <si>
    <t>Ship CGH2</t>
  </si>
  <si>
    <t>LCOHT_ship_CGH2</t>
  </si>
  <si>
    <t>Submarine power cable</t>
  </si>
  <si>
    <t xml:space="preserve">These values are obtained from API 5L X65 PSL2 Pipe Thickness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</si>
</sst>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.00_-;\-&quot;£&quot;* #,##0.00_-;_-&quot;£&quot;* &quot;-&quot;??_-;_-@_-"/>
    <numFmt numFmtId="165" formatCode="0.0000"/>
    <numFmt numFmtId="166" formatCode="0.000"/>
    <numFmt numFmtId="167" formatCode="0.0"/>
    <numFmt numFmtId="168" formatCode="_-[$$-409]* #,##0.00_ ;_-[$$-409]* \-#,##0.00\ ;_-[$$-409]* &quot;-&quot;??_ ;_-@_ "/>
    <numFmt numFmtId="169" formatCode="_-[$$-409]* #,##0.000_ ;_-[$$-409]* \-#,##0.000\ ;_-[$$-409]* &quot;-&quot;??_ ;_-@_ "/>
  </numFmts>
  <fonts count="2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0" fillId="3" borderId="0" xfId="0" applyFill="1"/>
    <xf numFmtId="168" fontId="0" fillId="0" borderId="0" xfId="0" applyNumberFormat="1"/>
    <xf numFmtId="168" fontId="0" fillId="0" borderId="0" xfId="1" applyNumberFormat="1" applyFont="1"/>
    <xf numFmtId="0" fontId="0" fillId="0" borderId="13" xfId="0" applyBorder="1"/>
    <xf numFmtId="168" fontId="0" fillId="0" borderId="5" xfId="0" applyNumberFormat="1" applyBorder="1"/>
    <xf numFmtId="165" fontId="0" fillId="0" borderId="0" xfId="0" applyNumberFormat="1"/>
    <xf numFmtId="169" fontId="0" fillId="0" borderId="7" xfId="1" applyNumberFormat="1" applyFont="1" applyBorder="1"/>
    <xf numFmtId="14" fontId="0" fillId="0" borderId="0" xfId="0" applyNumberFormat="1"/>
    <xf numFmtId="167" fontId="0" fillId="0" borderId="0" xfId="0" applyNumberFormat="1"/>
    <xf numFmtId="166" fontId="0" fillId="0" borderId="10" xfId="0" applyNumberFormat="1" applyBorder="1"/>
    <xf numFmtId="166" fontId="0" fillId="0" borderId="11" xfId="0" applyNumberFormat="1" applyBorder="1"/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0" fillId="3" borderId="14" xfId="0" applyFill="1" applyBorder="1"/>
    <xf numFmtId="165" fontId="0" fillId="0" borderId="15" xfId="0" applyNumberFormat="1" applyBorder="1"/>
    <xf numFmtId="165" fontId="0" fillId="0" borderId="12" xfId="0" applyNumberFormat="1" applyBorder="1"/>
    <xf numFmtId="166" fontId="0" fillId="0" borderId="13" xfId="0" applyNumberFormat="1" applyBorder="1"/>
    <xf numFmtId="168" fontId="0" fillId="0" borderId="7" xfId="0" applyNumberFormat="1" applyBorder="1"/>
    <xf numFmtId="166" fontId="0" fillId="0" borderId="1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166" fontId="0" fillId="0" borderId="15" xfId="0" applyNumberFormat="1" applyBorder="1"/>
    <xf numFmtId="166" fontId="0" fillId="0" borderId="12" xfId="0" applyNumberFormat="1" applyBorder="1"/>
    <xf numFmtId="0" fontId="0" fillId="5" borderId="14" xfId="0" applyFill="1" applyBorder="1"/>
    <xf numFmtId="0" fontId="0" fillId="5" borderId="13" xfId="0" applyFill="1" applyBorder="1"/>
    <xf numFmtId="0" fontId="0" fillId="4" borderId="0" xfId="0" applyFill="1"/>
    <xf numFmtId="0" fontId="0" fillId="8" borderId="0" xfId="0" applyFill="1"/>
    <xf numFmtId="0" fontId="0" fillId="8" borderId="14" xfId="0" applyFill="1" applyBorder="1"/>
    <xf numFmtId="0" fontId="0" fillId="8" borderId="13" xfId="0" applyFill="1" applyBorder="1"/>
    <xf numFmtId="0" fontId="0" fillId="9" borderId="14" xfId="0" applyFill="1" applyBorder="1"/>
    <xf numFmtId="0" fontId="0" fillId="9" borderId="6" xfId="0" applyFill="1" applyBorder="1"/>
    <xf numFmtId="0" fontId="0" fillId="9" borderId="0" xfId="0" applyFill="1"/>
    <xf numFmtId="0" fontId="0" fillId="3" borderId="9" xfId="0" applyFill="1" applyBorder="1"/>
    <xf numFmtId="166" fontId="0" fillId="0" borderId="0" xfId="0" applyNumberFormat="1"/>
    <xf numFmtId="166" fontId="0" fillId="0" borderId="9" xfId="0" applyNumberFormat="1" applyBorder="1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LCOHT</a:t>
            </a:r>
            <a:r>
              <a:rPr lang="nb-NO" baseline="0"/>
              <a:t> S</a:t>
            </a:r>
            <a:r>
              <a:rPr lang="nb-NO"/>
              <a:t>hip</a:t>
            </a:r>
            <a:r>
              <a:rPr lang="nb-NO" baseline="0"/>
              <a:t> (</a:t>
            </a:r>
            <a:r>
              <a:rPr lang="nb-NO"/>
              <a:t>LH2)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'Ship LH2'!$B$26:$D$26</c:f>
              <c:strCache>
                <c:ptCount val="3"/>
                <c:pt idx="0">
                  <c:v>20 years</c:v>
                </c:pt>
                <c:pt idx="1">
                  <c:v>30 years</c:v>
                </c:pt>
                <c:pt idx="2">
                  <c:v>40 years</c:v>
                </c:pt>
              </c:strCache>
            </c:strRef>
          </c:cat>
          <c:val>
            <c:numRef>
              <c:f>'Ship LH2'!$B$27:$D$27</c:f>
              <c:numCache>
                <c:formatCode>0.000</c:formatCode>
                <c:ptCount val="3"/>
                <c:pt idx="0">
                  <c:v>1.2184233138749845</c:v>
                </c:pt>
                <c:pt idx="1">
                  <c:v>1.1097911952106343</c:v>
                </c:pt>
                <c:pt idx="2">
                  <c:v>1.0659083068382902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664C-96FE-7E8C1C62A9B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88027152"/>
        <c:axId val="742602816"/>
      </c:barChart>
      <c:catAx>
        <c:axId val="108802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Lifespan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2602816"/>
        <c:crosses val="autoZero"/>
        <c:auto val="1"/>
        <c:lblAlgn val="ctr"/>
        <c:lblOffset val="100"/>
        <c:noMultiLvlLbl val="0"/>
      </c:catAx>
      <c:valAx>
        <c:axId val="742602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802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LCOHT</a:t>
            </a:r>
            <a:r>
              <a:rPr lang="en-US" baseline="0"/>
              <a:t> S</a:t>
            </a:r>
            <a:r>
              <a:rPr lang="en-US"/>
              <a:t>hip</a:t>
            </a:r>
            <a:r>
              <a:rPr lang="en-US" baseline="0"/>
              <a:t> </a:t>
            </a:r>
            <a:r>
              <a:rPr lang="en-US"/>
              <a:t>(CGH2)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'Ship CGH2'!$A$27</c:f>
              <c:strCache>
                <c:ptCount val="1"/>
                <c:pt idx="0">
                  <c:v>LCOHT_ship_CGH2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'Ship CGH2'!$B$26:$D$26</c:f>
              <c:strCache>
                <c:ptCount val="3"/>
                <c:pt idx="0">
                  <c:v>20 years</c:v>
                </c:pt>
                <c:pt idx="1">
                  <c:v>30 years</c:v>
                </c:pt>
                <c:pt idx="2">
                  <c:v>40 years</c:v>
                </c:pt>
              </c:strCache>
            </c:strRef>
          </c:cat>
          <c:val>
            <c:numRef>
              <c:f>'Ship CGH2'!$B$27:$D$27</c:f>
              <c:numCache>
                <c:formatCode>0.000</c:formatCode>
                <c:ptCount val="3"/>
                <c:pt idx="0">
                  <c:v>2.9290507919115805</c:v>
                </c:pt>
                <c:pt idx="1">
                  <c:v>2.5702111908489318</c:v>
                </c:pt>
                <c:pt idx="2">
                  <c:v>2.4252548156017251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D-4AFD-ADC9-524B33ED82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79022383"/>
        <c:axId val="1379021423"/>
      </c:barChart>
      <c:catAx>
        <c:axId val="13790223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Lifespan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9021423"/>
        <c:crosses val="autoZero"/>
        <c:auto val="1"/>
        <c:lblAlgn val="ctr"/>
        <c:lblOffset val="100"/>
        <c:noMultiLvlLbl val="0"/>
      </c:catAx>
      <c:valAx>
        <c:axId val="13790214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7902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LCOHT Pipeline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Pipleline!$A$68</c:f>
              <c:strCache>
                <c:ptCount val="1"/>
                <c:pt idx="0">
                  <c:v>LCOHT [USD/kg]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DD-449F-BF12-BC5DDD14F52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76-4C3C-86F0-E797EFAFB5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Pipleline!$B$67:$D$67</c:f>
              <c:strCache>
                <c:ptCount val="3"/>
                <c:pt idx="0">
                  <c:v>Pipe 10"</c:v>
                </c:pt>
                <c:pt idx="1">
                  <c:v>Pipe 12''</c:v>
                </c:pt>
                <c:pt idx="2">
                  <c:v>Pipe 14''</c:v>
                </c:pt>
              </c:strCache>
            </c:strRef>
          </c:cat>
          <c:val>
            <c:numRef>
              <c:f>Pipleline!$B$68:$D$68</c:f>
              <c:numCache>
                <c:formatCode>0.000</c:formatCode>
                <c:ptCount val="3"/>
                <c:pt idx="0">
                  <c:v>0.12813386288305917</c:v>
                </c:pt>
                <c:pt idx="1">
                  <c:v>0.2227606494511867</c:v>
                </c:pt>
                <c:pt idx="2">
                  <c:v>0.29263964450369284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D-449F-BF12-BC5DDD14F5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29590096"/>
        <c:axId val="1829590576"/>
      </c:barChart>
      <c:catAx>
        <c:axId val="182959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Pipe</a:t>
                </a:r>
                <a:r>
                  <a:rPr lang="en-GB" baseline="0"/>
                  <a:t> size [inch]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29590576"/>
        <c:crosses val="autoZero"/>
        <c:auto val="1"/>
        <c:lblAlgn val="ctr"/>
        <c:lblOffset val="100"/>
        <c:noMultiLvlLbl val="0"/>
      </c:catAx>
      <c:valAx>
        <c:axId val="1829590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USD/kg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2959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LCOET Submarine power cable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C-FF48-A34A-7A8961EEF3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C-FF48-A34A-7A8961EEF3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A4-481C-A0A0-312CD721F6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'Submarine power cable'!$B$23:$D$23</c:f>
              <c:strCache>
                <c:ptCount val="3"/>
                <c:pt idx="0">
                  <c:v>15 years</c:v>
                </c:pt>
                <c:pt idx="1">
                  <c:v>25 years</c:v>
                </c:pt>
                <c:pt idx="2">
                  <c:v>35 years</c:v>
                </c:pt>
              </c:strCache>
            </c:strRef>
          </c:cat>
          <c:val>
            <c:numRef>
              <c:f>'Submarine power cable'!$B$24:$D$24</c:f>
              <c:numCache>
                <c:formatCode>0.000</c:formatCode>
                <c:ptCount val="3"/>
                <c:pt idx="0">
                  <c:v>7.5492742485097578E-3</c:v>
                </c:pt>
                <c:pt idx="1">
                  <c:v>6.001249335314077E-3</c:v>
                </c:pt>
                <c:pt idx="2">
                  <c:v>5.4476859058108958E-3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C-FF48-A34A-7A8961EEF3E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746624"/>
        <c:axId val="168487216"/>
      </c:barChart>
      <c:catAx>
        <c:axId val="16874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Lifespan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487216"/>
        <c:crosses val="autoZero"/>
        <c:auto val="1"/>
        <c:lblAlgn val="ctr"/>
        <c:lblOffset val="100"/>
        <c:noMultiLvlLbl val="0"/>
      </c:catAx>
      <c:valAx>
        <c:axId val="1684872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USD/kWh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87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800"/>
              <a:t>LCOET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'LCOHT - LCOET'!$A$5</c:f>
              <c:strCache>
                <c:ptCount val="1"/>
                <c:pt idx="0">
                  <c:v>Ship LH2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'LCOHT - LCOET'!$B$11</c:f>
              <c:numCache>
                <c:formatCode>0.000</c:formatCode>
                <c:ptCount val="1"/>
                <c:pt idx="0">
                  <c:v>3.3327062919238273E-2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9-4F43-9506-DCDA401F3081}"/>
            </c:ext>
          </c:extLst>
        </c:ser>
        <c:ser>
          <c:idx val="1"/>
          <c:order val="1"/>
          <c:tx>
            <c:strRef>
              <c:f>'LCOHT - LCOET'!$A$6</c:f>
              <c:strCache>
                <c:ptCount val="1"/>
                <c:pt idx="0">
                  <c:v>Ship CGH2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'LCOHT - LCOET'!$B$12</c:f>
              <c:numCache>
                <c:formatCode>0.000</c:formatCode>
                <c:ptCount val="1"/>
                <c:pt idx="0">
                  <c:v>7.7183519244712673E-2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EE-4C53-86EB-34AA58586A98}"/>
            </c:ext>
          </c:extLst>
        </c:ser>
        <c:ser>
          <c:idx val="2"/>
          <c:order val="2"/>
          <c:tx>
            <c:strRef>
              <c:f>'LCOHT - LCOET'!$A$7</c:f>
              <c:strCache>
                <c:ptCount val="1"/>
                <c:pt idx="0">
                  <c:v>Pipeline 10''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'LCOHT - LCOET'!$B$13</c:f>
              <c:numCache>
                <c:formatCode>0.000</c:formatCode>
                <c:ptCount val="1"/>
                <c:pt idx="0">
                  <c:v>3.8478637502420174E-3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EE-4C53-86EB-34AA58586A98}"/>
            </c:ext>
          </c:extLst>
        </c:ser>
        <c:ser>
          <c:idx val="3"/>
          <c:order val="3"/>
          <c:tx>
            <c:strRef>
              <c:f>'LCOHT - LCOET'!$A$14</c:f>
              <c:strCache>
                <c:ptCount val="1"/>
                <c:pt idx="0">
                  <c:v>Submarine power cable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'LCOHT - LCOET'!$B$14</c:f>
              <c:numCache>
                <c:formatCode>0.000</c:formatCode>
                <c:ptCount val="1"/>
                <c:pt idx="0">
                  <c:v>6.001249335314077E-3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41-4353-B0B1-CDE3E607BAA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413286431"/>
        <c:axId val="488928559"/>
      </c:barChart>
      <c:catAx>
        <c:axId val="41328643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8928559"/>
        <c:crosses val="autoZero"/>
        <c:auto val="1"/>
        <c:lblAlgn val="ctr"/>
        <c:lblOffset val="100"/>
        <c:noMultiLvlLbl val="0"/>
      </c:catAx>
      <c:valAx>
        <c:axId val="4889285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050" baseline="0"/>
                  <a:t> USD/kWh</a:t>
                </a:r>
                <a:endParaRPr lang="nb-NO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328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382535</xdr:colOff>
      <xdr:row>27</xdr:row>
      <xdr:rowOff>152263</xdr:rowOff>
    </xdr:from>
    <xdr:to>
      <xdr:col>4</xdr:col>
      <xdr:colOff>502921</xdr:colOff>
      <xdr:row>40</xdr:row>
      <xdr:rowOff>60960</xdr:rowOff>
    </xdr:to>
    <xdr:graphicFrame macro="">
      <xdr:nvGraphicFramePr>
        <xdr:cNvPr id="38" name="Diagram 2">
          <a:extLst>
            <a:ext uri="{FF2B5EF4-FFF2-40B4-BE49-F238E27FC236}">
              <a16:creationId xmlns:a16="http://schemas.microsoft.com/office/drawing/2014/main" id="{04831B5C-49CB-FB96-6167-8B1A563957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469306</xdr:colOff>
      <xdr:row>28</xdr:row>
      <xdr:rowOff>126822</xdr:rowOff>
    </xdr:from>
    <xdr:to>
      <xdr:col>4</xdr:col>
      <xdr:colOff>220870</xdr:colOff>
      <xdr:row>40</xdr:row>
      <xdr:rowOff>38652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09F5F8-1B7B-C22E-1B8B-3067BD020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119527</xdr:colOff>
      <xdr:row>69</xdr:row>
      <xdr:rowOff>85163</xdr:rowOff>
    </xdr:from>
    <xdr:to>
      <xdr:col>2</xdr:col>
      <xdr:colOff>1039657</xdr:colOff>
      <xdr:row>82</xdr:row>
      <xdr:rowOff>186765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8517CCDF-2EB4-C029-BBD7-702C17BC65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4823</xdr:colOff>
      <xdr:row>27</xdr:row>
      <xdr:rowOff>2893</xdr:rowOff>
    </xdr:from>
    <xdr:to>
      <xdr:col>5</xdr:col>
      <xdr:colOff>715380</xdr:colOff>
      <xdr:row>39</xdr:row>
      <xdr:rowOff>128609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D765B464-8841-11A6-D390-803ECDD23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95468</xdr:colOff>
      <xdr:row>17</xdr:row>
      <xdr:rowOff>12193</xdr:rowOff>
    </xdr:from>
    <xdr:to>
      <xdr:col>7</xdr:col>
      <xdr:colOff>233266</xdr:colOff>
      <xdr:row>35</xdr:row>
      <xdr:rowOff>32398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662AD8BB-4381-A8B1-D569-8CE47BA33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3E80-C7B5-3041-A1E0-2535F0A5C296}">
  <dimension ref="A2:AQ27"/>
  <sheetViews>
    <sheetView zoomScale="125" workbookViewId="0">
      <selection activeCell="J28" sqref="J28"/>
    </sheetView>
  </sheetViews>
  <sheetFormatPr baseColWidth="10" defaultColWidth="11" defaultRowHeight="16" x14ac:dyDescent="0.4"/>
  <cols>
    <col min="1" max="1" width="23.33203125" bestFit="1" customWidth="1"/>
    <col min="2" max="4" width="12.33203125" bestFit="1" customWidth="1"/>
    <col min="5" max="5" width="13.5" bestFit="1" customWidth="1"/>
    <col min="6" max="29" width="12.33203125" bestFit="1" customWidth="1"/>
    <col min="42" max="42" width="12.33203125" bestFit="1" customWidth="1"/>
  </cols>
  <sheetData>
    <row r="2" spans="1:43" x14ac:dyDescent="0.4">
      <c r="A2" s="50" t="s">
        <v>0</v>
      </c>
      <c r="B2" s="51"/>
      <c r="C2" s="52"/>
      <c r="J2" s="49"/>
      <c r="K2" s="49"/>
      <c r="L2" s="49"/>
      <c r="M2" s="49"/>
      <c r="N2" s="49"/>
      <c r="O2" s="49"/>
      <c r="P2" s="49"/>
      <c r="R2" s="49"/>
      <c r="S2" s="49"/>
      <c r="T2" s="49"/>
      <c r="U2" s="49"/>
      <c r="V2" s="49"/>
      <c r="W2" s="49"/>
      <c r="X2" s="49"/>
    </row>
    <row r="3" spans="1:43" x14ac:dyDescent="0.4">
      <c r="A3" s="24" t="s">
        <v>95</v>
      </c>
      <c r="B3" s="24">
        <f>78454*10^3</f>
        <v>78454000</v>
      </c>
      <c r="C3" s="11" t="s">
        <v>2</v>
      </c>
    </row>
    <row r="4" spans="1:43" x14ac:dyDescent="0.4">
      <c r="A4" s="25" t="s">
        <v>96</v>
      </c>
      <c r="B4" s="25">
        <f>(142*10^6)</f>
        <v>142000000</v>
      </c>
      <c r="C4" s="2" t="s">
        <v>3</v>
      </c>
    </row>
    <row r="5" spans="1:43" x14ac:dyDescent="0.4">
      <c r="A5" s="25" t="s">
        <v>4</v>
      </c>
      <c r="B5" s="25">
        <f>(37.7*10^6)</f>
        <v>37700000</v>
      </c>
      <c r="C5" s="2" t="s">
        <v>3</v>
      </c>
    </row>
    <row r="6" spans="1:43" x14ac:dyDescent="0.4">
      <c r="A6" s="25" t="s">
        <v>5</v>
      </c>
      <c r="B6" s="25">
        <f>(480.8*10^6)</f>
        <v>480800000</v>
      </c>
      <c r="C6" s="2" t="s">
        <v>3</v>
      </c>
    </row>
    <row r="7" spans="1:43" x14ac:dyDescent="0.4">
      <c r="A7" s="25"/>
      <c r="B7" s="25"/>
      <c r="C7" s="2"/>
    </row>
    <row r="8" spans="1:43" x14ac:dyDescent="0.4">
      <c r="A8" s="25" t="s">
        <v>6</v>
      </c>
      <c r="B8" s="25">
        <v>1460000</v>
      </c>
      <c r="C8" s="2" t="s">
        <v>7</v>
      </c>
    </row>
    <row r="9" spans="1:43" x14ac:dyDescent="0.4">
      <c r="A9" s="25" t="s">
        <v>8</v>
      </c>
      <c r="B9" s="25">
        <v>33062400</v>
      </c>
      <c r="C9" s="2" t="s">
        <v>7</v>
      </c>
    </row>
    <row r="10" spans="1:43" x14ac:dyDescent="0.4">
      <c r="A10" s="16" t="s">
        <v>9</v>
      </c>
      <c r="B10" s="16">
        <f>2.8*10^6</f>
        <v>2800000</v>
      </c>
      <c r="C10" s="5" t="s">
        <v>7</v>
      </c>
    </row>
    <row r="14" spans="1:43" x14ac:dyDescent="0.4">
      <c r="A14" s="27" t="s">
        <v>10</v>
      </c>
      <c r="B14" s="26">
        <v>7.0000000000000007E-2</v>
      </c>
    </row>
    <row r="16" spans="1:43" x14ac:dyDescent="0.4">
      <c r="B16" s="6" t="s">
        <v>11</v>
      </c>
      <c r="C16" s="8"/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7">
        <v>11</v>
      </c>
      <c r="O16" s="7">
        <v>12</v>
      </c>
      <c r="P16" s="7">
        <v>13</v>
      </c>
      <c r="Q16" s="7">
        <v>14</v>
      </c>
      <c r="R16" s="7">
        <v>15</v>
      </c>
      <c r="S16" s="7">
        <v>16</v>
      </c>
      <c r="T16" s="7">
        <v>17</v>
      </c>
      <c r="U16" s="7">
        <v>18</v>
      </c>
      <c r="V16" s="7">
        <v>19</v>
      </c>
      <c r="W16" s="7">
        <v>20</v>
      </c>
      <c r="X16" s="7">
        <v>21</v>
      </c>
      <c r="Y16" s="7">
        <v>22</v>
      </c>
      <c r="Z16" s="7">
        <v>23</v>
      </c>
      <c r="AA16" s="7">
        <v>24</v>
      </c>
      <c r="AB16" s="7">
        <v>25</v>
      </c>
      <c r="AC16" s="7">
        <v>26</v>
      </c>
      <c r="AD16" s="7">
        <v>27</v>
      </c>
      <c r="AE16" s="7">
        <v>28</v>
      </c>
      <c r="AF16" s="7">
        <v>29</v>
      </c>
      <c r="AG16" s="7">
        <v>30</v>
      </c>
      <c r="AH16" s="7">
        <v>31</v>
      </c>
      <c r="AI16" s="7">
        <v>32</v>
      </c>
      <c r="AJ16" s="7">
        <v>33</v>
      </c>
      <c r="AK16" s="7">
        <v>34</v>
      </c>
      <c r="AL16" s="7">
        <v>35</v>
      </c>
      <c r="AM16" s="7">
        <v>36</v>
      </c>
      <c r="AN16" s="7">
        <v>37</v>
      </c>
      <c r="AO16" s="7">
        <v>38</v>
      </c>
      <c r="AP16" s="7">
        <v>39</v>
      </c>
      <c r="AQ16" s="8">
        <v>40</v>
      </c>
    </row>
    <row r="17" spans="1:43" x14ac:dyDescent="0.4">
      <c r="A17" s="24" t="s">
        <v>12</v>
      </c>
      <c r="B17" s="9">
        <f>B3</f>
        <v>78454000</v>
      </c>
      <c r="C17" s="11" t="s">
        <v>2</v>
      </c>
      <c r="D17" s="10">
        <f>B17/(1+$B$14)^0</f>
        <v>78454000</v>
      </c>
      <c r="E17" s="10">
        <f t="shared" ref="E17:AQ17" si="0">$B$17/(1+$B$14)^D16</f>
        <v>73321495.327102795</v>
      </c>
      <c r="F17" s="10">
        <f t="shared" si="0"/>
        <v>68524761.98794654</v>
      </c>
      <c r="G17" s="10">
        <f t="shared" si="0"/>
        <v>64041833.6335949</v>
      </c>
      <c r="H17" s="10">
        <f t="shared" si="0"/>
        <v>59852180.965976544</v>
      </c>
      <c r="I17" s="10">
        <f t="shared" si="0"/>
        <v>55936617.725211717</v>
      </c>
      <c r="J17" s="10">
        <f t="shared" si="0"/>
        <v>52277212.827300675</v>
      </c>
      <c r="K17" s="10">
        <f t="shared" si="0"/>
        <v>48857208.249813713</v>
      </c>
      <c r="L17" s="10">
        <f t="shared" si="0"/>
        <v>45660942.289545529</v>
      </c>
      <c r="M17" s="10">
        <f t="shared" si="0"/>
        <v>42673777.840696745</v>
      </c>
      <c r="N17" s="10">
        <f t="shared" si="0"/>
        <v>39882035.365137152</v>
      </c>
      <c r="O17" s="10">
        <f t="shared" si="0"/>
        <v>37272930.247791722</v>
      </c>
      <c r="P17" s="10">
        <f t="shared" si="0"/>
        <v>34834514.250272647</v>
      </c>
      <c r="Q17" s="10">
        <f t="shared" si="0"/>
        <v>32555620.794647329</v>
      </c>
      <c r="R17" s="10">
        <f t="shared" si="0"/>
        <v>30425813.826773208</v>
      </c>
      <c r="S17" s="10">
        <f t="shared" si="0"/>
        <v>28435340.025021687</v>
      </c>
      <c r="T17" s="10">
        <f t="shared" si="0"/>
        <v>26575084.13553429</v>
      </c>
      <c r="U17" s="10">
        <f t="shared" si="0"/>
        <v>24836527.2294713</v>
      </c>
      <c r="V17" s="10">
        <f t="shared" si="0"/>
        <v>23211707.69109467</v>
      </c>
      <c r="W17" s="10">
        <f t="shared" si="0"/>
        <v>21693184.7580324</v>
      </c>
      <c r="X17" s="10">
        <f t="shared" si="0"/>
        <v>20274004.446759254</v>
      </c>
      <c r="Y17" s="10">
        <f t="shared" si="0"/>
        <v>18947667.707251638</v>
      </c>
      <c r="Z17" s="10">
        <f t="shared" si="0"/>
        <v>17708100.66098284</v>
      </c>
      <c r="AA17" s="10">
        <f t="shared" si="0"/>
        <v>16549626.785965271</v>
      </c>
      <c r="AB17" s="10">
        <f t="shared" si="0"/>
        <v>15466940.921462869</v>
      </c>
      <c r="AC17" s="10">
        <f t="shared" si="0"/>
        <v>14455084.973329784</v>
      </c>
      <c r="AD17" s="10">
        <f t="shared" si="0"/>
        <v>13509425.208719425</v>
      </c>
      <c r="AE17" s="10">
        <f t="shared" si="0"/>
        <v>12625631.036186377</v>
      </c>
      <c r="AF17" s="10">
        <f t="shared" si="0"/>
        <v>11799655.174005961</v>
      </c>
      <c r="AG17" s="10">
        <f t="shared" si="0"/>
        <v>11027715.115893422</v>
      </c>
      <c r="AH17" s="10">
        <f t="shared" si="0"/>
        <v>10306275.809246188</v>
      </c>
      <c r="AI17" s="10">
        <f t="shared" si="0"/>
        <v>9632033.4665852208</v>
      </c>
      <c r="AJ17" s="10">
        <f t="shared" si="0"/>
        <v>9001900.4360609557</v>
      </c>
      <c r="AK17" s="10">
        <f t="shared" si="0"/>
        <v>8412991.06173921</v>
      </c>
      <c r="AL17" s="10">
        <f t="shared" si="0"/>
        <v>7862608.4689151505</v>
      </c>
      <c r="AM17" s="10">
        <f t="shared" si="0"/>
        <v>7348232.213939392</v>
      </c>
      <c r="AN17" s="10">
        <f t="shared" si="0"/>
        <v>6867506.7419994324</v>
      </c>
      <c r="AO17" s="10">
        <f t="shared" si="0"/>
        <v>6418230.5999994688</v>
      </c>
      <c r="AP17" s="10">
        <f t="shared" si="0"/>
        <v>5998346.3551396905</v>
      </c>
      <c r="AQ17" s="11">
        <f t="shared" si="0"/>
        <v>5605931.1730277482</v>
      </c>
    </row>
    <row r="18" spans="1:43" x14ac:dyDescent="0.4">
      <c r="A18" s="25" t="s">
        <v>13</v>
      </c>
      <c r="B18" s="1">
        <f>B4+B5+B6</f>
        <v>660500000</v>
      </c>
      <c r="C18" s="2" t="s">
        <v>3</v>
      </c>
      <c r="D18">
        <f>B18/(1+B14)^0</f>
        <v>660500000</v>
      </c>
      <c r="AQ18" s="2"/>
    </row>
    <row r="19" spans="1:43" x14ac:dyDescent="0.4">
      <c r="A19" s="16" t="s">
        <v>14</v>
      </c>
      <c r="B19" s="3">
        <f>B8+B9+B10</f>
        <v>37322400</v>
      </c>
      <c r="C19" s="5" t="s">
        <v>3</v>
      </c>
      <c r="D19" s="4">
        <f>B19/(1+B14)^0</f>
        <v>37322400</v>
      </c>
      <c r="E19" s="4">
        <f t="shared" ref="E19:AQ19" si="1">$B$19/(1+$B$14)^D16</f>
        <v>34880747.663551398</v>
      </c>
      <c r="F19" s="4">
        <f t="shared" si="1"/>
        <v>32598829.592104115</v>
      </c>
      <c r="G19" s="4">
        <f t="shared" si="1"/>
        <v>30466195.880471133</v>
      </c>
      <c r="H19" s="4">
        <f t="shared" si="1"/>
        <v>28473080.262122557</v>
      </c>
      <c r="I19" s="4">
        <f t="shared" si="1"/>
        <v>26610355.385161262</v>
      </c>
      <c r="J19" s="4">
        <f t="shared" si="1"/>
        <v>24869491.014169406</v>
      </c>
      <c r="K19" s="4">
        <f t="shared" si="1"/>
        <v>23242514.966513462</v>
      </c>
      <c r="L19" s="4">
        <f t="shared" si="1"/>
        <v>21721976.604218192</v>
      </c>
      <c r="M19" s="4">
        <f t="shared" si="1"/>
        <v>20300912.714222606</v>
      </c>
      <c r="N19" s="4">
        <f t="shared" si="1"/>
        <v>18972815.620768793</v>
      </c>
      <c r="O19" s="4">
        <f t="shared" si="1"/>
        <v>17731603.383896064</v>
      </c>
      <c r="P19" s="4">
        <f t="shared" si="1"/>
        <v>16571591.947566418</v>
      </c>
      <c r="Q19" s="4">
        <f t="shared" si="1"/>
        <v>15487469.109875156</v>
      </c>
      <c r="R19" s="4">
        <f t="shared" si="1"/>
        <v>14474270.196145007</v>
      </c>
      <c r="S19" s="4">
        <f t="shared" si="1"/>
        <v>13527355.323500004</v>
      </c>
      <c r="T19" s="4">
        <f t="shared" si="1"/>
        <v>12642388.152803745</v>
      </c>
      <c r="U19" s="4">
        <f t="shared" si="1"/>
        <v>11815316.030657705</v>
      </c>
      <c r="V19" s="4">
        <f t="shared" si="1"/>
        <v>11042351.43052122</v>
      </c>
      <c r="W19" s="4">
        <f t="shared" si="1"/>
        <v>10319954.607963756</v>
      </c>
      <c r="X19" s="4">
        <f t="shared" si="1"/>
        <v>9644817.3906203341</v>
      </c>
      <c r="Y19" s="4">
        <f t="shared" si="1"/>
        <v>9013848.0286171325</v>
      </c>
      <c r="Z19" s="4">
        <f t="shared" si="1"/>
        <v>8424157.0360907782</v>
      </c>
      <c r="AA19" s="4">
        <f t="shared" si="1"/>
        <v>7873043.9589633448</v>
      </c>
      <c r="AB19" s="4">
        <f t="shared" si="1"/>
        <v>7357985.0083769569</v>
      </c>
      <c r="AC19" s="4">
        <f t="shared" si="1"/>
        <v>6876621.5031560343</v>
      </c>
      <c r="AD19" s="4">
        <f t="shared" si="1"/>
        <v>6426749.0683701262</v>
      </c>
      <c r="AE19" s="4">
        <f t="shared" si="1"/>
        <v>6006307.5405328274</v>
      </c>
      <c r="AF19" s="4">
        <f t="shared" si="1"/>
        <v>5613371.533208251</v>
      </c>
      <c r="AG19" s="4">
        <f t="shared" si="1"/>
        <v>5246141.619820795</v>
      </c>
      <c r="AH19" s="4">
        <f t="shared" si="1"/>
        <v>4902936.0932904622</v>
      </c>
      <c r="AI19" s="4">
        <f t="shared" si="1"/>
        <v>4582183.2647574404</v>
      </c>
      <c r="AJ19" s="4">
        <f t="shared" si="1"/>
        <v>4282414.2661284497</v>
      </c>
      <c r="AK19" s="4">
        <f t="shared" si="1"/>
        <v>4002256.3234845325</v>
      </c>
      <c r="AL19" s="4">
        <f t="shared" si="1"/>
        <v>3740426.4705462921</v>
      </c>
      <c r="AM19" s="4">
        <f t="shared" si="1"/>
        <v>3495725.6734077497</v>
      </c>
      <c r="AN19" s="4">
        <f t="shared" si="1"/>
        <v>3267033.3396334108</v>
      </c>
      <c r="AO19" s="4">
        <f t="shared" si="1"/>
        <v>3053302.186573281</v>
      </c>
      <c r="AP19" s="4">
        <f t="shared" si="1"/>
        <v>2853553.4453955898</v>
      </c>
      <c r="AQ19" s="5">
        <f t="shared" si="1"/>
        <v>2666872.3788743829</v>
      </c>
    </row>
    <row r="21" spans="1:43" x14ac:dyDescent="0.4">
      <c r="B21" s="6" t="s">
        <v>15</v>
      </c>
      <c r="C21" s="7" t="s">
        <v>16</v>
      </c>
      <c r="D21" s="8" t="s">
        <v>17</v>
      </c>
    </row>
    <row r="22" spans="1:43" x14ac:dyDescent="0.4">
      <c r="A22" s="24" t="s">
        <v>18</v>
      </c>
      <c r="B22" s="10">
        <f>SUM(D17:W17)</f>
        <v>889322789.17096543</v>
      </c>
      <c r="C22" s="10">
        <f>SUM(D17:AG17)</f>
        <v>1041686641.2015222</v>
      </c>
      <c r="D22" s="11">
        <f>SUM(D17:AQ17)</f>
        <v>1119140697.5281749</v>
      </c>
    </row>
    <row r="23" spans="1:43" x14ac:dyDescent="0.4">
      <c r="A23" s="25" t="s">
        <v>19</v>
      </c>
      <c r="B23">
        <f>SUM(D18:W18)</f>
        <v>660500000</v>
      </c>
      <c r="C23">
        <f>D18</f>
        <v>660500000</v>
      </c>
      <c r="D23" s="2">
        <f>SUM(D18)</f>
        <v>660500000</v>
      </c>
    </row>
    <row r="24" spans="1:43" x14ac:dyDescent="0.4">
      <c r="A24" s="16" t="s">
        <v>20</v>
      </c>
      <c r="B24" s="4">
        <f>SUM(D19:W19)</f>
        <v>423071619.88623184</v>
      </c>
      <c r="C24" s="4">
        <f>SUM(D19:AG19)</f>
        <v>495554662.57398838</v>
      </c>
      <c r="D24" s="5">
        <f>SUM(D19:AQ19)</f>
        <v>532401366.0160799</v>
      </c>
    </row>
    <row r="26" spans="1:43" x14ac:dyDescent="0.4">
      <c r="B26" s="9" t="s">
        <v>15</v>
      </c>
      <c r="C26" s="10" t="s">
        <v>16</v>
      </c>
      <c r="D26" s="11" t="s">
        <v>17</v>
      </c>
    </row>
    <row r="27" spans="1:43" x14ac:dyDescent="0.4">
      <c r="A27" s="27" t="s">
        <v>86</v>
      </c>
      <c r="B27" s="22">
        <f>(B23+B24)/B22</f>
        <v>1.2184233138749845</v>
      </c>
      <c r="C27" s="22">
        <f>(C23+C24)/C22</f>
        <v>1.1097911952106343</v>
      </c>
      <c r="D27" s="23">
        <f>(D23+D24)/D22</f>
        <v>1.0659083068382902</v>
      </c>
    </row>
  </sheetData>
  <mergeCells count="3">
    <mergeCell ref="J2:P2"/>
    <mergeCell ref="R2:X2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D474-66F7-40A0-9F8B-28334DE74459}">
  <dimension ref="A2:AQ27"/>
  <sheetViews>
    <sheetView topLeftCell="A25" zoomScale="115" workbookViewId="0">
      <selection activeCell="B6" sqref="B6"/>
    </sheetView>
  </sheetViews>
  <sheetFormatPr baseColWidth="10" defaultColWidth="11" defaultRowHeight="16" x14ac:dyDescent="0.4"/>
  <cols>
    <col min="1" max="1" width="23.33203125" bestFit="1" customWidth="1"/>
    <col min="2" max="2" width="12.33203125" bestFit="1" customWidth="1"/>
    <col min="5" max="6" width="12.33203125" bestFit="1" customWidth="1"/>
    <col min="10" max="10" width="12.33203125" bestFit="1" customWidth="1"/>
    <col min="14" max="14" width="12.33203125" bestFit="1" customWidth="1"/>
    <col min="18" max="18" width="12.33203125" bestFit="1" customWidth="1"/>
    <col min="22" max="22" width="12.33203125" bestFit="1" customWidth="1"/>
    <col min="26" max="26" width="9.6640625" customWidth="1"/>
  </cols>
  <sheetData>
    <row r="2" spans="1:43" x14ac:dyDescent="0.4">
      <c r="A2" s="53" t="s">
        <v>98</v>
      </c>
      <c r="B2" s="54"/>
      <c r="C2" s="55"/>
      <c r="E2" t="s">
        <v>21</v>
      </c>
      <c r="F2">
        <v>8.9880000000000002E-2</v>
      </c>
      <c r="G2" t="s">
        <v>22</v>
      </c>
    </row>
    <row r="3" spans="1:43" x14ac:dyDescent="0.4">
      <c r="A3" s="24" t="s">
        <v>1</v>
      </c>
      <c r="B3" s="10">
        <f>78454*10^3</f>
        <v>78454000</v>
      </c>
      <c r="C3" s="24" t="s">
        <v>2</v>
      </c>
      <c r="E3" t="s">
        <v>23</v>
      </c>
      <c r="F3">
        <v>600</v>
      </c>
      <c r="G3" t="s">
        <v>24</v>
      </c>
    </row>
    <row r="4" spans="1:43" x14ac:dyDescent="0.4">
      <c r="A4" s="25" t="s">
        <v>97</v>
      </c>
      <c r="B4">
        <f>1.8*10^6</f>
        <v>1800000</v>
      </c>
      <c r="C4" s="25" t="s">
        <v>3</v>
      </c>
      <c r="E4" t="s">
        <v>25</v>
      </c>
      <c r="F4" s="12">
        <v>40000</v>
      </c>
      <c r="G4" t="s">
        <v>26</v>
      </c>
    </row>
    <row r="5" spans="1:43" x14ac:dyDescent="0.4">
      <c r="A5" s="25" t="s">
        <v>27</v>
      </c>
      <c r="B5">
        <f>$F$4*$F$2*$F$3*$F$9</f>
        <v>1699199999.9999998</v>
      </c>
      <c r="C5" s="25" t="s">
        <v>3</v>
      </c>
    </row>
    <row r="6" spans="1:43" x14ac:dyDescent="0.4">
      <c r="A6" s="25" t="s">
        <v>5</v>
      </c>
      <c r="B6">
        <f>480.8*10^6</f>
        <v>480800000</v>
      </c>
      <c r="C6" s="25" t="s">
        <v>3</v>
      </c>
      <c r="E6" t="s">
        <v>28</v>
      </c>
      <c r="F6">
        <f>F4*F2</f>
        <v>3595.2000000000003</v>
      </c>
      <c r="G6" t="s">
        <v>2</v>
      </c>
    </row>
    <row r="7" spans="1:43" x14ac:dyDescent="0.4">
      <c r="A7" s="25"/>
      <c r="C7" s="25"/>
      <c r="E7" t="s">
        <v>29</v>
      </c>
      <c r="F7">
        <v>2832000</v>
      </c>
      <c r="G7" t="s">
        <v>2</v>
      </c>
    </row>
    <row r="8" spans="1:43" x14ac:dyDescent="0.4">
      <c r="A8" s="25" t="s">
        <v>6</v>
      </c>
      <c r="B8">
        <v>1460000</v>
      </c>
      <c r="C8" s="25" t="s">
        <v>7</v>
      </c>
    </row>
    <row r="9" spans="1:43" x14ac:dyDescent="0.4">
      <c r="A9" s="25" t="s">
        <v>8</v>
      </c>
      <c r="B9">
        <v>33062400</v>
      </c>
      <c r="C9" s="25" t="s">
        <v>7</v>
      </c>
      <c r="E9" t="s">
        <v>30</v>
      </c>
      <c r="F9">
        <f>F7/F6</f>
        <v>787.71695594125492</v>
      </c>
    </row>
    <row r="10" spans="1:43" x14ac:dyDescent="0.4">
      <c r="A10" s="16" t="s">
        <v>9</v>
      </c>
      <c r="B10" s="4">
        <f>2.8*10^6</f>
        <v>2800000</v>
      </c>
      <c r="C10" s="16" t="s">
        <v>7</v>
      </c>
    </row>
    <row r="11" spans="1:43" x14ac:dyDescent="0.4">
      <c r="A11" s="1"/>
    </row>
    <row r="13" spans="1:43" x14ac:dyDescent="0.4">
      <c r="E13" s="18"/>
    </row>
    <row r="14" spans="1:43" x14ac:dyDescent="0.4">
      <c r="A14" s="27" t="s">
        <v>10</v>
      </c>
      <c r="B14" s="8">
        <v>7.0000000000000007E-2</v>
      </c>
    </row>
    <row r="16" spans="1:43" x14ac:dyDescent="0.4">
      <c r="B16" s="6" t="s">
        <v>11</v>
      </c>
      <c r="C16" s="7"/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7">
        <v>11</v>
      </c>
      <c r="O16" s="7">
        <v>12</v>
      </c>
      <c r="P16" s="7">
        <v>13</v>
      </c>
      <c r="Q16" s="7">
        <v>14</v>
      </c>
      <c r="R16" s="7">
        <v>15</v>
      </c>
      <c r="S16" s="7">
        <v>16</v>
      </c>
      <c r="T16" s="7">
        <v>17</v>
      </c>
      <c r="U16" s="7">
        <v>18</v>
      </c>
      <c r="V16" s="7">
        <v>19</v>
      </c>
      <c r="W16" s="7">
        <v>20</v>
      </c>
      <c r="X16" s="7">
        <v>21</v>
      </c>
      <c r="Y16" s="7">
        <v>22</v>
      </c>
      <c r="Z16" s="7">
        <v>23</v>
      </c>
      <c r="AA16" s="7">
        <v>24</v>
      </c>
      <c r="AB16" s="7">
        <v>25</v>
      </c>
      <c r="AC16" s="7">
        <v>26</v>
      </c>
      <c r="AD16" s="7">
        <v>27</v>
      </c>
      <c r="AE16" s="7">
        <v>28</v>
      </c>
      <c r="AF16" s="7">
        <v>29</v>
      </c>
      <c r="AG16" s="7">
        <v>30</v>
      </c>
      <c r="AH16" s="7">
        <v>31</v>
      </c>
      <c r="AI16" s="7">
        <v>32</v>
      </c>
      <c r="AJ16" s="7">
        <v>33</v>
      </c>
      <c r="AK16" s="7">
        <v>34</v>
      </c>
      <c r="AL16" s="7">
        <v>35</v>
      </c>
      <c r="AM16" s="7">
        <v>36</v>
      </c>
      <c r="AN16" s="7">
        <v>37</v>
      </c>
      <c r="AO16" s="7">
        <v>38</v>
      </c>
      <c r="AP16" s="7">
        <v>39</v>
      </c>
      <c r="AQ16" s="8">
        <v>40</v>
      </c>
    </row>
    <row r="17" spans="1:43" x14ac:dyDescent="0.4">
      <c r="A17" s="24" t="s">
        <v>12</v>
      </c>
      <c r="B17" s="9">
        <f>B3</f>
        <v>78454000</v>
      </c>
      <c r="C17" s="11" t="s">
        <v>2</v>
      </c>
      <c r="D17" s="10">
        <f>B17/(1+$B$14)^0</f>
        <v>78454000</v>
      </c>
      <c r="E17" s="10">
        <f t="shared" ref="E17:AQ17" si="0">$B$17/(1+$B$14)^D16</f>
        <v>73321495.327102795</v>
      </c>
      <c r="F17" s="10">
        <f t="shared" si="0"/>
        <v>68524761.98794654</v>
      </c>
      <c r="G17" s="10">
        <f t="shared" si="0"/>
        <v>64041833.6335949</v>
      </c>
      <c r="H17" s="10">
        <f t="shared" si="0"/>
        <v>59852180.965976544</v>
      </c>
      <c r="I17" s="10">
        <f t="shared" si="0"/>
        <v>55936617.725211717</v>
      </c>
      <c r="J17" s="10">
        <f t="shared" si="0"/>
        <v>52277212.827300675</v>
      </c>
      <c r="K17" s="10">
        <f t="shared" si="0"/>
        <v>48857208.249813713</v>
      </c>
      <c r="L17" s="10">
        <f t="shared" si="0"/>
        <v>45660942.289545529</v>
      </c>
      <c r="M17" s="10">
        <f t="shared" si="0"/>
        <v>42673777.840696745</v>
      </c>
      <c r="N17" s="10">
        <f t="shared" si="0"/>
        <v>39882035.365137152</v>
      </c>
      <c r="O17" s="10">
        <f t="shared" si="0"/>
        <v>37272930.247791722</v>
      </c>
      <c r="P17" s="10">
        <f t="shared" si="0"/>
        <v>34834514.250272647</v>
      </c>
      <c r="Q17" s="10">
        <f t="shared" si="0"/>
        <v>32555620.794647329</v>
      </c>
      <c r="R17" s="10">
        <f t="shared" si="0"/>
        <v>30425813.826773208</v>
      </c>
      <c r="S17" s="10">
        <f t="shared" si="0"/>
        <v>28435340.025021687</v>
      </c>
      <c r="T17" s="10">
        <f t="shared" si="0"/>
        <v>26575084.13553429</v>
      </c>
      <c r="U17" s="10">
        <f t="shared" si="0"/>
        <v>24836527.2294713</v>
      </c>
      <c r="V17" s="10">
        <f t="shared" si="0"/>
        <v>23211707.69109467</v>
      </c>
      <c r="W17" s="10">
        <f t="shared" si="0"/>
        <v>21693184.7580324</v>
      </c>
      <c r="X17" s="10">
        <f t="shared" si="0"/>
        <v>20274004.446759254</v>
      </c>
      <c r="Y17" s="10">
        <f t="shared" si="0"/>
        <v>18947667.707251638</v>
      </c>
      <c r="Z17" s="10">
        <f t="shared" si="0"/>
        <v>17708100.66098284</v>
      </c>
      <c r="AA17" s="10">
        <f t="shared" si="0"/>
        <v>16549626.785965271</v>
      </c>
      <c r="AB17" s="10">
        <f t="shared" si="0"/>
        <v>15466940.921462869</v>
      </c>
      <c r="AC17" s="10">
        <f t="shared" si="0"/>
        <v>14455084.973329784</v>
      </c>
      <c r="AD17" s="10">
        <f t="shared" si="0"/>
        <v>13509425.208719425</v>
      </c>
      <c r="AE17" s="10">
        <f t="shared" si="0"/>
        <v>12625631.036186377</v>
      </c>
      <c r="AF17" s="10">
        <f t="shared" si="0"/>
        <v>11799655.174005961</v>
      </c>
      <c r="AG17" s="10">
        <f t="shared" si="0"/>
        <v>11027715.115893422</v>
      </c>
      <c r="AH17" s="10">
        <f t="shared" si="0"/>
        <v>10306275.809246188</v>
      </c>
      <c r="AI17" s="10">
        <f t="shared" si="0"/>
        <v>9632033.4665852208</v>
      </c>
      <c r="AJ17" s="10">
        <f t="shared" si="0"/>
        <v>9001900.4360609557</v>
      </c>
      <c r="AK17" s="10">
        <f t="shared" si="0"/>
        <v>8412991.06173921</v>
      </c>
      <c r="AL17" s="10">
        <f t="shared" si="0"/>
        <v>7862608.4689151505</v>
      </c>
      <c r="AM17" s="10">
        <f t="shared" si="0"/>
        <v>7348232.213939392</v>
      </c>
      <c r="AN17" s="10">
        <f t="shared" si="0"/>
        <v>6867506.7419994324</v>
      </c>
      <c r="AO17" s="10">
        <f t="shared" si="0"/>
        <v>6418230.5999994688</v>
      </c>
      <c r="AP17" s="10">
        <f t="shared" si="0"/>
        <v>5998346.3551396905</v>
      </c>
      <c r="AQ17" s="11">
        <f t="shared" si="0"/>
        <v>5605931.1730277482</v>
      </c>
    </row>
    <row r="18" spans="1:43" x14ac:dyDescent="0.4">
      <c r="A18" s="25" t="s">
        <v>13</v>
      </c>
      <c r="B18" s="1">
        <f>B4+B5+B6</f>
        <v>2181800000</v>
      </c>
      <c r="C18" s="2" t="s">
        <v>3</v>
      </c>
      <c r="D18">
        <f>B18/(1+B14)^0</f>
        <v>2181800000</v>
      </c>
      <c r="AQ18" s="2"/>
    </row>
    <row r="19" spans="1:43" x14ac:dyDescent="0.4">
      <c r="A19" s="16" t="s">
        <v>14</v>
      </c>
      <c r="B19" s="3">
        <f>B8+B9+B10</f>
        <v>37322400</v>
      </c>
      <c r="C19" s="5" t="s">
        <v>3</v>
      </c>
      <c r="D19" s="4">
        <f>B19/(1+B14)^0</f>
        <v>37322400</v>
      </c>
      <c r="E19" s="4">
        <f t="shared" ref="E19:AQ19" si="1">$B$19/(1+$B$14)^D16</f>
        <v>34880747.663551398</v>
      </c>
      <c r="F19" s="4">
        <f t="shared" si="1"/>
        <v>32598829.592104115</v>
      </c>
      <c r="G19" s="4">
        <f t="shared" si="1"/>
        <v>30466195.880471133</v>
      </c>
      <c r="H19" s="4">
        <f t="shared" si="1"/>
        <v>28473080.262122557</v>
      </c>
      <c r="I19" s="4">
        <f t="shared" si="1"/>
        <v>26610355.385161262</v>
      </c>
      <c r="J19" s="4">
        <f t="shared" si="1"/>
        <v>24869491.014169406</v>
      </c>
      <c r="K19" s="4">
        <f t="shared" si="1"/>
        <v>23242514.966513462</v>
      </c>
      <c r="L19" s="4">
        <f t="shared" si="1"/>
        <v>21721976.604218192</v>
      </c>
      <c r="M19" s="4">
        <f t="shared" si="1"/>
        <v>20300912.714222606</v>
      </c>
      <c r="N19" s="4">
        <f t="shared" si="1"/>
        <v>18972815.620768793</v>
      </c>
      <c r="O19" s="4">
        <f t="shared" si="1"/>
        <v>17731603.383896064</v>
      </c>
      <c r="P19" s="4">
        <f t="shared" si="1"/>
        <v>16571591.947566418</v>
      </c>
      <c r="Q19" s="4">
        <f t="shared" si="1"/>
        <v>15487469.109875156</v>
      </c>
      <c r="R19" s="4">
        <f t="shared" si="1"/>
        <v>14474270.196145007</v>
      </c>
      <c r="S19" s="4">
        <f t="shared" si="1"/>
        <v>13527355.323500004</v>
      </c>
      <c r="T19" s="4">
        <f t="shared" si="1"/>
        <v>12642388.152803745</v>
      </c>
      <c r="U19" s="4">
        <f t="shared" si="1"/>
        <v>11815316.030657705</v>
      </c>
      <c r="V19" s="4">
        <f t="shared" si="1"/>
        <v>11042351.43052122</v>
      </c>
      <c r="W19" s="4">
        <f t="shared" si="1"/>
        <v>10319954.607963756</v>
      </c>
      <c r="X19" s="4">
        <f t="shared" si="1"/>
        <v>9644817.3906203341</v>
      </c>
      <c r="Y19" s="4">
        <f t="shared" si="1"/>
        <v>9013848.0286171325</v>
      </c>
      <c r="Z19" s="4">
        <f t="shared" si="1"/>
        <v>8424157.0360907782</v>
      </c>
      <c r="AA19" s="4">
        <f t="shared" si="1"/>
        <v>7873043.9589633448</v>
      </c>
      <c r="AB19" s="4">
        <f t="shared" si="1"/>
        <v>7357985.0083769569</v>
      </c>
      <c r="AC19" s="4">
        <f t="shared" si="1"/>
        <v>6876621.5031560343</v>
      </c>
      <c r="AD19" s="4">
        <f t="shared" si="1"/>
        <v>6426749.0683701262</v>
      </c>
      <c r="AE19" s="4">
        <f t="shared" si="1"/>
        <v>6006307.5405328274</v>
      </c>
      <c r="AF19" s="4">
        <f t="shared" si="1"/>
        <v>5613371.533208251</v>
      </c>
      <c r="AG19" s="4">
        <f t="shared" si="1"/>
        <v>5246141.619820795</v>
      </c>
      <c r="AH19" s="4">
        <f t="shared" si="1"/>
        <v>4902936.0932904622</v>
      </c>
      <c r="AI19" s="4">
        <f t="shared" si="1"/>
        <v>4582183.2647574404</v>
      </c>
      <c r="AJ19" s="4">
        <f t="shared" si="1"/>
        <v>4282414.2661284497</v>
      </c>
      <c r="AK19" s="4">
        <f t="shared" si="1"/>
        <v>4002256.3234845325</v>
      </c>
      <c r="AL19" s="4">
        <f t="shared" si="1"/>
        <v>3740426.4705462921</v>
      </c>
      <c r="AM19" s="4">
        <f t="shared" si="1"/>
        <v>3495725.6734077497</v>
      </c>
      <c r="AN19" s="4">
        <f t="shared" si="1"/>
        <v>3267033.3396334108</v>
      </c>
      <c r="AO19" s="4">
        <f t="shared" si="1"/>
        <v>3053302.186573281</v>
      </c>
      <c r="AP19" s="4">
        <f t="shared" si="1"/>
        <v>2853553.4453955898</v>
      </c>
      <c r="AQ19" s="5">
        <f t="shared" si="1"/>
        <v>2666872.3788743829</v>
      </c>
    </row>
    <row r="21" spans="1:43" x14ac:dyDescent="0.4">
      <c r="B21" s="6" t="s">
        <v>15</v>
      </c>
      <c r="C21" s="7" t="s">
        <v>16</v>
      </c>
      <c r="D21" s="8" t="s">
        <v>17</v>
      </c>
    </row>
    <row r="22" spans="1:43" x14ac:dyDescent="0.4">
      <c r="A22" s="24" t="s">
        <v>18</v>
      </c>
      <c r="B22" s="10">
        <f>SUM(D17:W17)</f>
        <v>889322789.17096543</v>
      </c>
      <c r="C22" s="10">
        <f>SUM(D17:AG17)</f>
        <v>1041686641.2015222</v>
      </c>
      <c r="D22" s="11">
        <f>SUM(D17:AQ17)</f>
        <v>1119140697.5281749</v>
      </c>
    </row>
    <row r="23" spans="1:43" x14ac:dyDescent="0.4">
      <c r="A23" s="25" t="s">
        <v>19</v>
      </c>
      <c r="B23">
        <f>SUM(D18:W18)</f>
        <v>2181800000</v>
      </c>
      <c r="C23">
        <f>D18</f>
        <v>2181800000</v>
      </c>
      <c r="D23" s="2">
        <f>SUM(D18)</f>
        <v>2181800000</v>
      </c>
    </row>
    <row r="24" spans="1:43" x14ac:dyDescent="0.4">
      <c r="A24" s="16" t="s">
        <v>20</v>
      </c>
      <c r="B24" s="4">
        <f>SUM(D19:W19)</f>
        <v>423071619.88623184</v>
      </c>
      <c r="C24" s="4">
        <f>SUM(D19:AG19)</f>
        <v>495554662.57398838</v>
      </c>
      <c r="D24" s="5">
        <f>SUM(D19:AQ19)</f>
        <v>532401366.0160799</v>
      </c>
    </row>
    <row r="26" spans="1:43" x14ac:dyDescent="0.4">
      <c r="B26" s="9" t="s">
        <v>15</v>
      </c>
      <c r="C26" s="10" t="s">
        <v>16</v>
      </c>
      <c r="D26" s="11" t="s">
        <v>17</v>
      </c>
    </row>
    <row r="27" spans="1:43" x14ac:dyDescent="0.4">
      <c r="A27" s="27" t="s">
        <v>99</v>
      </c>
      <c r="B27" s="22">
        <f>(B23+B24)/B22</f>
        <v>2.9290507919115805</v>
      </c>
      <c r="C27" s="22">
        <f>(C23+C24)/C22</f>
        <v>2.5702111908489318</v>
      </c>
      <c r="D27" s="23">
        <f>(D23+D24)/D22</f>
        <v>2.4252548156017251</v>
      </c>
      <c r="E27" t="s">
        <v>24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A0AC-38D9-4D1E-908D-DA03A9D338BE}">
  <dimension ref="A1:AK68"/>
  <sheetViews>
    <sheetView tabSelected="1" topLeftCell="A61" zoomScale="102" workbookViewId="0">
      <selection activeCell="E75" sqref="E75"/>
    </sheetView>
  </sheetViews>
  <sheetFormatPr baseColWidth="10" defaultColWidth="8.83203125" defaultRowHeight="16" x14ac:dyDescent="0.4"/>
  <cols>
    <col min="1" max="1" width="26.5" customWidth="1"/>
    <col min="2" max="2" width="22.33203125" customWidth="1"/>
    <col min="3" max="3" width="16.08203125" customWidth="1"/>
    <col min="4" max="4" width="30.6640625" customWidth="1"/>
    <col min="5" max="5" width="15.6640625" customWidth="1"/>
    <col min="6" max="6" width="31.1640625" customWidth="1"/>
    <col min="7" max="7" width="12.83203125" customWidth="1"/>
    <col min="8" max="8" width="17.5" customWidth="1"/>
    <col min="9" max="9" width="19.33203125" customWidth="1"/>
    <col min="10" max="10" width="13.5" bestFit="1" customWidth="1"/>
    <col min="11" max="11" width="19.5" customWidth="1"/>
    <col min="12" max="12" width="15.83203125" customWidth="1"/>
    <col min="13" max="13" width="24.33203125" customWidth="1"/>
    <col min="14" max="14" width="15.6640625" customWidth="1"/>
    <col min="15" max="20" width="13.5" bestFit="1" customWidth="1"/>
    <col min="21" max="21" width="11.83203125" bestFit="1" customWidth="1"/>
    <col min="22" max="23" width="13.5" bestFit="1" customWidth="1"/>
    <col min="24" max="25" width="11.83203125" bestFit="1" customWidth="1"/>
    <col min="26" max="27" width="13.5" bestFit="1" customWidth="1"/>
    <col min="28" max="28" width="11.83203125" bestFit="1" customWidth="1"/>
    <col min="29" max="29" width="13.5" bestFit="1" customWidth="1"/>
    <col min="30" max="31" width="11.83203125" bestFit="1" customWidth="1"/>
    <col min="32" max="32" width="13.5" bestFit="1" customWidth="1"/>
    <col min="33" max="36" width="11.83203125" bestFit="1" customWidth="1"/>
    <col min="37" max="37" width="12.1640625" bestFit="1" customWidth="1"/>
  </cols>
  <sheetData>
    <row r="1" spans="1:16" x14ac:dyDescent="0.4">
      <c r="A1" t="s">
        <v>101</v>
      </c>
    </row>
    <row r="2" spans="1:16" x14ac:dyDescent="0.4">
      <c r="A2" t="s">
        <v>31</v>
      </c>
      <c r="B2" t="s">
        <v>32</v>
      </c>
      <c r="C2" t="s">
        <v>33</v>
      </c>
      <c r="D2" t="s">
        <v>34</v>
      </c>
      <c r="E2" t="s">
        <v>33</v>
      </c>
      <c r="F2" t="s">
        <v>35</v>
      </c>
      <c r="G2" t="s">
        <v>33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</row>
    <row r="3" spans="1:16" x14ac:dyDescent="0.4">
      <c r="A3" s="39">
        <v>10</v>
      </c>
      <c r="B3">
        <v>232.8</v>
      </c>
      <c r="C3">
        <f>B3/1000</f>
        <v>0.23280000000000001</v>
      </c>
      <c r="D3">
        <v>10.31</v>
      </c>
      <c r="E3">
        <f>D3/1000</f>
        <v>1.031E-2</v>
      </c>
      <c r="F3">
        <f>B3-(2*D3)</f>
        <v>212.18</v>
      </c>
      <c r="G3">
        <f>F3/1000</f>
        <v>0.21218000000000001</v>
      </c>
      <c r="H3">
        <f>PI()*(C3^2-G3^2)/4*A8</f>
        <v>1095.3744886160409</v>
      </c>
      <c r="I3">
        <f>H3*A11</f>
        <v>8598689.7356359214</v>
      </c>
      <c r="J3">
        <f>I3/1000</f>
        <v>8598.6897356359223</v>
      </c>
      <c r="K3">
        <v>1950</v>
      </c>
      <c r="L3" s="14">
        <f>(K3*J3)+A17</f>
        <v>18567444.984490048</v>
      </c>
      <c r="M3" s="14">
        <f>(L3*3.33*2*N12)+A17</f>
        <v>137825101.95637411</v>
      </c>
      <c r="N3" s="14">
        <f>M3/A14</f>
        <v>3937860.0558964033</v>
      </c>
      <c r="O3" s="15">
        <f>0.008*N3</f>
        <v>31502.880447171228</v>
      </c>
      <c r="P3" s="14"/>
    </row>
    <row r="4" spans="1:16" x14ac:dyDescent="0.4">
      <c r="A4" s="40">
        <v>12</v>
      </c>
      <c r="B4">
        <v>355.6</v>
      </c>
      <c r="C4">
        <f>B4/1000</f>
        <v>0.35560000000000003</v>
      </c>
      <c r="D4">
        <v>11.13</v>
      </c>
      <c r="E4">
        <f>D4/1000</f>
        <v>1.1130000000000001E-2</v>
      </c>
      <c r="F4">
        <f>B4-2*D4</f>
        <v>333.34000000000003</v>
      </c>
      <c r="G4">
        <f>F4/1000</f>
        <v>0.33334000000000003</v>
      </c>
      <c r="H4">
        <f>PI()*(C4^2-G4^2)/4*A8</f>
        <v>1830.7963167173409</v>
      </c>
      <c r="I4">
        <f>H4*A11</f>
        <v>14371751.086231126</v>
      </c>
      <c r="J4">
        <f>I4/1000</f>
        <v>14371.751086231125</v>
      </c>
      <c r="K4">
        <v>2150</v>
      </c>
      <c r="L4" s="14">
        <f>(K4*J4)+A17</f>
        <v>32699264.835396919</v>
      </c>
      <c r="M4" s="14">
        <f>(L4*3.33*2*N12)+A17</f>
        <v>241354814.18411785</v>
      </c>
      <c r="N4" s="14">
        <f>M4/A14</f>
        <v>6895851.8338319389</v>
      </c>
      <c r="O4" s="14">
        <f>0.008*N4</f>
        <v>55166.814670655513</v>
      </c>
    </row>
    <row r="5" spans="1:16" x14ac:dyDescent="0.4">
      <c r="A5" s="45">
        <v>14</v>
      </c>
      <c r="B5">
        <v>406.4</v>
      </c>
      <c r="C5">
        <f>B5/1000</f>
        <v>0.40639999999999998</v>
      </c>
      <c r="D5">
        <v>12.7</v>
      </c>
      <c r="E5">
        <f>D5/1000</f>
        <v>1.2699999999999999E-2</v>
      </c>
      <c r="F5">
        <f>B5-2*D5</f>
        <v>381</v>
      </c>
      <c r="G5">
        <f>F5/1000</f>
        <v>0.38100000000000001</v>
      </c>
      <c r="H5">
        <f>PI()*(C5^2-G5^2)/4*A8</f>
        <v>2387.6056415074072</v>
      </c>
      <c r="I5">
        <f>H5*A11</f>
        <v>18742704.285833146</v>
      </c>
      <c r="J5">
        <f>I5/1000</f>
        <v>18742.704285833148</v>
      </c>
      <c r="K5">
        <v>2200</v>
      </c>
      <c r="L5" s="14">
        <f>(K5*J5)+A17</f>
        <v>43033949.428832926</v>
      </c>
      <c r="M5" s="14">
        <f>(L5*3.33*2*N12)+A17</f>
        <v>317066713.51563001</v>
      </c>
      <c r="N5" s="14">
        <f>M5/A14</f>
        <v>9059048.9575894289</v>
      </c>
      <c r="O5" s="14">
        <f>0.008*N5</f>
        <v>72472.391660715439</v>
      </c>
    </row>
    <row r="7" spans="1:16" x14ac:dyDescent="0.4">
      <c r="A7" t="s">
        <v>44</v>
      </c>
      <c r="M7" t="s">
        <v>45</v>
      </c>
    </row>
    <row r="8" spans="1:16" x14ac:dyDescent="0.4">
      <c r="A8">
        <v>152000</v>
      </c>
      <c r="M8" t="s">
        <v>46</v>
      </c>
    </row>
    <row r="9" spans="1:16" x14ac:dyDescent="0.4">
      <c r="M9" t="s">
        <v>47</v>
      </c>
    </row>
    <row r="10" spans="1:16" x14ac:dyDescent="0.4">
      <c r="A10" t="s">
        <v>48</v>
      </c>
    </row>
    <row r="11" spans="1:16" x14ac:dyDescent="0.4">
      <c r="A11">
        <v>7850</v>
      </c>
      <c r="M11" t="s">
        <v>49</v>
      </c>
    </row>
    <row r="12" spans="1:16" x14ac:dyDescent="0.4">
      <c r="M12" t="s">
        <v>50</v>
      </c>
      <c r="N12">
        <v>1.1000000000000001</v>
      </c>
    </row>
    <row r="13" spans="1:16" x14ac:dyDescent="0.4">
      <c r="A13" t="s">
        <v>51</v>
      </c>
    </row>
    <row r="14" spans="1:16" x14ac:dyDescent="0.4">
      <c r="A14">
        <v>35</v>
      </c>
      <c r="L14" s="14"/>
    </row>
    <row r="16" spans="1:16" x14ac:dyDescent="0.4">
      <c r="A16" t="s">
        <v>52</v>
      </c>
      <c r="M16" s="14"/>
    </row>
    <row r="17" spans="1:37" x14ac:dyDescent="0.4">
      <c r="A17">
        <v>1800000</v>
      </c>
      <c r="M17" s="14"/>
    </row>
    <row r="19" spans="1:37" x14ac:dyDescent="0.4">
      <c r="A19" t="s">
        <v>53</v>
      </c>
    </row>
    <row r="20" spans="1:37" x14ac:dyDescent="0.4">
      <c r="A20">
        <v>78454000</v>
      </c>
    </row>
    <row r="24" spans="1:37" x14ac:dyDescent="0.4">
      <c r="A24" s="37" t="s">
        <v>54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10"/>
      <c r="AC24" s="10"/>
      <c r="AD24" s="10"/>
      <c r="AE24" s="10"/>
      <c r="AF24" s="10"/>
      <c r="AG24" s="10"/>
      <c r="AH24" s="10"/>
      <c r="AI24" s="10"/>
      <c r="AJ24" s="10"/>
      <c r="AK24" s="11"/>
    </row>
    <row r="25" spans="1:37" x14ac:dyDescent="0.4">
      <c r="A25" s="25" t="s">
        <v>10</v>
      </c>
      <c r="B25">
        <v>7.0000000000000007E-2</v>
      </c>
      <c r="AA25" s="2"/>
      <c r="AK25" s="2"/>
    </row>
    <row r="26" spans="1:37" x14ac:dyDescent="0.4">
      <c r="A26" s="25" t="s">
        <v>55</v>
      </c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>
        <v>8</v>
      </c>
      <c r="K26">
        <v>9</v>
      </c>
      <c r="L26">
        <v>10</v>
      </c>
      <c r="M26">
        <v>11</v>
      </c>
      <c r="N26">
        <v>12</v>
      </c>
      <c r="O26">
        <v>13</v>
      </c>
      <c r="P26">
        <v>14</v>
      </c>
      <c r="Q26">
        <v>15</v>
      </c>
      <c r="R26">
        <v>16</v>
      </c>
      <c r="S26">
        <v>17</v>
      </c>
      <c r="T26">
        <v>18</v>
      </c>
      <c r="U26">
        <v>19</v>
      </c>
      <c r="V26">
        <v>20</v>
      </c>
      <c r="W26">
        <v>21</v>
      </c>
      <c r="X26">
        <v>22</v>
      </c>
      <c r="Y26">
        <v>23</v>
      </c>
      <c r="Z26">
        <v>24</v>
      </c>
      <c r="AA26" s="2">
        <v>25</v>
      </c>
      <c r="AB26">
        <v>26</v>
      </c>
      <c r="AC26">
        <v>27</v>
      </c>
      <c r="AD26">
        <v>28</v>
      </c>
      <c r="AE26">
        <v>29</v>
      </c>
      <c r="AF26">
        <v>30</v>
      </c>
      <c r="AG26">
        <v>31</v>
      </c>
      <c r="AH26">
        <v>32</v>
      </c>
      <c r="AI26">
        <v>33</v>
      </c>
      <c r="AJ26">
        <v>34</v>
      </c>
      <c r="AK26" s="2">
        <v>35</v>
      </c>
    </row>
    <row r="27" spans="1:37" x14ac:dyDescent="0.4">
      <c r="A27" s="25" t="s">
        <v>56</v>
      </c>
      <c r="B27">
        <f>78454*10^3</f>
        <v>78454000</v>
      </c>
      <c r="C27">
        <f>B27/(1+$B$25)^0</f>
        <v>78454000</v>
      </c>
      <c r="D27">
        <f>$B$27/(1+$B$25)^C26</f>
        <v>73321495.327102795</v>
      </c>
      <c r="E27">
        <f>$B$27/(1+$B$25)^D26</f>
        <v>68524761.98794654</v>
      </c>
      <c r="F27">
        <f>$B$27/(1+$B$25)^E26</f>
        <v>64041833.6335949</v>
      </c>
      <c r="G27">
        <f>$B$27/(1+$B$25)^F26</f>
        <v>59852180.965976544</v>
      </c>
      <c r="H27">
        <f t="shared" ref="H27:Z27" si="0">$B$27/(1+$B$25)^G26</f>
        <v>55936617.725211717</v>
      </c>
      <c r="I27">
        <f t="shared" si="0"/>
        <v>52277212.827300675</v>
      </c>
      <c r="J27">
        <f t="shared" si="0"/>
        <v>48857208.249813713</v>
      </c>
      <c r="K27">
        <f t="shared" si="0"/>
        <v>45660942.289545529</v>
      </c>
      <c r="L27">
        <f t="shared" si="0"/>
        <v>42673777.840696745</v>
      </c>
      <c r="M27">
        <f>$B$27/(1+$B$25)^L26</f>
        <v>39882035.365137152</v>
      </c>
      <c r="N27">
        <f t="shared" si="0"/>
        <v>37272930.247791722</v>
      </c>
      <c r="O27">
        <f t="shared" si="0"/>
        <v>34834514.250272647</v>
      </c>
      <c r="P27">
        <f t="shared" si="0"/>
        <v>32555620.794647329</v>
      </c>
      <c r="Q27">
        <f t="shared" si="0"/>
        <v>30425813.826773208</v>
      </c>
      <c r="R27">
        <f t="shared" si="0"/>
        <v>28435340.025021687</v>
      </c>
      <c r="S27">
        <f t="shared" si="0"/>
        <v>26575084.13553429</v>
      </c>
      <c r="T27">
        <f t="shared" si="0"/>
        <v>24836527.2294713</v>
      </c>
      <c r="U27">
        <f t="shared" si="0"/>
        <v>23211707.69109467</v>
      </c>
      <c r="V27">
        <f t="shared" si="0"/>
        <v>21693184.7580324</v>
      </c>
      <c r="W27">
        <f t="shared" si="0"/>
        <v>20274004.446759254</v>
      </c>
      <c r="X27">
        <f t="shared" si="0"/>
        <v>18947667.707251638</v>
      </c>
      <c r="Y27">
        <f t="shared" si="0"/>
        <v>17708100.66098284</v>
      </c>
      <c r="Z27">
        <f t="shared" si="0"/>
        <v>16549626.785965271</v>
      </c>
      <c r="AA27" s="2">
        <f>$B$27/(1+$B$25)^Z26</f>
        <v>15466940.921462869</v>
      </c>
      <c r="AB27">
        <f t="shared" ref="AB27:AJ27" si="1">$B$27/(1+$B$25)^AA26</f>
        <v>14455084.973329784</v>
      </c>
      <c r="AC27">
        <f t="shared" si="1"/>
        <v>13509425.208719425</v>
      </c>
      <c r="AD27">
        <f t="shared" si="1"/>
        <v>12625631.036186377</v>
      </c>
      <c r="AE27">
        <f t="shared" si="1"/>
        <v>11799655.174005961</v>
      </c>
      <c r="AF27">
        <f t="shared" si="1"/>
        <v>11027715.115893422</v>
      </c>
      <c r="AG27">
        <f t="shared" si="1"/>
        <v>10306275.809246188</v>
      </c>
      <c r="AH27">
        <f t="shared" si="1"/>
        <v>9632033.4665852208</v>
      </c>
      <c r="AI27">
        <f t="shared" si="1"/>
        <v>9001900.4360609557</v>
      </c>
      <c r="AJ27">
        <f t="shared" si="1"/>
        <v>8412991.06173921</v>
      </c>
      <c r="AK27" s="2">
        <f>$B$27/(1+$B$25)^AJ26</f>
        <v>7862608.4689151505</v>
      </c>
    </row>
    <row r="28" spans="1:37" x14ac:dyDescent="0.4">
      <c r="A28" s="25" t="s">
        <v>57</v>
      </c>
      <c r="B28" s="14">
        <f>M3</f>
        <v>137825101.95637411</v>
      </c>
      <c r="C28" s="14">
        <f>B28/(1+B25)^0</f>
        <v>137825101.95637411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7"/>
      <c r="AB28" s="14"/>
      <c r="AC28" s="14"/>
      <c r="AD28" s="14"/>
      <c r="AE28" s="14"/>
      <c r="AF28" s="14"/>
      <c r="AG28" s="14"/>
      <c r="AH28" s="14"/>
      <c r="AI28" s="14"/>
      <c r="AJ28" s="14"/>
      <c r="AK28" s="2"/>
    </row>
    <row r="29" spans="1:37" x14ac:dyDescent="0.4">
      <c r="A29" s="25" t="s">
        <v>43</v>
      </c>
      <c r="B29" s="14">
        <f>O3</f>
        <v>31502.880447171228</v>
      </c>
      <c r="C29" s="14">
        <f>B29/(1+B25)^0</f>
        <v>31502.880447171228</v>
      </c>
      <c r="D29" s="14">
        <f>$B$29/(1+$B$25)^C26</f>
        <v>29441.944343150681</v>
      </c>
      <c r="E29" s="14">
        <f>$B$29/(1+$B$25)^D26</f>
        <v>27515.835834720263</v>
      </c>
      <c r="F29" s="14">
        <f t="shared" ref="F29:Z29" si="2">$B$29/(1+$B$25)^E26</f>
        <v>25715.734424972205</v>
      </c>
      <c r="G29" s="14">
        <f t="shared" si="2"/>
        <v>24033.396658852529</v>
      </c>
      <c r="H29" s="14">
        <f t="shared" si="2"/>
        <v>22461.118372759371</v>
      </c>
      <c r="I29" s="14">
        <f t="shared" si="2"/>
        <v>20991.699413793805</v>
      </c>
      <c r="J29" s="14">
        <f t="shared" si="2"/>
        <v>19618.410667097014</v>
      </c>
      <c r="K29" s="14">
        <f t="shared" si="2"/>
        <v>18334.963240277586</v>
      </c>
      <c r="L29" s="14">
        <f t="shared" si="2"/>
        <v>17135.479663810824</v>
      </c>
      <c r="M29" s="14">
        <f t="shared" si="2"/>
        <v>16014.466975524136</v>
      </c>
      <c r="N29" s="14">
        <f t="shared" si="2"/>
        <v>14966.791565910406</v>
      </c>
      <c r="O29" s="14">
        <f t="shared" si="2"/>
        <v>13987.655669075148</v>
      </c>
      <c r="P29" s="14">
        <f t="shared" si="2"/>
        <v>13072.575391659017</v>
      </c>
      <c r="Q29" s="14">
        <f t="shared" si="2"/>
        <v>12217.360179120577</v>
      </c>
      <c r="R29" s="14">
        <f t="shared" si="2"/>
        <v>11418.093625346331</v>
      </c>
      <c r="S29" s="14">
        <f t="shared" si="2"/>
        <v>10671.115537706854</v>
      </c>
      <c r="T29" s="14">
        <f t="shared" si="2"/>
        <v>9973.0051754269662</v>
      </c>
      <c r="U29" s="14">
        <f t="shared" si="2"/>
        <v>9320.5655845111833</v>
      </c>
      <c r="V29" s="14">
        <f t="shared" si="2"/>
        <v>8710.8089574870864</v>
      </c>
      <c r="W29" s="14">
        <f t="shared" si="2"/>
        <v>8140.942950922511</v>
      </c>
      <c r="X29" s="14">
        <f t="shared" si="2"/>
        <v>7608.3578980584207</v>
      </c>
      <c r="Y29" s="14">
        <f t="shared" si="2"/>
        <v>7110.6148579985247</v>
      </c>
      <c r="Z29" s="14">
        <f t="shared" si="2"/>
        <v>6645.4344467275923</v>
      </c>
      <c r="AA29" s="17">
        <f>$B$29/(1+$B$25)^Z26</f>
        <v>6210.6863988108344</v>
      </c>
      <c r="AB29" s="14">
        <f t="shared" ref="AB29:AJ29" si="3">$B$29/(1+$B$25)^AA26</f>
        <v>5804.3798119727417</v>
      </c>
      <c r="AC29" s="14">
        <f t="shared" si="3"/>
        <v>5424.6540298810678</v>
      </c>
      <c r="AD29" s="14">
        <f t="shared" si="3"/>
        <v>5069.7701213841747</v>
      </c>
      <c r="AE29" s="14">
        <f t="shared" si="3"/>
        <v>4738.1029171814725</v>
      </c>
      <c r="AF29" s="14">
        <f t="shared" si="3"/>
        <v>4428.1335674593192</v>
      </c>
      <c r="AG29" s="14">
        <f t="shared" si="3"/>
        <v>4138.4425864105797</v>
      </c>
      <c r="AH29" s="14">
        <f t="shared" si="3"/>
        <v>3867.7033517855875</v>
      </c>
      <c r="AI29" s="14">
        <f t="shared" si="3"/>
        <v>3614.6760297061569</v>
      </c>
      <c r="AJ29" s="14">
        <f t="shared" si="3"/>
        <v>3378.2018969216419</v>
      </c>
      <c r="AK29" s="17">
        <f>$B$29/(1+$B$25)^AJ26</f>
        <v>3157.1980345062075</v>
      </c>
    </row>
    <row r="30" spans="1:37" x14ac:dyDescent="0.4">
      <c r="A30" s="25"/>
      <c r="AA30" s="2"/>
      <c r="AK30" s="2"/>
    </row>
    <row r="31" spans="1:37" x14ac:dyDescent="0.4">
      <c r="A31" s="25" t="s">
        <v>82</v>
      </c>
      <c r="B31">
        <f>SUM(C27:AJ27)</f>
        <v>1079039841.9751539</v>
      </c>
      <c r="AA31" s="2"/>
      <c r="AK31" s="2"/>
    </row>
    <row r="32" spans="1:37" x14ac:dyDescent="0.4">
      <c r="A32" s="25" t="s">
        <v>58</v>
      </c>
      <c r="B32" s="14">
        <f>SUM(C28:AK28)</f>
        <v>137825101.95637411</v>
      </c>
      <c r="AA32" s="2"/>
      <c r="AK32" s="2"/>
    </row>
    <row r="33" spans="1:37" x14ac:dyDescent="0.4">
      <c r="A33" s="25" t="s">
        <v>59</v>
      </c>
      <c r="B33" s="14">
        <f>SUM(C29:AK29)</f>
        <v>436441.2006280999</v>
      </c>
      <c r="AA33" s="2"/>
      <c r="AK33" s="2"/>
    </row>
    <row r="34" spans="1:37" x14ac:dyDescent="0.4">
      <c r="A34" s="25"/>
      <c r="AA34" s="2"/>
      <c r="AK34" s="2"/>
    </row>
    <row r="35" spans="1:37" x14ac:dyDescent="0.4">
      <c r="A35" s="38" t="s">
        <v>60</v>
      </c>
      <c r="B35" s="19">
        <f>(B32+B33)/B31</f>
        <v>0.12813386288305917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4"/>
      <c r="AC35" s="4"/>
      <c r="AD35" s="4"/>
      <c r="AE35" s="4"/>
      <c r="AF35" s="4"/>
      <c r="AG35" s="4"/>
      <c r="AH35" s="4"/>
      <c r="AI35" s="4"/>
      <c r="AJ35" s="4"/>
      <c r="AK35" s="5"/>
    </row>
    <row r="38" spans="1:37" x14ac:dyDescent="0.4">
      <c r="A38" s="41" t="s">
        <v>80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1"/>
      <c r="AB38" s="10"/>
      <c r="AC38" s="10"/>
      <c r="AD38" s="10"/>
      <c r="AE38" s="10"/>
      <c r="AF38" s="10"/>
      <c r="AG38" s="10"/>
      <c r="AH38" s="10"/>
      <c r="AI38" s="10"/>
      <c r="AJ38" s="10"/>
      <c r="AK38" s="11"/>
    </row>
    <row r="39" spans="1:37" x14ac:dyDescent="0.4">
      <c r="A39" s="25" t="s">
        <v>10</v>
      </c>
      <c r="B39">
        <v>7.0000000000000007E-2</v>
      </c>
      <c r="AA39" s="2"/>
      <c r="AK39" s="2"/>
    </row>
    <row r="40" spans="1:37" x14ac:dyDescent="0.4">
      <c r="A40" s="25" t="s">
        <v>55</v>
      </c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>
        <v>8</v>
      </c>
      <c r="K40">
        <v>9</v>
      </c>
      <c r="L40">
        <v>10</v>
      </c>
      <c r="M40">
        <v>11</v>
      </c>
      <c r="N40">
        <v>12</v>
      </c>
      <c r="O40">
        <v>13</v>
      </c>
      <c r="P40">
        <v>14</v>
      </c>
      <c r="Q40">
        <v>15</v>
      </c>
      <c r="R40">
        <v>16</v>
      </c>
      <c r="S40">
        <v>17</v>
      </c>
      <c r="T40">
        <v>18</v>
      </c>
      <c r="U40">
        <v>19</v>
      </c>
      <c r="V40">
        <v>20</v>
      </c>
      <c r="W40">
        <v>21</v>
      </c>
      <c r="X40">
        <v>22</v>
      </c>
      <c r="Y40">
        <v>23</v>
      </c>
      <c r="Z40">
        <v>24</v>
      </c>
      <c r="AA40" s="2">
        <v>25</v>
      </c>
      <c r="AB40">
        <v>26</v>
      </c>
      <c r="AC40">
        <v>27</v>
      </c>
      <c r="AD40">
        <v>28</v>
      </c>
      <c r="AE40">
        <v>29</v>
      </c>
      <c r="AF40">
        <v>30</v>
      </c>
      <c r="AG40">
        <v>31</v>
      </c>
      <c r="AH40">
        <v>32</v>
      </c>
      <c r="AI40">
        <v>33</v>
      </c>
      <c r="AJ40">
        <v>34</v>
      </c>
      <c r="AK40">
        <v>35</v>
      </c>
    </row>
    <row r="41" spans="1:37" x14ac:dyDescent="0.4">
      <c r="A41" s="25" t="s">
        <v>56</v>
      </c>
      <c r="B41">
        <f>78454*10^3</f>
        <v>78454000</v>
      </c>
      <c r="C41">
        <f>B41/(1+$B$39)^0</f>
        <v>78454000</v>
      </c>
      <c r="D41">
        <f>$B$41/(1+$B$39)^C40</f>
        <v>73321495.327102795</v>
      </c>
      <c r="E41">
        <f>$B$41/(1+$B$39)^D40</f>
        <v>68524761.98794654</v>
      </c>
      <c r="F41">
        <f>$B$41/(1+$B$39)^E40</f>
        <v>64041833.6335949</v>
      </c>
      <c r="G41">
        <f t="shared" ref="G41:AK41" si="4">$B$41/(1+$B$39)^F40</f>
        <v>59852180.965976544</v>
      </c>
      <c r="H41">
        <f t="shared" si="4"/>
        <v>55936617.725211717</v>
      </c>
      <c r="I41">
        <f t="shared" si="4"/>
        <v>52277212.827300675</v>
      </c>
      <c r="J41">
        <f t="shared" si="4"/>
        <v>48857208.249813713</v>
      </c>
      <c r="K41">
        <f t="shared" si="4"/>
        <v>45660942.289545529</v>
      </c>
      <c r="L41">
        <f t="shared" si="4"/>
        <v>42673777.840696745</v>
      </c>
      <c r="M41">
        <f t="shared" si="4"/>
        <v>39882035.365137152</v>
      </c>
      <c r="N41">
        <f t="shared" si="4"/>
        <v>37272930.247791722</v>
      </c>
      <c r="O41">
        <f t="shared" si="4"/>
        <v>34834514.250272647</v>
      </c>
      <c r="P41">
        <f t="shared" si="4"/>
        <v>32555620.794647329</v>
      </c>
      <c r="Q41">
        <f t="shared" si="4"/>
        <v>30425813.826773208</v>
      </c>
      <c r="R41">
        <f t="shared" si="4"/>
        <v>28435340.025021687</v>
      </c>
      <c r="S41">
        <f t="shared" si="4"/>
        <v>26575084.13553429</v>
      </c>
      <c r="T41">
        <f t="shared" si="4"/>
        <v>24836527.2294713</v>
      </c>
      <c r="U41">
        <f t="shared" si="4"/>
        <v>23211707.69109467</v>
      </c>
      <c r="V41">
        <f t="shared" si="4"/>
        <v>21693184.7580324</v>
      </c>
      <c r="W41">
        <f t="shared" si="4"/>
        <v>20274004.446759254</v>
      </c>
      <c r="X41">
        <f t="shared" si="4"/>
        <v>18947667.707251638</v>
      </c>
      <c r="Y41">
        <f t="shared" si="4"/>
        <v>17708100.66098284</v>
      </c>
      <c r="Z41">
        <f t="shared" si="4"/>
        <v>16549626.785965271</v>
      </c>
      <c r="AA41" s="2">
        <f t="shared" si="4"/>
        <v>15466940.921462869</v>
      </c>
      <c r="AB41">
        <f t="shared" si="4"/>
        <v>14455084.973329784</v>
      </c>
      <c r="AC41">
        <f t="shared" si="4"/>
        <v>13509425.208719425</v>
      </c>
      <c r="AD41">
        <f t="shared" si="4"/>
        <v>12625631.036186377</v>
      </c>
      <c r="AE41">
        <f t="shared" si="4"/>
        <v>11799655.174005961</v>
      </c>
      <c r="AF41">
        <f t="shared" si="4"/>
        <v>11027715.115893422</v>
      </c>
      <c r="AG41">
        <f t="shared" si="4"/>
        <v>10306275.809246188</v>
      </c>
      <c r="AH41">
        <f t="shared" si="4"/>
        <v>9632033.4665852208</v>
      </c>
      <c r="AI41">
        <f t="shared" si="4"/>
        <v>9001900.4360609557</v>
      </c>
      <c r="AJ41">
        <f t="shared" si="4"/>
        <v>8412991.06173921</v>
      </c>
      <c r="AK41">
        <f t="shared" si="4"/>
        <v>7862608.4689151505</v>
      </c>
    </row>
    <row r="42" spans="1:37" x14ac:dyDescent="0.4">
      <c r="A42" s="25" t="s">
        <v>57</v>
      </c>
      <c r="B42" s="14">
        <f>M4</f>
        <v>241354814.18411785</v>
      </c>
      <c r="C42" s="14">
        <f>B42/(1+B39)^0</f>
        <v>241354814.18411785</v>
      </c>
      <c r="AA42" s="2"/>
      <c r="AK42" s="2"/>
    </row>
    <row r="43" spans="1:37" x14ac:dyDescent="0.4">
      <c r="A43" s="25" t="s">
        <v>43</v>
      </c>
      <c r="B43" s="14">
        <f>O4</f>
        <v>55166.814670655513</v>
      </c>
      <c r="C43" s="14">
        <f>B43/(1+B39)^0</f>
        <v>55166.814670655513</v>
      </c>
      <c r="D43" s="14">
        <f>$B$43/(1+$B$39)^C40</f>
        <v>51557.770720238797</v>
      </c>
      <c r="E43" s="14">
        <f>$B$43/(1+$B$39)^D40</f>
        <v>48184.832448821304</v>
      </c>
      <c r="F43" s="14">
        <f>$B$43/(1+$B$39)^E40</f>
        <v>45032.553690487199</v>
      </c>
      <c r="G43" s="14">
        <f t="shared" ref="G43:AK43" si="5">$B$43/(1+$B$39)^F40</f>
        <v>42086.498776156266</v>
      </c>
      <c r="H43" s="14">
        <f t="shared" si="5"/>
        <v>39333.176426314261</v>
      </c>
      <c r="I43" s="14">
        <f t="shared" si="5"/>
        <v>36759.977968518004</v>
      </c>
      <c r="J43" s="14">
        <f t="shared" si="5"/>
        <v>34355.119596745797</v>
      </c>
      <c r="K43" s="14">
        <f t="shared" si="5"/>
        <v>32107.58840817364</v>
      </c>
      <c r="L43" s="14">
        <f t="shared" si="5"/>
        <v>30007.091970255737</v>
      </c>
      <c r="M43" s="14">
        <f t="shared" si="5"/>
        <v>28044.011187154894</v>
      </c>
      <c r="N43" s="14">
        <f t="shared" si="5"/>
        <v>26209.356249677468</v>
      </c>
      <c r="O43" s="14">
        <f t="shared" si="5"/>
        <v>24494.725466988293</v>
      </c>
      <c r="P43" s="14">
        <f t="shared" si="5"/>
        <v>22892.26679157784</v>
      </c>
      <c r="Q43" s="14">
        <f t="shared" si="5"/>
        <v>21394.641861287702</v>
      </c>
      <c r="R43" s="14">
        <f t="shared" si="5"/>
        <v>19994.992393726825</v>
      </c>
      <c r="S43" s="14">
        <f t="shared" si="5"/>
        <v>18686.908779183948</v>
      </c>
      <c r="T43" s="14">
        <f t="shared" si="5"/>
        <v>17464.400728209297</v>
      </c>
      <c r="U43" s="14">
        <f t="shared" si="5"/>
        <v>16321.869839447942</v>
      </c>
      <c r="V43" s="14">
        <f t="shared" si="5"/>
        <v>15254.08396210088</v>
      </c>
      <c r="W43" s="14">
        <f t="shared" si="5"/>
        <v>14256.153235608301</v>
      </c>
      <c r="X43" s="14">
        <f t="shared" si="5"/>
        <v>13323.507696830186</v>
      </c>
      <c r="Y43" s="14">
        <f t="shared" si="5"/>
        <v>12451.876352177744</v>
      </c>
      <c r="Z43" s="14">
        <f t="shared" si="5"/>
        <v>11637.267618857704</v>
      </c>
      <c r="AA43" s="17">
        <f t="shared" si="5"/>
        <v>10875.951045661406</v>
      </c>
      <c r="AB43" s="14">
        <f t="shared" si="5"/>
        <v>10164.440229590098</v>
      </c>
      <c r="AC43" s="14">
        <f t="shared" si="5"/>
        <v>9499.4768500842056</v>
      </c>
      <c r="AD43" s="14">
        <f t="shared" si="5"/>
        <v>8878.0157477422454</v>
      </c>
      <c r="AE43" s="14">
        <f t="shared" si="5"/>
        <v>8297.2109791983621</v>
      </c>
      <c r="AF43" s="14">
        <f t="shared" si="5"/>
        <v>7754.4027842975347</v>
      </c>
      <c r="AG43" s="14">
        <f t="shared" si="5"/>
        <v>7247.1054058855461</v>
      </c>
      <c r="AH43" s="14">
        <f t="shared" si="5"/>
        <v>6772.9957064350892</v>
      </c>
      <c r="AI43" s="14">
        <f t="shared" si="5"/>
        <v>6329.902529378588</v>
      </c>
      <c r="AJ43" s="14">
        <f t="shared" si="5"/>
        <v>5915.7967564285873</v>
      </c>
      <c r="AK43" s="14">
        <f t="shared" si="5"/>
        <v>5528.7820153538205</v>
      </c>
    </row>
    <row r="44" spans="1:37" x14ac:dyDescent="0.4">
      <c r="A44" s="25"/>
      <c r="AA44" s="2"/>
      <c r="AK44" s="2"/>
    </row>
    <row r="45" spans="1:37" x14ac:dyDescent="0.4">
      <c r="A45" s="25" t="s">
        <v>82</v>
      </c>
      <c r="B45">
        <f>SUM(C41:AK41)</f>
        <v>1086902450.4440691</v>
      </c>
      <c r="AA45" s="2"/>
      <c r="AK45" s="2"/>
    </row>
    <row r="46" spans="1:37" x14ac:dyDescent="0.4">
      <c r="A46" s="25" t="s">
        <v>58</v>
      </c>
      <c r="B46" s="14">
        <f>SUM(C42)</f>
        <v>241354814.18411785</v>
      </c>
      <c r="AA46" s="2"/>
      <c r="AK46" s="2"/>
    </row>
    <row r="47" spans="1:37" x14ac:dyDescent="0.4">
      <c r="A47" s="25" t="s">
        <v>59</v>
      </c>
      <c r="B47" s="14">
        <f>SUM(C43:AK43)</f>
        <v>764281.56688925077</v>
      </c>
      <c r="AA47" s="2"/>
      <c r="AK47" s="2"/>
    </row>
    <row r="48" spans="1:37" x14ac:dyDescent="0.4">
      <c r="A48" s="25"/>
      <c r="AA48" s="2"/>
      <c r="AK48" s="2"/>
    </row>
    <row r="49" spans="1:37" x14ac:dyDescent="0.4">
      <c r="A49" s="42" t="s">
        <v>81</v>
      </c>
      <c r="B49" s="31">
        <f>(B46+B47)/B45</f>
        <v>0.2227606494511867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4"/>
      <c r="AC49" s="4"/>
      <c r="AD49" s="4"/>
      <c r="AE49" s="4"/>
      <c r="AF49" s="4"/>
      <c r="AG49" s="4"/>
      <c r="AH49" s="4"/>
      <c r="AI49" s="4"/>
      <c r="AJ49" s="4"/>
      <c r="AK49" s="5"/>
    </row>
    <row r="52" spans="1:37" x14ac:dyDescent="0.4">
      <c r="A52" s="43" t="s">
        <v>84</v>
      </c>
      <c r="B52" s="10" t="s">
        <v>83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</row>
    <row r="53" spans="1:37" x14ac:dyDescent="0.4">
      <c r="A53" s="1" t="s">
        <v>10</v>
      </c>
      <c r="B53">
        <v>7.0000000000000007E-2</v>
      </c>
      <c r="AK53" s="2"/>
    </row>
    <row r="54" spans="1:37" x14ac:dyDescent="0.4">
      <c r="A54" s="1" t="s">
        <v>55</v>
      </c>
      <c r="C54">
        <v>1</v>
      </c>
      <c r="D54">
        <v>2</v>
      </c>
      <c r="E54">
        <v>3</v>
      </c>
      <c r="F54">
        <v>4</v>
      </c>
      <c r="G54">
        <v>5</v>
      </c>
      <c r="H54">
        <v>6</v>
      </c>
      <c r="I54">
        <v>7</v>
      </c>
      <c r="J54">
        <v>8</v>
      </c>
      <c r="K54">
        <v>9</v>
      </c>
      <c r="L54">
        <v>10</v>
      </c>
      <c r="M54">
        <v>11</v>
      </c>
      <c r="N54">
        <v>12</v>
      </c>
      <c r="O54">
        <v>13</v>
      </c>
      <c r="P54">
        <v>14</v>
      </c>
      <c r="Q54">
        <v>15</v>
      </c>
      <c r="R54">
        <v>16</v>
      </c>
      <c r="S54">
        <v>17</v>
      </c>
      <c r="T54">
        <v>18</v>
      </c>
      <c r="U54">
        <v>19</v>
      </c>
      <c r="V54">
        <v>20</v>
      </c>
      <c r="W54">
        <v>21</v>
      </c>
      <c r="X54">
        <v>22</v>
      </c>
      <c r="Y54">
        <v>23</v>
      </c>
      <c r="Z54">
        <v>24</v>
      </c>
      <c r="AA54">
        <v>25</v>
      </c>
      <c r="AB54">
        <v>26</v>
      </c>
      <c r="AC54">
        <v>27</v>
      </c>
      <c r="AD54">
        <v>28</v>
      </c>
      <c r="AE54">
        <v>29</v>
      </c>
      <c r="AF54">
        <v>30</v>
      </c>
      <c r="AG54">
        <v>31</v>
      </c>
      <c r="AH54">
        <v>32</v>
      </c>
      <c r="AI54">
        <v>33</v>
      </c>
      <c r="AJ54">
        <v>34</v>
      </c>
      <c r="AK54" s="2">
        <v>35</v>
      </c>
    </row>
    <row r="55" spans="1:37" x14ac:dyDescent="0.4">
      <c r="A55" s="1" t="s">
        <v>56</v>
      </c>
      <c r="B55">
        <f>78454*10^3</f>
        <v>78454000</v>
      </c>
      <c r="C55">
        <f>B55/(1+$B$53)^0</f>
        <v>78454000</v>
      </c>
      <c r="D55">
        <f>$B$55/(1+$B$53)^C54</f>
        <v>73321495.327102795</v>
      </c>
      <c r="E55">
        <f>$B$55/(1+$B$53)^D54</f>
        <v>68524761.98794654</v>
      </c>
      <c r="F55">
        <f>$B$55/(1+$B$53)^E54</f>
        <v>64041833.6335949</v>
      </c>
      <c r="G55">
        <f>$B$55/(1+$B$53)^F54</f>
        <v>59852180.965976544</v>
      </c>
      <c r="H55">
        <f t="shared" ref="H55:AK55" si="6">$B$55/(1+$B$53)^G54</f>
        <v>55936617.725211717</v>
      </c>
      <c r="I55">
        <f t="shared" si="6"/>
        <v>52277212.827300675</v>
      </c>
      <c r="J55">
        <f t="shared" si="6"/>
        <v>48857208.249813713</v>
      </c>
      <c r="K55">
        <f t="shared" si="6"/>
        <v>45660942.289545529</v>
      </c>
      <c r="L55">
        <f t="shared" si="6"/>
        <v>42673777.840696745</v>
      </c>
      <c r="M55">
        <f t="shared" si="6"/>
        <v>39882035.365137152</v>
      </c>
      <c r="N55">
        <f t="shared" si="6"/>
        <v>37272930.247791722</v>
      </c>
      <c r="O55">
        <f t="shared" si="6"/>
        <v>34834514.250272647</v>
      </c>
      <c r="P55">
        <f t="shared" si="6"/>
        <v>32555620.794647329</v>
      </c>
      <c r="Q55">
        <f t="shared" si="6"/>
        <v>30425813.826773208</v>
      </c>
      <c r="R55">
        <f t="shared" si="6"/>
        <v>28435340.025021687</v>
      </c>
      <c r="S55">
        <f t="shared" si="6"/>
        <v>26575084.13553429</v>
      </c>
      <c r="T55">
        <f t="shared" si="6"/>
        <v>24836527.2294713</v>
      </c>
      <c r="U55">
        <f t="shared" si="6"/>
        <v>23211707.69109467</v>
      </c>
      <c r="V55">
        <f t="shared" si="6"/>
        <v>21693184.7580324</v>
      </c>
      <c r="W55">
        <f t="shared" si="6"/>
        <v>20274004.446759254</v>
      </c>
      <c r="X55">
        <f t="shared" si="6"/>
        <v>18947667.707251638</v>
      </c>
      <c r="Y55">
        <f t="shared" si="6"/>
        <v>17708100.66098284</v>
      </c>
      <c r="Z55">
        <f t="shared" si="6"/>
        <v>16549626.785965271</v>
      </c>
      <c r="AA55">
        <f t="shared" si="6"/>
        <v>15466940.921462869</v>
      </c>
      <c r="AB55">
        <f t="shared" si="6"/>
        <v>14455084.973329784</v>
      </c>
      <c r="AC55">
        <f t="shared" si="6"/>
        <v>13509425.208719425</v>
      </c>
      <c r="AD55">
        <f t="shared" si="6"/>
        <v>12625631.036186377</v>
      </c>
      <c r="AE55">
        <f t="shared" si="6"/>
        <v>11799655.174005961</v>
      </c>
      <c r="AF55">
        <f t="shared" si="6"/>
        <v>11027715.115893422</v>
      </c>
      <c r="AG55">
        <f t="shared" si="6"/>
        <v>10306275.809246188</v>
      </c>
      <c r="AH55">
        <f t="shared" si="6"/>
        <v>9632033.4665852208</v>
      </c>
      <c r="AI55">
        <f t="shared" si="6"/>
        <v>9001900.4360609557</v>
      </c>
      <c r="AJ55">
        <f t="shared" si="6"/>
        <v>8412991.06173921</v>
      </c>
      <c r="AK55" s="2">
        <f t="shared" si="6"/>
        <v>7862608.4689151505</v>
      </c>
    </row>
    <row r="56" spans="1:37" x14ac:dyDescent="0.4">
      <c r="A56" s="1" t="s">
        <v>57</v>
      </c>
      <c r="B56" s="14">
        <f>M5</f>
        <v>317066713.51563001</v>
      </c>
      <c r="AK56" s="2"/>
    </row>
    <row r="57" spans="1:37" x14ac:dyDescent="0.4">
      <c r="A57" s="1" t="s">
        <v>43</v>
      </c>
      <c r="B57" s="14">
        <f>O5</f>
        <v>72472.391660715439</v>
      </c>
      <c r="C57" s="14">
        <f>B57/(1+B53)^0</f>
        <v>72472.391660715439</v>
      </c>
      <c r="D57" s="14">
        <f>$B$57/(1+$B$53)^C54</f>
        <v>67731.207159547135</v>
      </c>
      <c r="E57" s="14">
        <f>$B$57/(1+$B$53)^D54</f>
        <v>63300.193607053399</v>
      </c>
      <c r="F57" s="14">
        <f>$B$57/(1+$B$53)^E54</f>
        <v>59159.059445844294</v>
      </c>
      <c r="G57" s="14">
        <f t="shared" ref="G57:AK57" si="7">$B$57/(1+$B$53)^F54</f>
        <v>55288.840603592806</v>
      </c>
      <c r="H57" s="14">
        <f t="shared" si="7"/>
        <v>51671.813648217569</v>
      </c>
      <c r="I57" s="14">
        <f t="shared" si="7"/>
        <v>48291.414624502402</v>
      </c>
      <c r="J57" s="14">
        <f t="shared" si="7"/>
        <v>45132.163200469535</v>
      </c>
      <c r="K57" s="14">
        <f t="shared" si="7"/>
        <v>42179.59177613975</v>
      </c>
      <c r="L57" s="14">
        <f t="shared" si="7"/>
        <v>39420.179230037145</v>
      </c>
      <c r="M57" s="14">
        <f t="shared" si="7"/>
        <v>36841.289000034718</v>
      </c>
      <c r="N57" s="14">
        <f t="shared" si="7"/>
        <v>34431.111214985714</v>
      </c>
      <c r="O57" s="14">
        <f t="shared" si="7"/>
        <v>32178.608612136188</v>
      </c>
      <c r="P57" s="14">
        <f t="shared" si="7"/>
        <v>30073.465992650639</v>
      </c>
      <c r="Q57" s="14">
        <f t="shared" si="7"/>
        <v>28106.042983785646</v>
      </c>
      <c r="R57" s="14">
        <f t="shared" si="7"/>
        <v>26267.32989138845</v>
      </c>
      <c r="S57" s="14">
        <f t="shared" si="7"/>
        <v>24548.906440549959</v>
      </c>
      <c r="T57" s="14">
        <f t="shared" si="7"/>
        <v>22942.90321546725</v>
      </c>
      <c r="U57" s="14">
        <f t="shared" si="7"/>
        <v>21441.96562193201</v>
      </c>
      <c r="V57" s="14">
        <f t="shared" si="7"/>
        <v>20039.220207413091</v>
      </c>
      <c r="W57" s="14">
        <f t="shared" si="7"/>
        <v>18728.243184498217</v>
      </c>
      <c r="X57" s="14">
        <f t="shared" si="7"/>
        <v>17503.031013549735</v>
      </c>
      <c r="Y57" s="14">
        <f t="shared" si="7"/>
        <v>16357.972909859565</v>
      </c>
      <c r="Z57" s="14">
        <f t="shared" si="7"/>
        <v>15287.825149401462</v>
      </c>
      <c r="AA57" s="14">
        <f t="shared" si="7"/>
        <v>14287.687055515386</v>
      </c>
      <c r="AB57" s="14">
        <f t="shared" si="7"/>
        <v>13352.978556556434</v>
      </c>
      <c r="AC57" s="14">
        <f t="shared" si="7"/>
        <v>12479.419211734987</v>
      </c>
      <c r="AD57" s="14">
        <f t="shared" si="7"/>
        <v>11663.008609098115</v>
      </c>
      <c r="AE57" s="14">
        <f t="shared" si="7"/>
        <v>10900.008045886092</v>
      </c>
      <c r="AF57" s="14">
        <f t="shared" si="7"/>
        <v>10186.923407370179</v>
      </c>
      <c r="AG57" s="14">
        <f t="shared" si="7"/>
        <v>9520.489165766523</v>
      </c>
      <c r="AH57" s="14">
        <f t="shared" si="7"/>
        <v>8897.6534259500186</v>
      </c>
      <c r="AI57" s="14">
        <f t="shared" si="7"/>
        <v>8315.5639494860006</v>
      </c>
      <c r="AJ57" s="14">
        <f t="shared" si="7"/>
        <v>7771.55509297757</v>
      </c>
      <c r="AK57" s="17">
        <f t="shared" si="7"/>
        <v>7263.1356009136171</v>
      </c>
    </row>
    <row r="58" spans="1:37" x14ac:dyDescent="0.4">
      <c r="A58" s="1"/>
      <c r="AK58" s="2"/>
    </row>
    <row r="59" spans="1:37" x14ac:dyDescent="0.4">
      <c r="A59" s="1" t="s">
        <v>82</v>
      </c>
      <c r="B59">
        <f>SUM(C55:AK55)</f>
        <v>1086902450.4440691</v>
      </c>
      <c r="AK59" s="2"/>
    </row>
    <row r="60" spans="1:37" x14ac:dyDescent="0.4">
      <c r="A60" s="1" t="s">
        <v>58</v>
      </c>
      <c r="B60" s="14">
        <f>SUM(B56)</f>
        <v>317066713.51563001</v>
      </c>
      <c r="AK60" s="2"/>
    </row>
    <row r="61" spans="1:37" x14ac:dyDescent="0.4">
      <c r="A61" s="1" t="s">
        <v>59</v>
      </c>
      <c r="B61" s="14">
        <f>SUM(C57:AK57)</f>
        <v>1004033.1925150271</v>
      </c>
      <c r="AK61" s="2"/>
    </row>
    <row r="62" spans="1:37" x14ac:dyDescent="0.4">
      <c r="A62" s="1"/>
      <c r="AK62" s="2"/>
    </row>
    <row r="63" spans="1:37" x14ac:dyDescent="0.4">
      <c r="A63" s="44" t="s">
        <v>85</v>
      </c>
      <c r="B63" s="31">
        <f>(B60+B61)/B59</f>
        <v>0.29263964450369284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5"/>
    </row>
    <row r="67" spans="1:4" x14ac:dyDescent="0.4">
      <c r="B67" t="s">
        <v>88</v>
      </c>
      <c r="C67" t="s">
        <v>92</v>
      </c>
      <c r="D67" t="s">
        <v>91</v>
      </c>
    </row>
    <row r="68" spans="1:4" x14ac:dyDescent="0.4">
      <c r="A68" t="s">
        <v>89</v>
      </c>
      <c r="B68" s="47">
        <f>B35</f>
        <v>0.12813386288305917</v>
      </c>
      <c r="C68" s="47">
        <f>B49</f>
        <v>0.2227606494511867</v>
      </c>
      <c r="D68" s="47">
        <f>B63</f>
        <v>0.29263964450369284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62DE-70F6-4AD8-8F9E-4EC8A50FE2D7}">
  <dimension ref="A1:AL24"/>
  <sheetViews>
    <sheetView topLeftCell="A10" zoomScale="79" workbookViewId="0">
      <selection activeCell="G20" sqref="G20"/>
    </sheetView>
  </sheetViews>
  <sheetFormatPr baseColWidth="10" defaultColWidth="8.83203125" defaultRowHeight="16" x14ac:dyDescent="0.4"/>
  <cols>
    <col min="1" max="1" width="16.6640625" bestFit="1" customWidth="1"/>
    <col min="2" max="2" width="13.1640625" bestFit="1" customWidth="1"/>
    <col min="3" max="3" width="12" bestFit="1" customWidth="1"/>
    <col min="4" max="4" width="12.1640625" bestFit="1" customWidth="1"/>
    <col min="5" max="11" width="12" bestFit="1" customWidth="1"/>
    <col min="12" max="12" width="11" bestFit="1" customWidth="1"/>
    <col min="13" max="22" width="12" bestFit="1" customWidth="1"/>
    <col min="23" max="23" width="11" bestFit="1" customWidth="1"/>
    <col min="24" max="38" width="12" bestFit="1" customWidth="1"/>
  </cols>
  <sheetData>
    <row r="1" spans="1:38" x14ac:dyDescent="0.4">
      <c r="A1" s="56" t="s">
        <v>100</v>
      </c>
      <c r="B1" s="57"/>
      <c r="C1" s="58"/>
    </row>
    <row r="2" spans="1:38" x14ac:dyDescent="0.4">
      <c r="A2" s="24" t="s">
        <v>61</v>
      </c>
      <c r="B2">
        <v>4.75</v>
      </c>
      <c r="C2" s="24" t="s">
        <v>62</v>
      </c>
    </row>
    <row r="3" spans="1:38" x14ac:dyDescent="0.4">
      <c r="A3" s="25" t="s">
        <v>94</v>
      </c>
      <c r="B3">
        <v>4754</v>
      </c>
      <c r="C3" s="25" t="s">
        <v>63</v>
      </c>
    </row>
    <row r="4" spans="1:38" x14ac:dyDescent="0.4">
      <c r="A4" s="25" t="s">
        <v>64</v>
      </c>
      <c r="B4">
        <v>152000</v>
      </c>
      <c r="C4" s="25" t="s">
        <v>65</v>
      </c>
    </row>
    <row r="5" spans="1:38" x14ac:dyDescent="0.4">
      <c r="A5" s="25" t="s">
        <v>66</v>
      </c>
      <c r="B5">
        <v>1.08</v>
      </c>
      <c r="C5" s="25" t="s">
        <v>67</v>
      </c>
      <c r="D5" s="20">
        <v>45418</v>
      </c>
    </row>
    <row r="6" spans="1:38" x14ac:dyDescent="0.4">
      <c r="A6" s="25"/>
      <c r="C6" s="25"/>
      <c r="D6" s="20"/>
    </row>
    <row r="7" spans="1:38" x14ac:dyDescent="0.4">
      <c r="A7" s="25" t="s">
        <v>68</v>
      </c>
      <c r="B7" s="21">
        <f>B2/B3*10^6</f>
        <v>999.15860328144709</v>
      </c>
      <c r="C7" s="25" t="s">
        <v>69</v>
      </c>
    </row>
    <row r="8" spans="1:38" x14ac:dyDescent="0.4">
      <c r="A8" s="25" t="s">
        <v>13</v>
      </c>
      <c r="B8">
        <v>2</v>
      </c>
      <c r="C8" s="25" t="s">
        <v>70</v>
      </c>
    </row>
    <row r="9" spans="1:38" x14ac:dyDescent="0.4">
      <c r="A9" s="16" t="s">
        <v>14</v>
      </c>
      <c r="B9" s="4">
        <v>6.7000000000000002E-3</v>
      </c>
      <c r="C9" s="16" t="s">
        <v>42</v>
      </c>
    </row>
    <row r="11" spans="1:38" x14ac:dyDescent="0.4">
      <c r="A11" s="13" t="s">
        <v>10</v>
      </c>
      <c r="B11">
        <v>7.0000000000000007E-2</v>
      </c>
    </row>
    <row r="13" spans="1:38" x14ac:dyDescent="0.4">
      <c r="B13" s="9" t="s">
        <v>11</v>
      </c>
      <c r="C13" s="10"/>
      <c r="D13" s="10">
        <v>1</v>
      </c>
      <c r="E13" s="10">
        <v>2</v>
      </c>
      <c r="F13" s="10">
        <v>3</v>
      </c>
      <c r="G13" s="10">
        <v>4</v>
      </c>
      <c r="H13" s="10">
        <v>5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0">
        <v>13</v>
      </c>
      <c r="Q13" s="10">
        <v>14</v>
      </c>
      <c r="R13" s="10">
        <v>15</v>
      </c>
      <c r="S13" s="10">
        <v>16</v>
      </c>
      <c r="T13" s="10">
        <v>17</v>
      </c>
      <c r="U13" s="10">
        <v>18</v>
      </c>
      <c r="V13" s="10">
        <v>19</v>
      </c>
      <c r="W13" s="10">
        <v>20</v>
      </c>
      <c r="X13" s="10">
        <v>21</v>
      </c>
      <c r="Y13" s="10">
        <v>22</v>
      </c>
      <c r="Z13" s="10">
        <v>23</v>
      </c>
      <c r="AA13" s="10">
        <v>24</v>
      </c>
      <c r="AB13" s="10">
        <v>25</v>
      </c>
      <c r="AC13" s="10">
        <v>26</v>
      </c>
      <c r="AD13" s="10">
        <v>27</v>
      </c>
      <c r="AE13" s="10">
        <v>28</v>
      </c>
      <c r="AF13" s="10">
        <v>29</v>
      </c>
      <c r="AG13" s="10">
        <v>30</v>
      </c>
      <c r="AH13" s="10">
        <v>31</v>
      </c>
      <c r="AI13" s="10">
        <v>32</v>
      </c>
      <c r="AJ13" s="10">
        <v>33</v>
      </c>
      <c r="AK13" s="10">
        <v>34</v>
      </c>
      <c r="AL13" s="11">
        <v>35</v>
      </c>
    </row>
    <row r="14" spans="1:38" x14ac:dyDescent="0.4">
      <c r="A14" s="24" t="s">
        <v>12</v>
      </c>
      <c r="B14" s="9">
        <f>B2*10^9</f>
        <v>4750000000</v>
      </c>
      <c r="C14" s="11" t="s">
        <v>71</v>
      </c>
      <c r="D14" s="10">
        <f>B14/(1+B11)^0</f>
        <v>4750000000</v>
      </c>
      <c r="E14" s="10">
        <f>$B$14/(1+$B$11)^D13</f>
        <v>4439252336.4485979</v>
      </c>
      <c r="F14" s="10">
        <f>$B$14/(1+$B$11)^E13</f>
        <v>4148833959.2977552</v>
      </c>
      <c r="G14" s="10">
        <f t="shared" ref="G14:AL14" si="0">$B$14/(1+$B$11)^F13</f>
        <v>3877414915.2315469</v>
      </c>
      <c r="H14" s="10">
        <f t="shared" si="0"/>
        <v>3623752257.2257447</v>
      </c>
      <c r="I14" s="10">
        <f t="shared" si="0"/>
        <v>3386684352.5474248</v>
      </c>
      <c r="J14" s="10">
        <f t="shared" si="0"/>
        <v>3165125563.1284347</v>
      </c>
      <c r="K14" s="10">
        <f t="shared" si="0"/>
        <v>2958061273.951808</v>
      </c>
      <c r="L14" s="10">
        <f t="shared" si="0"/>
        <v>2764543246.6839328</v>
      </c>
      <c r="M14" s="10">
        <f t="shared" si="0"/>
        <v>2583685277.274703</v>
      </c>
      <c r="N14" s="10">
        <f t="shared" si="0"/>
        <v>2414659137.6399097</v>
      </c>
      <c r="O14" s="10">
        <f t="shared" si="0"/>
        <v>2256690782.8410368</v>
      </c>
      <c r="P14" s="10">
        <f t="shared" si="0"/>
        <v>2109056806.3934927</v>
      </c>
      <c r="Q14" s="10">
        <f t="shared" si="0"/>
        <v>1971081127.4705536</v>
      </c>
      <c r="R14" s="10">
        <f t="shared" si="0"/>
        <v>1842131894.8322933</v>
      </c>
      <c r="S14" s="10">
        <f t="shared" si="0"/>
        <v>1721618593.3012085</v>
      </c>
      <c r="T14" s="10">
        <f t="shared" si="0"/>
        <v>1608989339.5338399</v>
      </c>
      <c r="U14" s="10">
        <f t="shared" si="0"/>
        <v>1503728354.7045233</v>
      </c>
      <c r="V14" s="10">
        <f t="shared" si="0"/>
        <v>1405353602.5275917</v>
      </c>
      <c r="W14" s="10">
        <f t="shared" si="0"/>
        <v>1313414581.8014877</v>
      </c>
      <c r="X14" s="10">
        <f t="shared" si="0"/>
        <v>1227490263.3658764</v>
      </c>
      <c r="Y14" s="10">
        <f t="shared" si="0"/>
        <v>1147187162.0241835</v>
      </c>
      <c r="Z14" s="10">
        <f t="shared" si="0"/>
        <v>1072137534.6020406</v>
      </c>
      <c r="AA14" s="10">
        <f t="shared" si="0"/>
        <v>1001997695.8897575</v>
      </c>
      <c r="AB14" s="10">
        <f t="shared" si="0"/>
        <v>936446444.75678265</v>
      </c>
      <c r="AC14" s="10">
        <f t="shared" si="0"/>
        <v>875183593.23063803</v>
      </c>
      <c r="AD14" s="10">
        <f t="shared" si="0"/>
        <v>817928591.80433464</v>
      </c>
      <c r="AE14" s="10">
        <f t="shared" si="0"/>
        <v>764419244.67694807</v>
      </c>
      <c r="AF14" s="10">
        <f t="shared" si="0"/>
        <v>714410509.04387689</v>
      </c>
      <c r="AG14" s="10">
        <f t="shared" si="0"/>
        <v>667673372.93820262</v>
      </c>
      <c r="AH14" s="10">
        <f t="shared" si="0"/>
        <v>623993806.48430157</v>
      </c>
      <c r="AI14" s="10">
        <f t="shared" si="0"/>
        <v>583171781.76102936</v>
      </c>
      <c r="AJ14" s="10">
        <f t="shared" si="0"/>
        <v>545020356.78600883</v>
      </c>
      <c r="AK14" s="10">
        <f t="shared" si="0"/>
        <v>509364819.42617649</v>
      </c>
      <c r="AL14" s="11">
        <f t="shared" si="0"/>
        <v>476041887.31418365</v>
      </c>
    </row>
    <row r="15" spans="1:38" x14ac:dyDescent="0.4">
      <c r="A15" s="25" t="s">
        <v>72</v>
      </c>
      <c r="B15" s="1">
        <f>B8*B5*B7*B4</f>
        <v>328043752.62936467</v>
      </c>
      <c r="C15" s="2" t="s">
        <v>3</v>
      </c>
      <c r="D15">
        <f>B15</f>
        <v>328043752.62936467</v>
      </c>
      <c r="AL15" s="2"/>
    </row>
    <row r="16" spans="1:38" x14ac:dyDescent="0.4">
      <c r="A16" s="16" t="s">
        <v>43</v>
      </c>
      <c r="B16" s="3">
        <f>B15*B9</f>
        <v>2197893.1426167432</v>
      </c>
      <c r="C16" s="5" t="s">
        <v>3</v>
      </c>
      <c r="D16" s="4">
        <f>B16/(1+B11)^0</f>
        <v>2197893.1426167432</v>
      </c>
      <c r="E16" s="4">
        <f>$B$16/(1+$B$11)^D13</f>
        <v>2054105.7407633113</v>
      </c>
      <c r="F16" s="4">
        <f>$B$16/(1+$B$11)^E13</f>
        <v>1919724.9913675808</v>
      </c>
      <c r="G16" s="4">
        <f t="shared" ref="G16:AL16" si="1">$B$16/(1+$B$11)^F13</f>
        <v>1794135.5059510099</v>
      </c>
      <c r="H16" s="4">
        <f t="shared" si="1"/>
        <v>1676762.1550944019</v>
      </c>
      <c r="I16" s="4">
        <f t="shared" si="1"/>
        <v>1567067.4346676653</v>
      </c>
      <c r="J16" s="4">
        <f t="shared" si="1"/>
        <v>1464549.004362304</v>
      </c>
      <c r="K16" s="4">
        <f t="shared" si="1"/>
        <v>1368737.3872544896</v>
      </c>
      <c r="L16" s="4">
        <f t="shared" si="1"/>
        <v>1279193.819864009</v>
      </c>
      <c r="M16" s="4">
        <f t="shared" si="1"/>
        <v>1195508.2428635596</v>
      </c>
      <c r="N16" s="4">
        <f t="shared" si="1"/>
        <v>1117297.4232369717</v>
      </c>
      <c r="O16" s="4">
        <f t="shared" si="1"/>
        <v>1044203.1992868894</v>
      </c>
      <c r="P16" s="4">
        <f t="shared" si="1"/>
        <v>975890.84045503696</v>
      </c>
      <c r="Q16" s="4">
        <f t="shared" si="1"/>
        <v>912047.51444395969</v>
      </c>
      <c r="R16" s="4">
        <f t="shared" si="1"/>
        <v>852380.85462052317</v>
      </c>
      <c r="S16" s="4">
        <f t="shared" si="1"/>
        <v>796617.62114067574</v>
      </c>
      <c r="T16" s="4">
        <f t="shared" si="1"/>
        <v>744502.44966418308</v>
      </c>
      <c r="U16" s="4">
        <f t="shared" si="1"/>
        <v>695796.68192914303</v>
      </c>
      <c r="V16" s="4">
        <f t="shared" si="1"/>
        <v>650277.27283097478</v>
      </c>
      <c r="W16" s="4">
        <f t="shared" si="1"/>
        <v>607735.76900091092</v>
      </c>
      <c r="X16" s="4">
        <f t="shared" si="1"/>
        <v>567977.3542064589</v>
      </c>
      <c r="Y16" s="4">
        <f t="shared" si="1"/>
        <v>530819.95720229798</v>
      </c>
      <c r="Z16" s="4">
        <f t="shared" si="1"/>
        <v>496093.41794607288</v>
      </c>
      <c r="AA16" s="4">
        <f t="shared" si="1"/>
        <v>463638.70836081577</v>
      </c>
      <c r="AB16" s="4">
        <f t="shared" si="1"/>
        <v>433307.20407552877</v>
      </c>
      <c r="AC16" s="4">
        <f t="shared" si="1"/>
        <v>404960.00380890537</v>
      </c>
      <c r="AD16" s="4">
        <f t="shared" si="1"/>
        <v>378467.29327935085</v>
      </c>
      <c r="AE16" s="4">
        <f t="shared" si="1"/>
        <v>353707.75072836521</v>
      </c>
      <c r="AF16" s="4">
        <f t="shared" si="1"/>
        <v>330567.99133492081</v>
      </c>
      <c r="AG16" s="4">
        <f t="shared" si="1"/>
        <v>308942.04797656147</v>
      </c>
      <c r="AH16" s="4">
        <f t="shared" si="1"/>
        <v>288730.8859594033</v>
      </c>
      <c r="AI16" s="4">
        <f t="shared" si="1"/>
        <v>269841.94949476933</v>
      </c>
      <c r="AJ16" s="4">
        <f t="shared" si="1"/>
        <v>252188.73784557887</v>
      </c>
      <c r="AK16" s="4">
        <f t="shared" si="1"/>
        <v>235690.40920147556</v>
      </c>
      <c r="AL16" s="5">
        <f t="shared" si="1"/>
        <v>220271.41046866876</v>
      </c>
    </row>
    <row r="18" spans="1:5" x14ac:dyDescent="0.4">
      <c r="B18" t="s">
        <v>93</v>
      </c>
      <c r="C18" s="6" t="s">
        <v>73</v>
      </c>
      <c r="D18" s="8" t="s">
        <v>74</v>
      </c>
    </row>
    <row r="19" spans="1:5" x14ac:dyDescent="0.4">
      <c r="A19" s="24" t="s">
        <v>18</v>
      </c>
      <c r="B19">
        <f>SUM(D14:R14)</f>
        <v>46290972930.967224</v>
      </c>
      <c r="C19" s="10">
        <f>SUM(D14:AB14)</f>
        <v>59229336503.47451</v>
      </c>
      <c r="D19" s="11">
        <f>SUM(D14:AL14)</f>
        <v>65806544466.940216</v>
      </c>
    </row>
    <row r="20" spans="1:5" x14ac:dyDescent="0.4">
      <c r="A20" s="25" t="s">
        <v>19</v>
      </c>
      <c r="B20">
        <f>SUM(D15:R15)</f>
        <v>328043752.62936467</v>
      </c>
      <c r="C20">
        <f>D15</f>
        <v>328043752.62936467</v>
      </c>
      <c r="D20" s="2">
        <f>D15</f>
        <v>328043752.62936467</v>
      </c>
    </row>
    <row r="21" spans="1:5" x14ac:dyDescent="0.4">
      <c r="A21" s="16" t="s">
        <v>20</v>
      </c>
      <c r="B21">
        <f>SUM(D16:R16)</f>
        <v>21419497.256848458</v>
      </c>
      <c r="C21" s="4">
        <f>SUM(D16:AB16)</f>
        <v>27406263.693205521</v>
      </c>
      <c r="D21" s="5">
        <f>SUM(D16:AL16)</f>
        <v>30449632.173303515</v>
      </c>
    </row>
    <row r="23" spans="1:5" x14ac:dyDescent="0.4">
      <c r="B23" s="9" t="s">
        <v>93</v>
      </c>
      <c r="C23" s="10" t="s">
        <v>73</v>
      </c>
      <c r="D23" s="11" t="s">
        <v>74</v>
      </c>
      <c r="E23" s="20" t="s">
        <v>75</v>
      </c>
    </row>
    <row r="24" spans="1:5" x14ac:dyDescent="0.4">
      <c r="A24" s="46" t="s">
        <v>90</v>
      </c>
      <c r="B24" s="48">
        <f>(B20+B21)/B19</f>
        <v>7.5492742485097578E-3</v>
      </c>
      <c r="C24" s="22">
        <f>(C20+C21)/C19</f>
        <v>6.001249335314077E-3</v>
      </c>
      <c r="D24" s="23">
        <f>(D20+D21)/D19</f>
        <v>5.4476859058108958E-3</v>
      </c>
      <c r="E24" t="s">
        <v>76</v>
      </c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5C85-1AFD-0042-A6ED-5B64A2643447}">
  <dimension ref="A2:D14"/>
  <sheetViews>
    <sheetView topLeftCell="A10" zoomScale="98" workbookViewId="0">
      <selection activeCell="L26" sqref="L26:L27"/>
    </sheetView>
  </sheetViews>
  <sheetFormatPr baseColWidth="10" defaultColWidth="8.83203125" defaultRowHeight="16" x14ac:dyDescent="0.4"/>
  <cols>
    <col min="1" max="1" width="20.33203125" bestFit="1" customWidth="1"/>
    <col min="4" max="4" width="9.33203125" bestFit="1" customWidth="1"/>
  </cols>
  <sheetData>
    <row r="2" spans="1:4" x14ac:dyDescent="0.4">
      <c r="A2" t="s">
        <v>77</v>
      </c>
      <c r="B2">
        <v>33.299999999999997</v>
      </c>
      <c r="D2" t="s">
        <v>78</v>
      </c>
    </row>
    <row r="4" spans="1:4" x14ac:dyDescent="0.4">
      <c r="B4" s="26" t="s">
        <v>87</v>
      </c>
    </row>
    <row r="5" spans="1:4" x14ac:dyDescent="0.4">
      <c r="A5" s="24" t="s">
        <v>0</v>
      </c>
      <c r="B5" s="32">
        <f>'Ship LH2'!C27</f>
        <v>1.1097911952106343</v>
      </c>
      <c r="C5" s="28" t="s">
        <v>24</v>
      </c>
    </row>
    <row r="6" spans="1:4" x14ac:dyDescent="0.4">
      <c r="A6" s="25" t="s">
        <v>98</v>
      </c>
      <c r="B6" s="33">
        <f>'Ship CGH2'!C27</f>
        <v>2.5702111908489318</v>
      </c>
      <c r="C6" s="29" t="s">
        <v>24</v>
      </c>
    </row>
    <row r="7" spans="1:4" x14ac:dyDescent="0.4">
      <c r="A7" s="25" t="s">
        <v>79</v>
      </c>
      <c r="B7" s="33">
        <f>Pipleline!B35</f>
        <v>0.12813386288305917</v>
      </c>
      <c r="C7" s="29" t="s">
        <v>24</v>
      </c>
    </row>
    <row r="8" spans="1:4" x14ac:dyDescent="0.4">
      <c r="A8" s="16" t="s">
        <v>100</v>
      </c>
      <c r="B8" s="34">
        <f>B14*B2</f>
        <v>0.19984160286595876</v>
      </c>
      <c r="C8" s="29" t="s">
        <v>24</v>
      </c>
    </row>
    <row r="10" spans="1:4" x14ac:dyDescent="0.4">
      <c r="B10" s="26" t="s">
        <v>90</v>
      </c>
      <c r="C10" s="4"/>
    </row>
    <row r="11" spans="1:4" x14ac:dyDescent="0.4">
      <c r="A11" s="24" t="s">
        <v>0</v>
      </c>
      <c r="B11" s="35">
        <f>B5/B2</f>
        <v>3.3327062919238273E-2</v>
      </c>
      <c r="C11" s="11" t="s">
        <v>76</v>
      </c>
    </row>
    <row r="12" spans="1:4" x14ac:dyDescent="0.4">
      <c r="A12" s="25" t="s">
        <v>98</v>
      </c>
      <c r="B12" s="36">
        <f>B6/B2</f>
        <v>7.7183519244712673E-2</v>
      </c>
      <c r="C12" s="2" t="s">
        <v>76</v>
      </c>
    </row>
    <row r="13" spans="1:4" x14ac:dyDescent="0.4">
      <c r="A13" s="25" t="s">
        <v>79</v>
      </c>
      <c r="B13" s="36">
        <f>B7/B2</f>
        <v>3.8478637502420174E-3</v>
      </c>
      <c r="C13" s="2" t="s">
        <v>76</v>
      </c>
    </row>
    <row r="14" spans="1:4" x14ac:dyDescent="0.4">
      <c r="A14" s="16" t="s">
        <v>100</v>
      </c>
      <c r="B14" s="30">
        <f>'Submarine power cable'!C24</f>
        <v>6.001249335314077E-3</v>
      </c>
      <c r="C14" s="5" t="s">
        <v>76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C56A56F50E1C4FABCF2E7C20A3BB8F" ma:contentTypeVersion="6" ma:contentTypeDescription="Opprett et nytt dokument." ma:contentTypeScope="" ma:versionID="2098dd7376d78339ca58f5438fa13c39">
  <xsd:schema xmlns:xsd="http://www.w3.org/2001/XMLSchema" xmlns:xs="http://www.w3.org/2001/XMLSchema" xmlns:p="http://schemas.microsoft.com/office/2006/metadata/properties" xmlns:ns2="842ad3a4-eb8e-4e64-8f7e-8406b7a8232c" xmlns:ns3="7abd6f5d-178c-42f7-9967-3f40f2874f38" targetNamespace="http://schemas.microsoft.com/office/2006/metadata/properties" ma:root="true" ma:fieldsID="009557f851e455a637f9c59c432de24d" ns2:_="" ns3:_="">
    <xsd:import namespace="842ad3a4-eb8e-4e64-8f7e-8406b7a8232c"/>
    <xsd:import namespace="7abd6f5d-178c-42f7-9967-3f40f2874f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d3a4-eb8e-4e64-8f7e-8406b7a82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d6f5d-178c-42f7-9967-3f40f2874f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E0A802-1D01-4325-B127-D24D7F20D7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F5FE87-DCA4-40A6-8567-5D8BE6BA7977}">
  <ds:schemaRefs>
    <ds:schemaRef ds:uri="http://purl.org/dc/dcmitype/"/>
    <ds:schemaRef ds:uri="http://purl.org/dc/elements/1.1/"/>
    <ds:schemaRef ds:uri="7abd6f5d-178c-42f7-9967-3f40f2874f3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42ad3a4-eb8e-4e64-8f7e-8406b7a8232c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72A8F2-50DC-461B-A1C9-314A0EA46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ad3a4-eb8e-4e64-8f7e-8406b7a8232c"/>
    <ds:schemaRef ds:uri="7abd6f5d-178c-42f7-9967-3f40f287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Ship LH2</vt:lpstr>
      <vt:lpstr>Ship CGH2</vt:lpstr>
      <vt:lpstr>Pipleline</vt:lpstr>
      <vt:lpstr>Submarine power cable</vt:lpstr>
      <vt:lpstr>LCOHT - LCOET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Dorthea Ting Arnø Sandvik</dc:creator>
  <cp:keywords/>
  <dc:description/>
  <cp:lastModifiedBy>Dorthea Ting Arnø Sandvik</cp:lastModifiedBy>
  <cp:revision/>
  <cp:lastPrinted>2024-05-21T09:55:46Z</cp:lastPrinted>
  <dcterms:created xsi:type="dcterms:W3CDTF">2024-04-18T14:06:17Z</dcterms:created>
  <dcterms:modified xsi:type="dcterms:W3CDTF">2024-05-21T09:58:00Z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0x010100D5C56A56F50E1C4FABCF2E7C20A3BB8F</vt:lpwstr>
  </property>
</Properties>
</file>