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https://d.docs.live.net/43d6b78040e8c54e/Dokumenter/6. SEMESTER BIOINGENIØR HVL/Bachelor oppgave - Fag/mappe uten navn/"/>
    </mc:Choice>
  </mc:AlternateContent>
  <xr:revisionPtr revIDLastSave="0" documentId="8_{66AFF0DF-99B8-194E-A070-55C5C19D0AC8}" xr6:coauthVersionLast="47" xr6:coauthVersionMax="47" xr10:uidLastSave="{00000000-0000-0000-0000-000000000000}"/>
  <bookViews>
    <workbookView xWindow="0" yWindow="500" windowWidth="28800" windowHeight="17500" activeTab="6" xr2:uid="{C9ED95B5-37F3-B840-9186-3F16F6769DE8}"/>
  </bookViews>
  <sheets>
    <sheet name="PCR - Rådata" sheetId="14" r:id="rId1"/>
    <sheet name="Resultater - Rådata" sheetId="15" r:id="rId2"/>
    <sheet name="Isohelix" sheetId="16" r:id="rId3"/>
    <sheet name="Oracollect" sheetId="17" r:id="rId4"/>
    <sheet name="Oragene" sheetId="18" r:id="rId5"/>
    <sheet name="Sammenligning av munnhuleavskra" sheetId="19" r:id="rId6"/>
    <sheet name="Renhet i prøvene" sheetId="21" r:id="rId7"/>
  </sheets>
  <externalReferences>
    <externalReference r:id="rId8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21" l="1"/>
  <c r="D14" i="21"/>
  <c r="D13" i="21"/>
  <c r="E15" i="21"/>
  <c r="E14" i="21"/>
  <c r="E13" i="21"/>
  <c r="J22" i="14"/>
  <c r="J21" i="14"/>
  <c r="J11" i="14"/>
  <c r="G45" i="16" l="1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44" i="16"/>
  <c r="G43" i="16"/>
  <c r="G42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44" i="16"/>
  <c r="F43" i="16"/>
  <c r="F42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44" i="16"/>
  <c r="E43" i="16"/>
  <c r="E42" i="16"/>
  <c r="N36" i="16"/>
  <c r="L36" i="16"/>
  <c r="K36" i="16"/>
  <c r="J36" i="16"/>
  <c r="H36" i="16"/>
  <c r="G36" i="16"/>
  <c r="F36" i="16"/>
  <c r="D36" i="16"/>
  <c r="O34" i="16"/>
  <c r="L34" i="16"/>
  <c r="I34" i="16"/>
  <c r="E34" i="16"/>
  <c r="O33" i="16"/>
  <c r="L33" i="16"/>
  <c r="I33" i="16"/>
  <c r="E33" i="16"/>
  <c r="O32" i="16"/>
  <c r="L32" i="16"/>
  <c r="I32" i="16"/>
  <c r="E32" i="16"/>
  <c r="O31" i="16"/>
  <c r="L31" i="16"/>
  <c r="I31" i="16"/>
  <c r="E31" i="16"/>
  <c r="O30" i="16"/>
  <c r="L30" i="16"/>
  <c r="I30" i="16"/>
  <c r="E30" i="16"/>
  <c r="O29" i="16"/>
  <c r="L29" i="16"/>
  <c r="I29" i="16"/>
  <c r="E29" i="16"/>
  <c r="O28" i="16"/>
  <c r="L28" i="16"/>
  <c r="I28" i="16"/>
  <c r="E28" i="16"/>
  <c r="O27" i="16"/>
  <c r="L27" i="16"/>
  <c r="I27" i="16"/>
  <c r="E27" i="16"/>
  <c r="O26" i="16"/>
  <c r="L26" i="16"/>
  <c r="I26" i="16"/>
  <c r="E26" i="16"/>
  <c r="O25" i="16"/>
  <c r="L25" i="16"/>
  <c r="I25" i="16"/>
  <c r="E25" i="16"/>
  <c r="O24" i="16"/>
  <c r="L24" i="16"/>
  <c r="I24" i="16"/>
  <c r="E24" i="16"/>
  <c r="O23" i="16"/>
  <c r="L23" i="16"/>
  <c r="I23" i="16"/>
  <c r="E23" i="16"/>
  <c r="O22" i="16"/>
  <c r="L22" i="16"/>
  <c r="I22" i="16"/>
  <c r="E22" i="16"/>
  <c r="O21" i="16"/>
  <c r="L21" i="16"/>
  <c r="I21" i="16"/>
  <c r="E21" i="16"/>
  <c r="O20" i="16"/>
  <c r="L20" i="16"/>
  <c r="I20" i="16"/>
  <c r="E20" i="16"/>
  <c r="O19" i="16"/>
  <c r="L19" i="16"/>
  <c r="I19" i="16"/>
  <c r="E19" i="16"/>
  <c r="O18" i="16"/>
  <c r="L18" i="16"/>
  <c r="I18" i="16"/>
  <c r="E18" i="16"/>
  <c r="O17" i="16"/>
  <c r="L17" i="16"/>
  <c r="I17" i="16"/>
  <c r="E17" i="16"/>
  <c r="O16" i="16"/>
  <c r="L16" i="16"/>
  <c r="I16" i="16"/>
  <c r="E16" i="16"/>
  <c r="O15" i="16"/>
  <c r="L15" i="16"/>
  <c r="I15" i="16"/>
  <c r="E15" i="16"/>
  <c r="O14" i="16"/>
  <c r="L14" i="16"/>
  <c r="I14" i="16"/>
  <c r="E14" i="16"/>
  <c r="O13" i="16"/>
  <c r="L13" i="16"/>
  <c r="I13" i="16"/>
  <c r="E13" i="16"/>
  <c r="O12" i="16"/>
  <c r="L12" i="16"/>
  <c r="I12" i="16"/>
  <c r="E12" i="16"/>
  <c r="O11" i="16"/>
  <c r="L11" i="16"/>
  <c r="I11" i="16"/>
  <c r="E11" i="16"/>
  <c r="O10" i="16"/>
  <c r="L10" i="16"/>
  <c r="I10" i="16"/>
  <c r="E10" i="16"/>
  <c r="O9" i="16"/>
  <c r="L9" i="16"/>
  <c r="I9" i="16"/>
  <c r="E9" i="16"/>
  <c r="O8" i="16"/>
  <c r="L8" i="16"/>
  <c r="I8" i="16"/>
  <c r="E8" i="16"/>
  <c r="O7" i="16"/>
  <c r="L7" i="16"/>
  <c r="I7" i="16"/>
  <c r="E7" i="16"/>
  <c r="O6" i="16"/>
  <c r="L6" i="16"/>
  <c r="I6" i="16"/>
  <c r="E6" i="16"/>
  <c r="O5" i="16"/>
  <c r="O36" i="16" s="1"/>
  <c r="L5" i="16"/>
  <c r="I5" i="16"/>
  <c r="I36" i="16" s="1"/>
  <c r="E5" i="16"/>
  <c r="E36" i="16" s="1"/>
  <c r="AJ36" i="15"/>
  <c r="U36" i="15"/>
  <c r="F36" i="15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F46" i="18"/>
  <c r="F45" i="18"/>
  <c r="F44" i="18"/>
  <c r="F43" i="18"/>
  <c r="F42" i="18"/>
  <c r="E46" i="18"/>
  <c r="E45" i="18"/>
  <c r="E44" i="18"/>
  <c r="E43" i="18"/>
  <c r="E42" i="18"/>
  <c r="D45" i="18"/>
  <c r="D44" i="18"/>
  <c r="D43" i="18"/>
  <c r="D42" i="18"/>
  <c r="C45" i="18"/>
  <c r="C44" i="18"/>
  <c r="C43" i="18"/>
  <c r="C42" i="18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49" i="17"/>
  <c r="F46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49" i="17"/>
  <c r="E48" i="17"/>
  <c r="E47" i="17"/>
  <c r="E46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50" i="17"/>
  <c r="D49" i="17"/>
  <c r="D48" i="17"/>
  <c r="D47" i="17"/>
  <c r="D46" i="17"/>
  <c r="C75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F48" i="17"/>
  <c r="F47" i="17"/>
  <c r="C48" i="17"/>
  <c r="C47" i="17"/>
  <c r="C46" i="17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44" i="16"/>
  <c r="D43" i="16"/>
  <c r="D42" i="16"/>
  <c r="AF6" i="18"/>
  <c r="AF5" i="18"/>
  <c r="AE6" i="18"/>
  <c r="AE5" i="18"/>
  <c r="AD8" i="18"/>
  <c r="AD9" i="18"/>
  <c r="AD10" i="18"/>
  <c r="AD11" i="18"/>
  <c r="AF11" i="18" s="1"/>
  <c r="AD12" i="18"/>
  <c r="AD13" i="18"/>
  <c r="AD14" i="18"/>
  <c r="AF14" i="18" s="1"/>
  <c r="AD15" i="18"/>
  <c r="AF15" i="18" s="1"/>
  <c r="AD16" i="18"/>
  <c r="AD17" i="18"/>
  <c r="AD18" i="18"/>
  <c r="AF18" i="18" s="1"/>
  <c r="AD19" i="18"/>
  <c r="AF19" i="18" s="1"/>
  <c r="AD20" i="18"/>
  <c r="AD21" i="18"/>
  <c r="AD22" i="18"/>
  <c r="AD23" i="18"/>
  <c r="AD24" i="18"/>
  <c r="AD25" i="18"/>
  <c r="AD26" i="18"/>
  <c r="AD27" i="18"/>
  <c r="AF27" i="18" s="1"/>
  <c r="AD28" i="18"/>
  <c r="AD29" i="18"/>
  <c r="AD30" i="18"/>
  <c r="AF30" i="18" s="1"/>
  <c r="AD31" i="18"/>
  <c r="AF31" i="18" s="1"/>
  <c r="AD32" i="18"/>
  <c r="AD33" i="18"/>
  <c r="AD34" i="18"/>
  <c r="AD7" i="18"/>
  <c r="AD6" i="18"/>
  <c r="AD5" i="18"/>
  <c r="AF7" i="18"/>
  <c r="AD36" i="17"/>
  <c r="AF10" i="18"/>
  <c r="AF12" i="18"/>
  <c r="AF16" i="18"/>
  <c r="AF20" i="18"/>
  <c r="AF23" i="18"/>
  <c r="AF28" i="18"/>
  <c r="AF32" i="18"/>
  <c r="AF34" i="18"/>
  <c r="AF33" i="18"/>
  <c r="AF29" i="18"/>
  <c r="AF26" i="18"/>
  <c r="AF25" i="18"/>
  <c r="AF24" i="18"/>
  <c r="AF22" i="18"/>
  <c r="AF21" i="18"/>
  <c r="AF17" i="18"/>
  <c r="AF13" i="18"/>
  <c r="AF9" i="18"/>
  <c r="AF8" i="18"/>
  <c r="AD8" i="17"/>
  <c r="AD12" i="17"/>
  <c r="AD16" i="17"/>
  <c r="AD20" i="17"/>
  <c r="AD24" i="17"/>
  <c r="AD28" i="17"/>
  <c r="AD32" i="17"/>
  <c r="AD6" i="17"/>
  <c r="AD5" i="17"/>
  <c r="AB8" i="17"/>
  <c r="AB9" i="17"/>
  <c r="AD9" i="17" s="1"/>
  <c r="AB10" i="17"/>
  <c r="AD10" i="17" s="1"/>
  <c r="AB11" i="17"/>
  <c r="AD11" i="17" s="1"/>
  <c r="AB12" i="17"/>
  <c r="AB13" i="17"/>
  <c r="AD13" i="17" s="1"/>
  <c r="AB14" i="17"/>
  <c r="AD14" i="17" s="1"/>
  <c r="AB15" i="17"/>
  <c r="AD15" i="17" s="1"/>
  <c r="AB16" i="17"/>
  <c r="AB17" i="17"/>
  <c r="AD17" i="17" s="1"/>
  <c r="AB18" i="17"/>
  <c r="AD18" i="17" s="1"/>
  <c r="AB19" i="17"/>
  <c r="AD19" i="17" s="1"/>
  <c r="AB20" i="17"/>
  <c r="AB21" i="17"/>
  <c r="AD21" i="17" s="1"/>
  <c r="AB22" i="17"/>
  <c r="AD22" i="17" s="1"/>
  <c r="AB23" i="17"/>
  <c r="AD23" i="17" s="1"/>
  <c r="AB24" i="17"/>
  <c r="AB25" i="17"/>
  <c r="AD25" i="17" s="1"/>
  <c r="AB26" i="17"/>
  <c r="AD26" i="17" s="1"/>
  <c r="AB27" i="17"/>
  <c r="AD27" i="17" s="1"/>
  <c r="AB28" i="17"/>
  <c r="AB29" i="17"/>
  <c r="AD29" i="17" s="1"/>
  <c r="AB30" i="17"/>
  <c r="AD30" i="17" s="1"/>
  <c r="AB31" i="17"/>
  <c r="AD31" i="17" s="1"/>
  <c r="AB32" i="17"/>
  <c r="AB33" i="17"/>
  <c r="AD33" i="17" s="1"/>
  <c r="AB34" i="17"/>
  <c r="AD34" i="17" s="1"/>
  <c r="AB7" i="17"/>
  <c r="AD7" i="17" s="1"/>
  <c r="AB6" i="17"/>
  <c r="AB5" i="17"/>
  <c r="AI4" i="16"/>
  <c r="AH7" i="16"/>
  <c r="AH8" i="16"/>
  <c r="AJ8" i="16" s="1"/>
  <c r="AH9" i="16"/>
  <c r="AH10" i="16"/>
  <c r="AH11" i="16"/>
  <c r="AJ11" i="16" s="1"/>
  <c r="AH12" i="16"/>
  <c r="AJ12" i="16" s="1"/>
  <c r="AH13" i="16"/>
  <c r="AH14" i="16"/>
  <c r="AH15" i="16"/>
  <c r="AJ15" i="16" s="1"/>
  <c r="AH16" i="16"/>
  <c r="AJ16" i="16" s="1"/>
  <c r="AH17" i="16"/>
  <c r="AH18" i="16"/>
  <c r="AH19" i="16"/>
  <c r="AJ19" i="16" s="1"/>
  <c r="AH20" i="16"/>
  <c r="AJ20" i="16" s="1"/>
  <c r="AH21" i="16"/>
  <c r="AJ21" i="16" s="1"/>
  <c r="AH22" i="16"/>
  <c r="AJ22" i="16" s="1"/>
  <c r="AH23" i="16"/>
  <c r="AJ23" i="16" s="1"/>
  <c r="AH24" i="16"/>
  <c r="AJ24" i="16" s="1"/>
  <c r="AH25" i="16"/>
  <c r="AJ25" i="16" s="1"/>
  <c r="AH26" i="16"/>
  <c r="AH27" i="16"/>
  <c r="AJ27" i="16" s="1"/>
  <c r="AH28" i="16"/>
  <c r="AJ28" i="16" s="1"/>
  <c r="AH29" i="16"/>
  <c r="AH30" i="16"/>
  <c r="AH31" i="16"/>
  <c r="AJ31" i="16" s="1"/>
  <c r="AH32" i="16"/>
  <c r="AJ32" i="16" s="1"/>
  <c r="AH33" i="16"/>
  <c r="AH6" i="16"/>
  <c r="AJ6" i="16" s="1"/>
  <c r="AH5" i="16"/>
  <c r="AJ5" i="16" s="1"/>
  <c r="AH4" i="16"/>
  <c r="AJ9" i="16"/>
  <c r="AJ7" i="16"/>
  <c r="BN42" i="14"/>
  <c r="BN41" i="14"/>
  <c r="P41" i="14"/>
  <c r="AC5" i="15"/>
  <c r="AK36" i="15"/>
  <c r="AM36" i="15"/>
  <c r="AN36" i="15"/>
  <c r="AQ36" i="15"/>
  <c r="AI36" i="15"/>
  <c r="AG36" i="15"/>
  <c r="M36" i="15"/>
  <c r="R36" i="15"/>
  <c r="T36" i="15"/>
  <c r="V36" i="15"/>
  <c r="X36" i="15"/>
  <c r="Y36" i="15"/>
  <c r="AB36" i="15"/>
  <c r="J36" i="15"/>
  <c r="I36" i="15"/>
  <c r="G36" i="15"/>
  <c r="E36" i="15"/>
  <c r="C36" i="15"/>
  <c r="AJ4" i="16" l="1"/>
  <c r="AF36" i="18"/>
  <c r="AJ33" i="16"/>
  <c r="AJ29" i="16"/>
  <c r="AJ17" i="16"/>
  <c r="AJ13" i="16"/>
  <c r="AJ30" i="16"/>
  <c r="AJ26" i="16"/>
  <c r="AJ18" i="16"/>
  <c r="AJ14" i="16"/>
  <c r="AJ10" i="16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6" i="19"/>
  <c r="C7" i="19"/>
  <c r="C5" i="19"/>
  <c r="C4" i="19"/>
  <c r="AE7" i="19"/>
  <c r="AF4" i="19" s="1"/>
  <c r="Y33" i="19"/>
  <c r="Y32" i="19"/>
  <c r="Y31" i="19"/>
  <c r="Y30" i="19"/>
  <c r="Y29" i="19"/>
  <c r="Y28" i="19"/>
  <c r="Y27" i="19"/>
  <c r="Y26" i="19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7" i="19"/>
  <c r="Y6" i="19"/>
  <c r="Y5" i="19"/>
  <c r="Y4" i="19"/>
  <c r="R33" i="19"/>
  <c r="R32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R11" i="19"/>
  <c r="R10" i="19"/>
  <c r="R9" i="19"/>
  <c r="R8" i="19"/>
  <c r="R7" i="19"/>
  <c r="R6" i="19"/>
  <c r="R5" i="19"/>
  <c r="R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  <c r="K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X33" i="19"/>
  <c r="X32" i="19"/>
  <c r="X31" i="19"/>
  <c r="X30" i="19"/>
  <c r="X29" i="19"/>
  <c r="X28" i="19"/>
  <c r="X27" i="19"/>
  <c r="X26" i="19"/>
  <c r="X25" i="19"/>
  <c r="X24" i="19"/>
  <c r="X23" i="19"/>
  <c r="X22" i="19"/>
  <c r="X21" i="19"/>
  <c r="X20" i="19"/>
  <c r="X19" i="19"/>
  <c r="X18" i="19"/>
  <c r="X17" i="19"/>
  <c r="X16" i="19"/>
  <c r="X15" i="19"/>
  <c r="X14" i="19"/>
  <c r="X13" i="19"/>
  <c r="X12" i="19"/>
  <c r="X11" i="19"/>
  <c r="X10" i="19"/>
  <c r="X9" i="19"/>
  <c r="X8" i="19"/>
  <c r="X7" i="19"/>
  <c r="X6" i="19"/>
  <c r="X5" i="19"/>
  <c r="X4" i="19"/>
  <c r="Q33" i="19"/>
  <c r="Q32" i="19"/>
  <c r="Q31" i="19"/>
  <c r="Q30" i="19"/>
  <c r="Q29" i="19"/>
  <c r="Q28" i="19"/>
  <c r="Q27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4" i="19"/>
  <c r="Q13" i="19"/>
  <c r="Q12" i="19"/>
  <c r="Q11" i="19"/>
  <c r="Q10" i="19"/>
  <c r="Q9" i="19"/>
  <c r="Q8" i="19"/>
  <c r="Q7" i="19"/>
  <c r="Q6" i="19"/>
  <c r="Q5" i="19"/>
  <c r="Q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H36" i="18"/>
  <c r="E36" i="18"/>
  <c r="M34" i="18"/>
  <c r="J34" i="18"/>
  <c r="G34" i="18"/>
  <c r="D34" i="18"/>
  <c r="M33" i="18"/>
  <c r="J33" i="18"/>
  <c r="G33" i="18"/>
  <c r="D33" i="18"/>
  <c r="M32" i="18"/>
  <c r="J32" i="18"/>
  <c r="G32" i="18"/>
  <c r="D32" i="18"/>
  <c r="M31" i="18"/>
  <c r="J31" i="18"/>
  <c r="G31" i="18"/>
  <c r="D31" i="18"/>
  <c r="M30" i="18"/>
  <c r="J30" i="18"/>
  <c r="G30" i="18"/>
  <c r="D30" i="18"/>
  <c r="M29" i="18"/>
  <c r="J29" i="18"/>
  <c r="G29" i="18"/>
  <c r="D29" i="18"/>
  <c r="M28" i="18"/>
  <c r="J28" i="18"/>
  <c r="G28" i="18"/>
  <c r="D28" i="18"/>
  <c r="M27" i="18"/>
  <c r="J27" i="18"/>
  <c r="G27" i="18"/>
  <c r="D27" i="18"/>
  <c r="M26" i="18"/>
  <c r="J26" i="18"/>
  <c r="G26" i="18"/>
  <c r="D26" i="18"/>
  <c r="M25" i="18"/>
  <c r="J25" i="18"/>
  <c r="G25" i="18"/>
  <c r="D25" i="18"/>
  <c r="M24" i="18"/>
  <c r="J24" i="18"/>
  <c r="G24" i="18"/>
  <c r="D24" i="18"/>
  <c r="M23" i="18"/>
  <c r="J23" i="18"/>
  <c r="G23" i="18"/>
  <c r="D23" i="18"/>
  <c r="M22" i="18"/>
  <c r="J22" i="18"/>
  <c r="G22" i="18"/>
  <c r="D22" i="18"/>
  <c r="M21" i="18"/>
  <c r="J21" i="18"/>
  <c r="G21" i="18"/>
  <c r="D21" i="18"/>
  <c r="M20" i="18"/>
  <c r="J20" i="18"/>
  <c r="G20" i="18"/>
  <c r="D20" i="18"/>
  <c r="M19" i="18"/>
  <c r="J19" i="18"/>
  <c r="G19" i="18"/>
  <c r="D19" i="18"/>
  <c r="M18" i="18"/>
  <c r="J18" i="18"/>
  <c r="G18" i="18"/>
  <c r="D18" i="18"/>
  <c r="M17" i="18"/>
  <c r="J17" i="18"/>
  <c r="G17" i="18"/>
  <c r="D17" i="18"/>
  <c r="M16" i="18"/>
  <c r="J16" i="18"/>
  <c r="G16" i="18"/>
  <c r="D16" i="18"/>
  <c r="M15" i="18"/>
  <c r="J15" i="18"/>
  <c r="G15" i="18"/>
  <c r="D15" i="18"/>
  <c r="M14" i="18"/>
  <c r="J14" i="18"/>
  <c r="G14" i="18"/>
  <c r="D14" i="18"/>
  <c r="M13" i="18"/>
  <c r="J13" i="18"/>
  <c r="G13" i="18"/>
  <c r="D13" i="18"/>
  <c r="M12" i="18"/>
  <c r="J12" i="18"/>
  <c r="G12" i="18"/>
  <c r="D12" i="18"/>
  <c r="M11" i="18"/>
  <c r="J11" i="18"/>
  <c r="G11" i="18"/>
  <c r="D11" i="18"/>
  <c r="M10" i="18"/>
  <c r="J10" i="18"/>
  <c r="G10" i="18"/>
  <c r="D10" i="18"/>
  <c r="M9" i="18"/>
  <c r="J9" i="18"/>
  <c r="G9" i="18"/>
  <c r="D9" i="18"/>
  <c r="M8" i="18"/>
  <c r="J8" i="18"/>
  <c r="G8" i="18"/>
  <c r="D8" i="18"/>
  <c r="M7" i="18"/>
  <c r="J7" i="18"/>
  <c r="G7" i="18"/>
  <c r="D7" i="18"/>
  <c r="M6" i="18"/>
  <c r="J6" i="18"/>
  <c r="G6" i="18"/>
  <c r="D6" i="18"/>
  <c r="M5" i="18"/>
  <c r="J5" i="18"/>
  <c r="G5" i="18"/>
  <c r="D5" i="18"/>
  <c r="H37" i="17"/>
  <c r="E37" i="17"/>
  <c r="M35" i="17"/>
  <c r="J35" i="17"/>
  <c r="G35" i="17"/>
  <c r="D35" i="17"/>
  <c r="M34" i="17"/>
  <c r="J34" i="17"/>
  <c r="G34" i="17"/>
  <c r="D34" i="17"/>
  <c r="M33" i="17"/>
  <c r="J33" i="17"/>
  <c r="G33" i="17"/>
  <c r="D33" i="17"/>
  <c r="M32" i="17"/>
  <c r="J32" i="17"/>
  <c r="G32" i="17"/>
  <c r="D32" i="17"/>
  <c r="M31" i="17"/>
  <c r="J31" i="17"/>
  <c r="G31" i="17"/>
  <c r="D31" i="17"/>
  <c r="M30" i="17"/>
  <c r="J30" i="17"/>
  <c r="G30" i="17"/>
  <c r="D30" i="17"/>
  <c r="M29" i="17"/>
  <c r="J29" i="17"/>
  <c r="G29" i="17"/>
  <c r="D29" i="17"/>
  <c r="M28" i="17"/>
  <c r="J28" i="17"/>
  <c r="G28" i="17"/>
  <c r="D28" i="17"/>
  <c r="M27" i="17"/>
  <c r="J27" i="17"/>
  <c r="G27" i="17"/>
  <c r="D27" i="17"/>
  <c r="M26" i="17"/>
  <c r="J26" i="17"/>
  <c r="G26" i="17"/>
  <c r="D26" i="17"/>
  <c r="M25" i="17"/>
  <c r="J25" i="17"/>
  <c r="G25" i="17"/>
  <c r="D25" i="17"/>
  <c r="M24" i="17"/>
  <c r="J24" i="17"/>
  <c r="G24" i="17"/>
  <c r="D24" i="17"/>
  <c r="M23" i="17"/>
  <c r="J23" i="17"/>
  <c r="G23" i="17"/>
  <c r="D23" i="17"/>
  <c r="M22" i="17"/>
  <c r="J22" i="17"/>
  <c r="G22" i="17"/>
  <c r="D22" i="17"/>
  <c r="M21" i="17"/>
  <c r="J21" i="17"/>
  <c r="G21" i="17"/>
  <c r="D21" i="17"/>
  <c r="M20" i="17"/>
  <c r="J20" i="17"/>
  <c r="G20" i="17"/>
  <c r="D20" i="17"/>
  <c r="M19" i="17"/>
  <c r="J19" i="17"/>
  <c r="G19" i="17"/>
  <c r="D19" i="17"/>
  <c r="M18" i="17"/>
  <c r="J18" i="17"/>
  <c r="G18" i="17"/>
  <c r="D18" i="17"/>
  <c r="M17" i="17"/>
  <c r="J17" i="17"/>
  <c r="G17" i="17"/>
  <c r="D17" i="17"/>
  <c r="M16" i="17"/>
  <c r="J16" i="17"/>
  <c r="G16" i="17"/>
  <c r="D16" i="17"/>
  <c r="M15" i="17"/>
  <c r="J15" i="17"/>
  <c r="G15" i="17"/>
  <c r="D15" i="17"/>
  <c r="M14" i="17"/>
  <c r="J14" i="17"/>
  <c r="G14" i="17"/>
  <c r="D14" i="17"/>
  <c r="M13" i="17"/>
  <c r="J13" i="17"/>
  <c r="G13" i="17"/>
  <c r="D13" i="17"/>
  <c r="M12" i="17"/>
  <c r="J12" i="17"/>
  <c r="G12" i="17"/>
  <c r="D12" i="17"/>
  <c r="M11" i="17"/>
  <c r="J11" i="17"/>
  <c r="G11" i="17"/>
  <c r="D11" i="17"/>
  <c r="M10" i="17"/>
  <c r="J10" i="17"/>
  <c r="G10" i="17"/>
  <c r="D10" i="17"/>
  <c r="M9" i="17"/>
  <c r="J9" i="17"/>
  <c r="G9" i="17"/>
  <c r="D9" i="17"/>
  <c r="M8" i="17"/>
  <c r="J8" i="17"/>
  <c r="G8" i="17"/>
  <c r="D8" i="17"/>
  <c r="M7" i="17"/>
  <c r="J7" i="17"/>
  <c r="G7" i="17"/>
  <c r="D7" i="17"/>
  <c r="M6" i="17"/>
  <c r="J6" i="17"/>
  <c r="G6" i="17"/>
  <c r="D6" i="17"/>
  <c r="AR8" i="15"/>
  <c r="AR9" i="15"/>
  <c r="AR10" i="15"/>
  <c r="AR11" i="15"/>
  <c r="AR12" i="15"/>
  <c r="AR13" i="15"/>
  <c r="AR14" i="15"/>
  <c r="AR15" i="15"/>
  <c r="AR16" i="15"/>
  <c r="AR17" i="15"/>
  <c r="AR18" i="15"/>
  <c r="AR19" i="15"/>
  <c r="AR20" i="15"/>
  <c r="AR21" i="15"/>
  <c r="AR22" i="15"/>
  <c r="AR23" i="15"/>
  <c r="AR24" i="15"/>
  <c r="AR25" i="15"/>
  <c r="AR26" i="15"/>
  <c r="AR27" i="15"/>
  <c r="AR28" i="15"/>
  <c r="AR29" i="15"/>
  <c r="AR30" i="15"/>
  <c r="AR31" i="15"/>
  <c r="AR32" i="15"/>
  <c r="AR33" i="15"/>
  <c r="AR34" i="15"/>
  <c r="AR7" i="15"/>
  <c r="AR6" i="15"/>
  <c r="AR5" i="15"/>
  <c r="AH8" i="15"/>
  <c r="AH9" i="15"/>
  <c r="AH10" i="15"/>
  <c r="AH11" i="15"/>
  <c r="AH12" i="15"/>
  <c r="AH13" i="15"/>
  <c r="AH14" i="15"/>
  <c r="AH15" i="15"/>
  <c r="AH16" i="15"/>
  <c r="AH17" i="15"/>
  <c r="AH18" i="15"/>
  <c r="AH19" i="15"/>
  <c r="AH20" i="15"/>
  <c r="AH21" i="15"/>
  <c r="AH22" i="15"/>
  <c r="AH23" i="15"/>
  <c r="AH24" i="15"/>
  <c r="AH25" i="15"/>
  <c r="AH26" i="15"/>
  <c r="AH27" i="15"/>
  <c r="AH28" i="15"/>
  <c r="AH29" i="15"/>
  <c r="AH30" i="15"/>
  <c r="AH31" i="15"/>
  <c r="AH32" i="15"/>
  <c r="AH33" i="15"/>
  <c r="AH34" i="15"/>
  <c r="AH7" i="15"/>
  <c r="AH6" i="15"/>
  <c r="AH5" i="15"/>
  <c r="AL8" i="15"/>
  <c r="AL9" i="15"/>
  <c r="AL10" i="15"/>
  <c r="AL11" i="15"/>
  <c r="AL12" i="15"/>
  <c r="AL13" i="15"/>
  <c r="AL14" i="15"/>
  <c r="AL15" i="15"/>
  <c r="AL16" i="15"/>
  <c r="AL17" i="15"/>
  <c r="AL18" i="15"/>
  <c r="AL19" i="15"/>
  <c r="AL20" i="15"/>
  <c r="AL21" i="15"/>
  <c r="AL22" i="15"/>
  <c r="AL23" i="15"/>
  <c r="AL24" i="15"/>
  <c r="AL25" i="15"/>
  <c r="AL26" i="15"/>
  <c r="AL27" i="15"/>
  <c r="AL28" i="15"/>
  <c r="AL29" i="15"/>
  <c r="AL30" i="15"/>
  <c r="AL31" i="15"/>
  <c r="AL32" i="15"/>
  <c r="AL33" i="15"/>
  <c r="AL34" i="15"/>
  <c r="AL7" i="15"/>
  <c r="AL6" i="15"/>
  <c r="AL5" i="15"/>
  <c r="AO7" i="15"/>
  <c r="AO8" i="15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5" i="15"/>
  <c r="AO6" i="15"/>
  <c r="AC7" i="15"/>
  <c r="AC8" i="15"/>
  <c r="AC9" i="15"/>
  <c r="AC10" i="15"/>
  <c r="AC11" i="15"/>
  <c r="AC12" i="15"/>
  <c r="AC13" i="15"/>
  <c r="AC14" i="15"/>
  <c r="AC15" i="15"/>
  <c r="AC16" i="15"/>
  <c r="AC17" i="15"/>
  <c r="AC18" i="15"/>
  <c r="AC19" i="15"/>
  <c r="AC20" i="15"/>
  <c r="AC21" i="15"/>
  <c r="AC22" i="15"/>
  <c r="AC23" i="15"/>
  <c r="AC24" i="15"/>
  <c r="AC25" i="15"/>
  <c r="AC26" i="15"/>
  <c r="AC27" i="15"/>
  <c r="AC28" i="15"/>
  <c r="AC29" i="15"/>
  <c r="AC30" i="15"/>
  <c r="AC31" i="15"/>
  <c r="AC32" i="15"/>
  <c r="AC33" i="15"/>
  <c r="AC34" i="15"/>
  <c r="AC6" i="15"/>
  <c r="Z34" i="15"/>
  <c r="Z8" i="15"/>
  <c r="Z9" i="15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7" i="15"/>
  <c r="Z6" i="15"/>
  <c r="Z5" i="15"/>
  <c r="W7" i="15"/>
  <c r="W8" i="15"/>
  <c r="W9" i="15"/>
  <c r="W10" i="15"/>
  <c r="W11" i="15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W26" i="15"/>
  <c r="W27" i="15"/>
  <c r="W28" i="15"/>
  <c r="W29" i="15"/>
  <c r="W30" i="15"/>
  <c r="W31" i="15"/>
  <c r="W32" i="15"/>
  <c r="W33" i="15"/>
  <c r="W34" i="15"/>
  <c r="W6" i="15"/>
  <c r="W5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6" i="15"/>
  <c r="S5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6" i="15"/>
  <c r="N5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6" i="15"/>
  <c r="K5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6" i="15"/>
  <c r="H5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5" i="15"/>
  <c r="D6" i="15"/>
  <c r="BJ49" i="14"/>
  <c r="BJ50" i="14"/>
  <c r="BJ51" i="14"/>
  <c r="BJ52" i="14"/>
  <c r="BK52" i="14" s="1"/>
  <c r="BJ53" i="14"/>
  <c r="BJ54" i="14"/>
  <c r="BK54" i="14" s="1"/>
  <c r="BJ55" i="14"/>
  <c r="BJ56" i="14"/>
  <c r="BK56" i="14" s="1"/>
  <c r="BJ57" i="14"/>
  <c r="BJ58" i="14"/>
  <c r="BK58" i="14" s="1"/>
  <c r="BJ59" i="14"/>
  <c r="BJ60" i="14"/>
  <c r="BJ61" i="14"/>
  <c r="BJ62" i="14"/>
  <c r="BK62" i="14" s="1"/>
  <c r="BJ63" i="14"/>
  <c r="BJ64" i="14"/>
  <c r="BJ65" i="14"/>
  <c r="BJ66" i="14"/>
  <c r="BK66" i="14" s="1"/>
  <c r="BJ67" i="14"/>
  <c r="BJ68" i="14"/>
  <c r="BJ69" i="14"/>
  <c r="BJ70" i="14"/>
  <c r="BK70" i="14" s="1"/>
  <c r="BK51" i="14"/>
  <c r="BK42" i="14"/>
  <c r="BK41" i="14"/>
  <c r="BJ44" i="14"/>
  <c r="BJ45" i="14"/>
  <c r="BJ46" i="14"/>
  <c r="BJ47" i="14"/>
  <c r="BK47" i="14" s="1"/>
  <c r="BJ48" i="14"/>
  <c r="BK59" i="14"/>
  <c r="BK63" i="14"/>
  <c r="BK67" i="14"/>
  <c r="BJ43" i="14"/>
  <c r="BJ42" i="14"/>
  <c r="BJ41" i="14"/>
  <c r="BI44" i="14"/>
  <c r="BI45" i="14"/>
  <c r="BK45" i="14" s="1"/>
  <c r="BI46" i="14"/>
  <c r="BI47" i="14"/>
  <c r="BI48" i="14"/>
  <c r="BI49" i="14"/>
  <c r="BK49" i="14" s="1"/>
  <c r="BI50" i="14"/>
  <c r="BI51" i="14"/>
  <c r="BI52" i="14"/>
  <c r="BI53" i="14"/>
  <c r="BK53" i="14" s="1"/>
  <c r="BI54" i="14"/>
  <c r="BI55" i="14"/>
  <c r="BI56" i="14"/>
  <c r="BI57" i="14"/>
  <c r="BK57" i="14" s="1"/>
  <c r="BI58" i="14"/>
  <c r="BI59" i="14"/>
  <c r="BI60" i="14"/>
  <c r="BI61" i="14"/>
  <c r="BK61" i="14" s="1"/>
  <c r="BI62" i="14"/>
  <c r="BI63" i="14"/>
  <c r="BI64" i="14"/>
  <c r="BI65" i="14"/>
  <c r="BK65" i="14" s="1"/>
  <c r="BI66" i="14"/>
  <c r="BI67" i="14"/>
  <c r="BI68" i="14"/>
  <c r="BI69" i="14"/>
  <c r="BK69" i="14" s="1"/>
  <c r="BI70" i="14"/>
  <c r="BI43" i="14"/>
  <c r="BI42" i="14"/>
  <c r="BI41" i="14"/>
  <c r="BK68" i="14"/>
  <c r="BK64" i="14"/>
  <c r="BK60" i="14"/>
  <c r="BK55" i="14"/>
  <c r="BK50" i="14"/>
  <c r="BK48" i="14"/>
  <c r="BK46" i="14"/>
  <c r="BK44" i="14"/>
  <c r="BK43" i="14"/>
  <c r="AK42" i="14"/>
  <c r="AK41" i="14"/>
  <c r="AJ44" i="14"/>
  <c r="AJ45" i="14"/>
  <c r="AJ46" i="14"/>
  <c r="AK46" i="14" s="1"/>
  <c r="AJ47" i="14"/>
  <c r="AK47" i="14" s="1"/>
  <c r="AJ48" i="14"/>
  <c r="AJ49" i="14"/>
  <c r="AJ50" i="14"/>
  <c r="AK50" i="14" s="1"/>
  <c r="AJ51" i="14"/>
  <c r="AJ52" i="14"/>
  <c r="AJ53" i="14"/>
  <c r="AJ54" i="14"/>
  <c r="AJ55" i="14"/>
  <c r="AJ56" i="14"/>
  <c r="AJ57" i="14"/>
  <c r="AJ58" i="14"/>
  <c r="AJ59" i="14"/>
  <c r="AJ60" i="14"/>
  <c r="AJ61" i="14"/>
  <c r="AJ62" i="14"/>
  <c r="AJ63" i="14"/>
  <c r="AK63" i="14" s="1"/>
  <c r="AJ64" i="14"/>
  <c r="AJ65" i="14"/>
  <c r="AJ66" i="14"/>
  <c r="AJ67" i="14"/>
  <c r="AJ68" i="14"/>
  <c r="AJ69" i="14"/>
  <c r="AJ70" i="14"/>
  <c r="AJ43" i="14"/>
  <c r="AJ42" i="14"/>
  <c r="AJ41" i="14"/>
  <c r="AI44" i="14"/>
  <c r="AI45" i="14"/>
  <c r="AI46" i="14"/>
  <c r="AI47" i="14"/>
  <c r="AI48" i="14"/>
  <c r="AI49" i="14"/>
  <c r="AI50" i="14"/>
  <c r="AI51" i="14"/>
  <c r="AI52" i="14"/>
  <c r="AK52" i="14" s="1"/>
  <c r="AI53" i="14"/>
  <c r="AI54" i="14"/>
  <c r="AI55" i="14"/>
  <c r="AI56" i="14"/>
  <c r="AI57" i="14"/>
  <c r="AI58" i="14"/>
  <c r="AI59" i="14"/>
  <c r="AI60" i="14"/>
  <c r="AI61" i="14"/>
  <c r="AI62" i="14"/>
  <c r="AI63" i="14"/>
  <c r="AI64" i="14"/>
  <c r="AI65" i="14"/>
  <c r="AI66" i="14"/>
  <c r="AI67" i="14"/>
  <c r="AI68" i="14"/>
  <c r="AK68" i="14" s="1"/>
  <c r="AI69" i="14"/>
  <c r="AI70" i="14"/>
  <c r="AI43" i="14"/>
  <c r="AK43" i="14" s="1"/>
  <c r="AI42" i="14"/>
  <c r="AI41" i="14"/>
  <c r="AK69" i="14"/>
  <c r="AK66" i="14"/>
  <c r="AK65" i="14"/>
  <c r="AK64" i="14"/>
  <c r="AK62" i="14"/>
  <c r="AK61" i="14"/>
  <c r="AK60" i="14"/>
  <c r="AK57" i="14"/>
  <c r="AK56" i="14"/>
  <c r="AK54" i="14"/>
  <c r="AK53" i="14"/>
  <c r="AK49" i="14"/>
  <c r="AK48" i="14"/>
  <c r="AK45" i="14"/>
  <c r="AK44" i="14"/>
  <c r="J7" i="14"/>
  <c r="J8" i="14"/>
  <c r="J9" i="14"/>
  <c r="J10" i="14"/>
  <c r="J12" i="14"/>
  <c r="J13" i="14"/>
  <c r="J14" i="14"/>
  <c r="J15" i="14"/>
  <c r="J16" i="14"/>
  <c r="J17" i="14"/>
  <c r="J18" i="14"/>
  <c r="J19" i="14"/>
  <c r="J20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AR61" i="14"/>
  <c r="AR60" i="14"/>
  <c r="AR59" i="14"/>
  <c r="AR58" i="14"/>
  <c r="AR57" i="14"/>
  <c r="AR56" i="14"/>
  <c r="AR55" i="14"/>
  <c r="AR54" i="14"/>
  <c r="AR53" i="14"/>
  <c r="T52" i="14"/>
  <c r="T51" i="14"/>
  <c r="T50" i="14"/>
  <c r="AR48" i="14"/>
  <c r="BR47" i="14"/>
  <c r="AR47" i="14"/>
  <c r="BR46" i="14"/>
  <c r="AR46" i="14"/>
  <c r="T46" i="14"/>
  <c r="BR45" i="14"/>
  <c r="AR45" i="14"/>
  <c r="T45" i="14"/>
  <c r="BR44" i="14"/>
  <c r="AR44" i="14"/>
  <c r="T44" i="14"/>
  <c r="BQ35" i="14"/>
  <c r="BP35" i="14"/>
  <c r="BM35" i="14"/>
  <c r="BN35" i="14" s="1"/>
  <c r="BB70" i="14" s="1"/>
  <c r="BH35" i="14"/>
  <c r="BG35" i="14"/>
  <c r="BD35" i="14"/>
  <c r="BE35" i="14" s="1"/>
  <c r="BA70" i="14" s="1"/>
  <c r="AQ35" i="14"/>
  <c r="AP35" i="14"/>
  <c r="AM35" i="14"/>
  <c r="AH35" i="14"/>
  <c r="AG35" i="14"/>
  <c r="AD35" i="14"/>
  <c r="AE35" i="14" s="1"/>
  <c r="AA70" i="14" s="1"/>
  <c r="S35" i="14"/>
  <c r="R35" i="14"/>
  <c r="O35" i="14"/>
  <c r="P35" i="14" s="1"/>
  <c r="D70" i="14" s="1"/>
  <c r="I35" i="14"/>
  <c r="F35" i="14"/>
  <c r="G35" i="14" s="1"/>
  <c r="C70" i="14" s="1"/>
  <c r="BQ34" i="14"/>
  <c r="BP34" i="14"/>
  <c r="BM34" i="14"/>
  <c r="BH34" i="14"/>
  <c r="BG34" i="14"/>
  <c r="BD34" i="14"/>
  <c r="BE34" i="14" s="1"/>
  <c r="BA69" i="14" s="1"/>
  <c r="AQ34" i="14"/>
  <c r="AP34" i="14"/>
  <c r="AM34" i="14"/>
  <c r="AN34" i="14" s="1"/>
  <c r="AB69" i="14" s="1"/>
  <c r="AH34" i="14"/>
  <c r="AG34" i="14"/>
  <c r="AD34" i="14"/>
  <c r="AE34" i="14" s="1"/>
  <c r="AA69" i="14" s="1"/>
  <c r="S34" i="14"/>
  <c r="R34" i="14"/>
  <c r="O34" i="14"/>
  <c r="P34" i="14" s="1"/>
  <c r="D69" i="14" s="1"/>
  <c r="I34" i="14"/>
  <c r="F34" i="14"/>
  <c r="G34" i="14" s="1"/>
  <c r="C69" i="14" s="1"/>
  <c r="BQ33" i="14"/>
  <c r="BP33" i="14"/>
  <c r="BM33" i="14"/>
  <c r="BN33" i="14" s="1"/>
  <c r="BB68" i="14" s="1"/>
  <c r="BH33" i="14"/>
  <c r="BG33" i="14"/>
  <c r="BD33" i="14"/>
  <c r="BE33" i="14" s="1"/>
  <c r="BA68" i="14" s="1"/>
  <c r="AQ33" i="14"/>
  <c r="AP33" i="14"/>
  <c r="AM33" i="14"/>
  <c r="AH33" i="14"/>
  <c r="AG33" i="14"/>
  <c r="AD33" i="14"/>
  <c r="AE33" i="14" s="1"/>
  <c r="AA68" i="14" s="1"/>
  <c r="S33" i="14"/>
  <c r="R33" i="14"/>
  <c r="O33" i="14"/>
  <c r="P33" i="14" s="1"/>
  <c r="D68" i="14" s="1"/>
  <c r="I33" i="14"/>
  <c r="F33" i="14"/>
  <c r="G33" i="14" s="1"/>
  <c r="C68" i="14" s="1"/>
  <c r="BQ32" i="14"/>
  <c r="BP32" i="14"/>
  <c r="BM32" i="14"/>
  <c r="BN32" i="14" s="1"/>
  <c r="BB67" i="14" s="1"/>
  <c r="BH32" i="14"/>
  <c r="BG32" i="14"/>
  <c r="BD32" i="14"/>
  <c r="BE32" i="14" s="1"/>
  <c r="BA67" i="14" s="1"/>
  <c r="AQ32" i="14"/>
  <c r="AP32" i="14"/>
  <c r="AM32" i="14"/>
  <c r="AN32" i="14" s="1"/>
  <c r="AB67" i="14" s="1"/>
  <c r="AH32" i="14"/>
  <c r="AG32" i="14"/>
  <c r="AD32" i="14"/>
  <c r="AE32" i="14" s="1"/>
  <c r="AA67" i="14" s="1"/>
  <c r="S32" i="14"/>
  <c r="R32" i="14"/>
  <c r="O32" i="14"/>
  <c r="I32" i="14"/>
  <c r="F32" i="14"/>
  <c r="G32" i="14" s="1"/>
  <c r="C67" i="14" s="1"/>
  <c r="BQ31" i="14"/>
  <c r="BP31" i="14"/>
  <c r="BM31" i="14"/>
  <c r="BN31" i="14" s="1"/>
  <c r="BB66" i="14" s="1"/>
  <c r="BH31" i="14"/>
  <c r="BG31" i="14"/>
  <c r="BD31" i="14"/>
  <c r="BE31" i="14" s="1"/>
  <c r="BA66" i="14" s="1"/>
  <c r="AQ31" i="14"/>
  <c r="AP31" i="14"/>
  <c r="AM31" i="14"/>
  <c r="AN31" i="14" s="1"/>
  <c r="AB66" i="14" s="1"/>
  <c r="AH31" i="14"/>
  <c r="AG31" i="14"/>
  <c r="AD31" i="14"/>
  <c r="AE31" i="14" s="1"/>
  <c r="AA66" i="14" s="1"/>
  <c r="S31" i="14"/>
  <c r="R31" i="14"/>
  <c r="O31" i="14"/>
  <c r="P31" i="14" s="1"/>
  <c r="D66" i="14" s="1"/>
  <c r="I31" i="14"/>
  <c r="F31" i="14"/>
  <c r="G31" i="14" s="1"/>
  <c r="C66" i="14" s="1"/>
  <c r="BQ30" i="14"/>
  <c r="BP30" i="14"/>
  <c r="BM30" i="14"/>
  <c r="BN30" i="14" s="1"/>
  <c r="BB65" i="14" s="1"/>
  <c r="BH30" i="14"/>
  <c r="BG30" i="14"/>
  <c r="BD30" i="14"/>
  <c r="BE30" i="14" s="1"/>
  <c r="BA65" i="14" s="1"/>
  <c r="AQ30" i="14"/>
  <c r="AP30" i="14"/>
  <c r="AM30" i="14"/>
  <c r="AN30" i="14" s="1"/>
  <c r="AB65" i="14" s="1"/>
  <c r="AH30" i="14"/>
  <c r="AG30" i="14"/>
  <c r="AD30" i="14"/>
  <c r="AE30" i="14" s="1"/>
  <c r="AA65" i="14" s="1"/>
  <c r="S30" i="14"/>
  <c r="R30" i="14"/>
  <c r="O30" i="14"/>
  <c r="P30" i="14" s="1"/>
  <c r="D65" i="14" s="1"/>
  <c r="I30" i="14"/>
  <c r="F30" i="14"/>
  <c r="G30" i="14" s="1"/>
  <c r="C65" i="14" s="1"/>
  <c r="BQ29" i="14"/>
  <c r="BP29" i="14"/>
  <c r="BM29" i="14"/>
  <c r="BN29" i="14" s="1"/>
  <c r="BB64" i="14" s="1"/>
  <c r="BH29" i="14"/>
  <c r="BG29" i="14"/>
  <c r="BD29" i="14"/>
  <c r="BE29" i="14" s="1"/>
  <c r="BA64" i="14" s="1"/>
  <c r="AQ29" i="14"/>
  <c r="AP29" i="14"/>
  <c r="AM29" i="14"/>
  <c r="AN29" i="14" s="1"/>
  <c r="AB64" i="14" s="1"/>
  <c r="AH29" i="14"/>
  <c r="AG29" i="14"/>
  <c r="AD29" i="14"/>
  <c r="AE29" i="14" s="1"/>
  <c r="AA64" i="14" s="1"/>
  <c r="S29" i="14"/>
  <c r="R29" i="14"/>
  <c r="O29" i="14"/>
  <c r="P29" i="14" s="1"/>
  <c r="L64" i="14" s="1"/>
  <c r="I29" i="14"/>
  <c r="F29" i="14"/>
  <c r="G29" i="14" s="1"/>
  <c r="C64" i="14" s="1"/>
  <c r="BQ28" i="14"/>
  <c r="BP28" i="14"/>
  <c r="BM28" i="14"/>
  <c r="BN28" i="14" s="1"/>
  <c r="BB63" i="14" s="1"/>
  <c r="BH28" i="14"/>
  <c r="BG28" i="14"/>
  <c r="BD28" i="14"/>
  <c r="BE28" i="14" s="1"/>
  <c r="BA63" i="14" s="1"/>
  <c r="AQ28" i="14"/>
  <c r="AP28" i="14"/>
  <c r="AM28" i="14"/>
  <c r="AN28" i="14" s="1"/>
  <c r="AB63" i="14" s="1"/>
  <c r="AH28" i="14"/>
  <c r="AG28" i="14"/>
  <c r="AD28" i="14"/>
  <c r="AE28" i="14" s="1"/>
  <c r="AA63" i="14" s="1"/>
  <c r="S28" i="14"/>
  <c r="R28" i="14"/>
  <c r="O28" i="14"/>
  <c r="P28" i="14" s="1"/>
  <c r="D63" i="14" s="1"/>
  <c r="I28" i="14"/>
  <c r="F28" i="14"/>
  <c r="G28" i="14" s="1"/>
  <c r="C63" i="14" s="1"/>
  <c r="BQ27" i="14"/>
  <c r="BP27" i="14"/>
  <c r="BM27" i="14"/>
  <c r="BN27" i="14" s="1"/>
  <c r="BB62" i="14" s="1"/>
  <c r="BH27" i="14"/>
  <c r="BG27" i="14"/>
  <c r="BD27" i="14"/>
  <c r="BE27" i="14" s="1"/>
  <c r="BA62" i="14" s="1"/>
  <c r="AQ27" i="14"/>
  <c r="AP27" i="14"/>
  <c r="AM27" i="14"/>
  <c r="AN27" i="14" s="1"/>
  <c r="AB62" i="14" s="1"/>
  <c r="AH27" i="14"/>
  <c r="AG27" i="14"/>
  <c r="AD27" i="14"/>
  <c r="AE27" i="14" s="1"/>
  <c r="AA62" i="14" s="1"/>
  <c r="S27" i="14"/>
  <c r="R27" i="14"/>
  <c r="O27" i="14"/>
  <c r="I27" i="14"/>
  <c r="F27" i="14"/>
  <c r="G27" i="14" s="1"/>
  <c r="C62" i="14" s="1"/>
  <c r="BQ26" i="14"/>
  <c r="BP26" i="14"/>
  <c r="BM26" i="14"/>
  <c r="BN26" i="14" s="1"/>
  <c r="BB61" i="14" s="1"/>
  <c r="BH26" i="14"/>
  <c r="BG26" i="14"/>
  <c r="BD26" i="14"/>
  <c r="BE26" i="14" s="1"/>
  <c r="BA61" i="14" s="1"/>
  <c r="AQ26" i="14"/>
  <c r="AP26" i="14"/>
  <c r="AM26" i="14"/>
  <c r="AN26" i="14" s="1"/>
  <c r="AB61" i="14" s="1"/>
  <c r="AH26" i="14"/>
  <c r="AG26" i="14"/>
  <c r="AD26" i="14"/>
  <c r="AE26" i="14" s="1"/>
  <c r="AA61" i="14" s="1"/>
  <c r="S26" i="14"/>
  <c r="R26" i="14"/>
  <c r="O26" i="14"/>
  <c r="P26" i="14" s="1"/>
  <c r="D61" i="14" s="1"/>
  <c r="I26" i="14"/>
  <c r="F26" i="14"/>
  <c r="G26" i="14" s="1"/>
  <c r="C61" i="14" s="1"/>
  <c r="BQ25" i="14"/>
  <c r="BP25" i="14"/>
  <c r="BM25" i="14"/>
  <c r="BN25" i="14" s="1"/>
  <c r="BB60" i="14" s="1"/>
  <c r="BH25" i="14"/>
  <c r="BG25" i="14"/>
  <c r="BD25" i="14"/>
  <c r="BE25" i="14" s="1"/>
  <c r="BA60" i="14" s="1"/>
  <c r="AQ25" i="14"/>
  <c r="AP25" i="14"/>
  <c r="AM25" i="14"/>
  <c r="AN25" i="14" s="1"/>
  <c r="AB60" i="14" s="1"/>
  <c r="AH25" i="14"/>
  <c r="AG25" i="14"/>
  <c r="AD25" i="14"/>
  <c r="AE25" i="14" s="1"/>
  <c r="AA60" i="14" s="1"/>
  <c r="S25" i="14"/>
  <c r="R25" i="14"/>
  <c r="O25" i="14"/>
  <c r="I25" i="14"/>
  <c r="F25" i="14"/>
  <c r="G25" i="14" s="1"/>
  <c r="C60" i="14" s="1"/>
  <c r="BQ24" i="14"/>
  <c r="BP24" i="14"/>
  <c r="BM24" i="14"/>
  <c r="BN24" i="14" s="1"/>
  <c r="BB59" i="14" s="1"/>
  <c r="BH24" i="14"/>
  <c r="BG24" i="14"/>
  <c r="BD24" i="14"/>
  <c r="BE24" i="14" s="1"/>
  <c r="BA59" i="14" s="1"/>
  <c r="AQ24" i="14"/>
  <c r="AP24" i="14"/>
  <c r="AM24" i="14"/>
  <c r="AN24" i="14" s="1"/>
  <c r="AB59" i="14" s="1"/>
  <c r="AH24" i="14"/>
  <c r="AG24" i="14"/>
  <c r="AD24" i="14"/>
  <c r="AE24" i="14" s="1"/>
  <c r="AA59" i="14" s="1"/>
  <c r="S24" i="14"/>
  <c r="R24" i="14"/>
  <c r="O24" i="14"/>
  <c r="P24" i="14" s="1"/>
  <c r="D59" i="14" s="1"/>
  <c r="I24" i="14"/>
  <c r="F24" i="14"/>
  <c r="G24" i="14" s="1"/>
  <c r="C59" i="14" s="1"/>
  <c r="BQ23" i="14"/>
  <c r="BP23" i="14"/>
  <c r="BM23" i="14"/>
  <c r="BN23" i="14" s="1"/>
  <c r="BB58" i="14" s="1"/>
  <c r="BH23" i="14"/>
  <c r="BG23" i="14"/>
  <c r="BD23" i="14"/>
  <c r="BE23" i="14" s="1"/>
  <c r="BA58" i="14" s="1"/>
  <c r="AQ23" i="14"/>
  <c r="AP23" i="14"/>
  <c r="AM23" i="14"/>
  <c r="AN23" i="14" s="1"/>
  <c r="AB58" i="14" s="1"/>
  <c r="AH23" i="14"/>
  <c r="AG23" i="14"/>
  <c r="AD23" i="14"/>
  <c r="AE23" i="14" s="1"/>
  <c r="AA58" i="14" s="1"/>
  <c r="S23" i="14"/>
  <c r="R23" i="14"/>
  <c r="O23" i="14"/>
  <c r="I23" i="14"/>
  <c r="F23" i="14"/>
  <c r="G23" i="14" s="1"/>
  <c r="C58" i="14" s="1"/>
  <c r="BQ22" i="14"/>
  <c r="BP22" i="14"/>
  <c r="BM22" i="14"/>
  <c r="BN22" i="14" s="1"/>
  <c r="BB57" i="14" s="1"/>
  <c r="BH22" i="14"/>
  <c r="BG22" i="14"/>
  <c r="BD22" i="14"/>
  <c r="BE22" i="14" s="1"/>
  <c r="BA57" i="14" s="1"/>
  <c r="AQ22" i="14"/>
  <c r="AP22" i="14"/>
  <c r="AM22" i="14"/>
  <c r="AN22" i="14" s="1"/>
  <c r="AB57" i="14" s="1"/>
  <c r="AH22" i="14"/>
  <c r="AG22" i="14"/>
  <c r="AD22" i="14"/>
  <c r="AE22" i="14" s="1"/>
  <c r="AA57" i="14" s="1"/>
  <c r="S22" i="14"/>
  <c r="R22" i="14"/>
  <c r="O22" i="14"/>
  <c r="P22" i="14" s="1"/>
  <c r="D57" i="14" s="1"/>
  <c r="I22" i="14"/>
  <c r="F22" i="14"/>
  <c r="G22" i="14" s="1"/>
  <c r="C57" i="14" s="1"/>
  <c r="BQ21" i="14"/>
  <c r="BP21" i="14"/>
  <c r="BM21" i="14"/>
  <c r="BN21" i="14" s="1"/>
  <c r="BB56" i="14" s="1"/>
  <c r="BH21" i="14"/>
  <c r="BG21" i="14"/>
  <c r="BD21" i="14"/>
  <c r="BE21" i="14" s="1"/>
  <c r="BA56" i="14" s="1"/>
  <c r="AQ21" i="14"/>
  <c r="AP21" i="14"/>
  <c r="AM21" i="14"/>
  <c r="AN21" i="14" s="1"/>
  <c r="AB56" i="14" s="1"/>
  <c r="AH21" i="14"/>
  <c r="AG21" i="14"/>
  <c r="AD21" i="14"/>
  <c r="AE21" i="14" s="1"/>
  <c r="AA56" i="14" s="1"/>
  <c r="S21" i="14"/>
  <c r="R21" i="14"/>
  <c r="O21" i="14"/>
  <c r="P21" i="14" s="1"/>
  <c r="D56" i="14" s="1"/>
  <c r="I21" i="14"/>
  <c r="F21" i="14"/>
  <c r="G21" i="14" s="1"/>
  <c r="C56" i="14" s="1"/>
  <c r="BQ20" i="14"/>
  <c r="BP20" i="14"/>
  <c r="BM20" i="14"/>
  <c r="BN20" i="14" s="1"/>
  <c r="BB55" i="14" s="1"/>
  <c r="BH20" i="14"/>
  <c r="BG20" i="14"/>
  <c r="BD20" i="14"/>
  <c r="BE20" i="14" s="1"/>
  <c r="BA55" i="14" s="1"/>
  <c r="AQ20" i="14"/>
  <c r="AP20" i="14"/>
  <c r="AM20" i="14"/>
  <c r="AN20" i="14" s="1"/>
  <c r="AB55" i="14" s="1"/>
  <c r="AH20" i="14"/>
  <c r="AG20" i="14"/>
  <c r="AD20" i="14"/>
  <c r="AE20" i="14" s="1"/>
  <c r="AA55" i="14" s="1"/>
  <c r="S20" i="14"/>
  <c r="R20" i="14"/>
  <c r="O20" i="14"/>
  <c r="P20" i="14" s="1"/>
  <c r="D55" i="14" s="1"/>
  <c r="I20" i="14"/>
  <c r="F20" i="14"/>
  <c r="G20" i="14" s="1"/>
  <c r="C55" i="14" s="1"/>
  <c r="BQ19" i="14"/>
  <c r="BP19" i="14"/>
  <c r="BM19" i="14"/>
  <c r="BN19" i="14" s="1"/>
  <c r="BB54" i="14" s="1"/>
  <c r="BH19" i="14"/>
  <c r="BG19" i="14"/>
  <c r="BD19" i="14"/>
  <c r="BE19" i="14" s="1"/>
  <c r="BA54" i="14" s="1"/>
  <c r="AQ19" i="14"/>
  <c r="AP19" i="14"/>
  <c r="AM19" i="14"/>
  <c r="AN19" i="14" s="1"/>
  <c r="AB54" i="14" s="1"/>
  <c r="AH19" i="14"/>
  <c r="AG19" i="14"/>
  <c r="AD19" i="14"/>
  <c r="AE19" i="14" s="1"/>
  <c r="AA54" i="14" s="1"/>
  <c r="S19" i="14"/>
  <c r="R19" i="14"/>
  <c r="O19" i="14"/>
  <c r="I19" i="14"/>
  <c r="F19" i="14"/>
  <c r="G19" i="14" s="1"/>
  <c r="C54" i="14" s="1"/>
  <c r="BQ18" i="14"/>
  <c r="BP18" i="14"/>
  <c r="BM18" i="14"/>
  <c r="BN18" i="14" s="1"/>
  <c r="BB53" i="14" s="1"/>
  <c r="BH18" i="14"/>
  <c r="BG18" i="14"/>
  <c r="BD18" i="14"/>
  <c r="BE18" i="14" s="1"/>
  <c r="BA53" i="14" s="1"/>
  <c r="AQ18" i="14"/>
  <c r="AP18" i="14"/>
  <c r="AM18" i="14"/>
  <c r="AN18" i="14" s="1"/>
  <c r="AB53" i="14" s="1"/>
  <c r="AH18" i="14"/>
  <c r="AG18" i="14"/>
  <c r="AD18" i="14"/>
  <c r="AE18" i="14" s="1"/>
  <c r="AA53" i="14" s="1"/>
  <c r="S18" i="14"/>
  <c r="R18" i="14"/>
  <c r="O18" i="14"/>
  <c r="P18" i="14" s="1"/>
  <c r="D53" i="14" s="1"/>
  <c r="I18" i="14"/>
  <c r="F18" i="14"/>
  <c r="G18" i="14" s="1"/>
  <c r="C53" i="14" s="1"/>
  <c r="BQ17" i="14"/>
  <c r="BP17" i="14"/>
  <c r="BM17" i="14"/>
  <c r="BH17" i="14"/>
  <c r="BG17" i="14"/>
  <c r="BD17" i="14"/>
  <c r="BE17" i="14" s="1"/>
  <c r="BA52" i="14" s="1"/>
  <c r="AQ17" i="14"/>
  <c r="AP17" i="14"/>
  <c r="AM17" i="14"/>
  <c r="AN17" i="14" s="1"/>
  <c r="AB52" i="14" s="1"/>
  <c r="AH17" i="14"/>
  <c r="AG17" i="14"/>
  <c r="AD17" i="14"/>
  <c r="AE17" i="14" s="1"/>
  <c r="AA52" i="14" s="1"/>
  <c r="S17" i="14"/>
  <c r="R17" i="14"/>
  <c r="O17" i="14"/>
  <c r="I17" i="14"/>
  <c r="F17" i="14"/>
  <c r="G17" i="14" s="1"/>
  <c r="C52" i="14" s="1"/>
  <c r="BQ16" i="14"/>
  <c r="BP16" i="14"/>
  <c r="BM16" i="14"/>
  <c r="BN16" i="14" s="1"/>
  <c r="BB51" i="14" s="1"/>
  <c r="BH16" i="14"/>
  <c r="BG16" i="14"/>
  <c r="BD16" i="14"/>
  <c r="BE16" i="14" s="1"/>
  <c r="BA51" i="14" s="1"/>
  <c r="AQ16" i="14"/>
  <c r="AP16" i="14"/>
  <c r="AM16" i="14"/>
  <c r="AH16" i="14"/>
  <c r="AG16" i="14"/>
  <c r="AD16" i="14"/>
  <c r="AE16" i="14" s="1"/>
  <c r="AA51" i="14" s="1"/>
  <c r="S16" i="14"/>
  <c r="R16" i="14"/>
  <c r="O16" i="14"/>
  <c r="P16" i="14" s="1"/>
  <c r="D51" i="14" s="1"/>
  <c r="I16" i="14"/>
  <c r="F16" i="14"/>
  <c r="G16" i="14" s="1"/>
  <c r="C51" i="14" s="1"/>
  <c r="BQ15" i="14"/>
  <c r="BP15" i="14"/>
  <c r="BM15" i="14"/>
  <c r="BH15" i="14"/>
  <c r="BG15" i="14"/>
  <c r="BD15" i="14"/>
  <c r="BE15" i="14" s="1"/>
  <c r="BA50" i="14" s="1"/>
  <c r="AQ15" i="14"/>
  <c r="AP15" i="14"/>
  <c r="AM15" i="14"/>
  <c r="AN15" i="14" s="1"/>
  <c r="AB50" i="14" s="1"/>
  <c r="AH15" i="14"/>
  <c r="AG15" i="14"/>
  <c r="AD15" i="14"/>
  <c r="AE15" i="14" s="1"/>
  <c r="AA50" i="14" s="1"/>
  <c r="S15" i="14"/>
  <c r="R15" i="14"/>
  <c r="O15" i="14"/>
  <c r="I15" i="14"/>
  <c r="F15" i="14"/>
  <c r="G15" i="14" s="1"/>
  <c r="C50" i="14" s="1"/>
  <c r="BQ14" i="14"/>
  <c r="BP14" i="14"/>
  <c r="BM14" i="14"/>
  <c r="BN14" i="14" s="1"/>
  <c r="BB49" i="14" s="1"/>
  <c r="BH14" i="14"/>
  <c r="BG14" i="14"/>
  <c r="BD14" i="14"/>
  <c r="BE14" i="14" s="1"/>
  <c r="BA49" i="14" s="1"/>
  <c r="AQ14" i="14"/>
  <c r="AP14" i="14"/>
  <c r="AM14" i="14"/>
  <c r="AH14" i="14"/>
  <c r="AG14" i="14"/>
  <c r="AD14" i="14"/>
  <c r="AE14" i="14" s="1"/>
  <c r="AA49" i="14" s="1"/>
  <c r="S14" i="14"/>
  <c r="R14" i="14"/>
  <c r="O14" i="14"/>
  <c r="P14" i="14" s="1"/>
  <c r="D49" i="14" s="1"/>
  <c r="I14" i="14"/>
  <c r="F14" i="14"/>
  <c r="G14" i="14" s="1"/>
  <c r="C49" i="14" s="1"/>
  <c r="BQ13" i="14"/>
  <c r="BP13" i="14"/>
  <c r="BM13" i="14"/>
  <c r="BH13" i="14"/>
  <c r="BG13" i="14"/>
  <c r="BD13" i="14"/>
  <c r="BE13" i="14" s="1"/>
  <c r="BA48" i="14" s="1"/>
  <c r="AQ13" i="14"/>
  <c r="AP13" i="14"/>
  <c r="AM13" i="14"/>
  <c r="AN13" i="14" s="1"/>
  <c r="AB48" i="14" s="1"/>
  <c r="AH13" i="14"/>
  <c r="AG13" i="14"/>
  <c r="AD13" i="14"/>
  <c r="AE13" i="14" s="1"/>
  <c r="AA48" i="14" s="1"/>
  <c r="S13" i="14"/>
  <c r="R13" i="14"/>
  <c r="O13" i="14"/>
  <c r="I13" i="14"/>
  <c r="F13" i="14"/>
  <c r="G13" i="14" s="1"/>
  <c r="C48" i="14" s="1"/>
  <c r="BQ12" i="14"/>
  <c r="BP12" i="14"/>
  <c r="BM12" i="14"/>
  <c r="BN12" i="14" s="1"/>
  <c r="BB47" i="14" s="1"/>
  <c r="BH12" i="14"/>
  <c r="BG12" i="14"/>
  <c r="BD12" i="14"/>
  <c r="BE12" i="14" s="1"/>
  <c r="BA47" i="14" s="1"/>
  <c r="AQ12" i="14"/>
  <c r="AP12" i="14"/>
  <c r="AM12" i="14"/>
  <c r="AH12" i="14"/>
  <c r="AG12" i="14"/>
  <c r="AD12" i="14"/>
  <c r="AE12" i="14" s="1"/>
  <c r="AA47" i="14" s="1"/>
  <c r="S12" i="14"/>
  <c r="R12" i="14"/>
  <c r="O12" i="14"/>
  <c r="P12" i="14" s="1"/>
  <c r="D47" i="14" s="1"/>
  <c r="I12" i="14"/>
  <c r="F12" i="14"/>
  <c r="G12" i="14" s="1"/>
  <c r="C47" i="14" s="1"/>
  <c r="BQ11" i="14"/>
  <c r="BP11" i="14"/>
  <c r="BM11" i="14"/>
  <c r="BH11" i="14"/>
  <c r="BG11" i="14"/>
  <c r="BD11" i="14"/>
  <c r="BE11" i="14" s="1"/>
  <c r="BA46" i="14" s="1"/>
  <c r="AQ11" i="14"/>
  <c r="AP11" i="14"/>
  <c r="AM11" i="14"/>
  <c r="AN11" i="14" s="1"/>
  <c r="AB46" i="14" s="1"/>
  <c r="AH11" i="14"/>
  <c r="AG11" i="14"/>
  <c r="AD11" i="14"/>
  <c r="AE11" i="14" s="1"/>
  <c r="AA46" i="14" s="1"/>
  <c r="S11" i="14"/>
  <c r="R11" i="14"/>
  <c r="O11" i="14"/>
  <c r="I11" i="14"/>
  <c r="F11" i="14"/>
  <c r="BQ10" i="14"/>
  <c r="BP10" i="14"/>
  <c r="BM10" i="14"/>
  <c r="BN10" i="14" s="1"/>
  <c r="BB45" i="14" s="1"/>
  <c r="BH10" i="14"/>
  <c r="BG10" i="14"/>
  <c r="BD10" i="14"/>
  <c r="BE10" i="14" s="1"/>
  <c r="BA45" i="14" s="1"/>
  <c r="AQ10" i="14"/>
  <c r="AP10" i="14"/>
  <c r="AM10" i="14"/>
  <c r="AH10" i="14"/>
  <c r="AG10" i="14"/>
  <c r="AD10" i="14"/>
  <c r="AE10" i="14" s="1"/>
  <c r="AA45" i="14" s="1"/>
  <c r="S10" i="14"/>
  <c r="R10" i="14"/>
  <c r="O10" i="14"/>
  <c r="P10" i="14" s="1"/>
  <c r="D45" i="14" s="1"/>
  <c r="I10" i="14"/>
  <c r="F10" i="14"/>
  <c r="G10" i="14" s="1"/>
  <c r="C45" i="14" s="1"/>
  <c r="BQ9" i="14"/>
  <c r="BP9" i="14"/>
  <c r="BM9" i="14"/>
  <c r="BH9" i="14"/>
  <c r="BG9" i="14"/>
  <c r="BD9" i="14"/>
  <c r="BE9" i="14" s="1"/>
  <c r="BA44" i="14" s="1"/>
  <c r="AQ9" i="14"/>
  <c r="AP9" i="14"/>
  <c r="AM9" i="14"/>
  <c r="AN9" i="14" s="1"/>
  <c r="AB44" i="14" s="1"/>
  <c r="AH9" i="14"/>
  <c r="AG9" i="14"/>
  <c r="AD9" i="14"/>
  <c r="AE9" i="14" s="1"/>
  <c r="AA44" i="14" s="1"/>
  <c r="S9" i="14"/>
  <c r="R9" i="14"/>
  <c r="O9" i="14"/>
  <c r="I9" i="14"/>
  <c r="F9" i="14"/>
  <c r="G9" i="14" s="1"/>
  <c r="K44" i="14" s="1"/>
  <c r="BQ8" i="14"/>
  <c r="BP8" i="14"/>
  <c r="BM8" i="14"/>
  <c r="BN8" i="14" s="1"/>
  <c r="BB43" i="14" s="1"/>
  <c r="BH8" i="14"/>
  <c r="BG8" i="14"/>
  <c r="BD8" i="14"/>
  <c r="BE8" i="14" s="1"/>
  <c r="BA43" i="14" s="1"/>
  <c r="AQ8" i="14"/>
  <c r="AP8" i="14"/>
  <c r="AM8" i="14"/>
  <c r="AH8" i="14"/>
  <c r="AG8" i="14"/>
  <c r="AD8" i="14"/>
  <c r="AE8" i="14" s="1"/>
  <c r="AA43" i="14" s="1"/>
  <c r="S8" i="14"/>
  <c r="R8" i="14"/>
  <c r="O8" i="14"/>
  <c r="P8" i="14" s="1"/>
  <c r="D43" i="14" s="1"/>
  <c r="I8" i="14"/>
  <c r="F8" i="14"/>
  <c r="BQ7" i="14"/>
  <c r="BP7" i="14"/>
  <c r="BM7" i="14"/>
  <c r="BH7" i="14"/>
  <c r="BG7" i="14"/>
  <c r="BD7" i="14"/>
  <c r="BE7" i="14" s="1"/>
  <c r="BA42" i="14" s="1"/>
  <c r="AQ7" i="14"/>
  <c r="AP7" i="14"/>
  <c r="AM7" i="14"/>
  <c r="AN7" i="14" s="1"/>
  <c r="AB42" i="14" s="1"/>
  <c r="AH7" i="14"/>
  <c r="AG7" i="14"/>
  <c r="AD7" i="14"/>
  <c r="S7" i="14"/>
  <c r="R7" i="14"/>
  <c r="O7" i="14"/>
  <c r="P7" i="14" s="1"/>
  <c r="D42" i="14" s="1"/>
  <c r="I7" i="14"/>
  <c r="F7" i="14"/>
  <c r="G7" i="14" s="1"/>
  <c r="C42" i="14" s="1"/>
  <c r="BQ6" i="14"/>
  <c r="BP6" i="14"/>
  <c r="BM6" i="14"/>
  <c r="BN6" i="14" s="1"/>
  <c r="BB41" i="14" s="1"/>
  <c r="BH6" i="14"/>
  <c r="BG6" i="14"/>
  <c r="BD6" i="14"/>
  <c r="AQ6" i="14"/>
  <c r="AP6" i="14"/>
  <c r="AM6" i="14"/>
  <c r="AH6" i="14"/>
  <c r="AG6" i="14"/>
  <c r="AD6" i="14"/>
  <c r="AE6" i="14" s="1"/>
  <c r="AA41" i="14" s="1"/>
  <c r="S6" i="14"/>
  <c r="R6" i="14"/>
  <c r="O6" i="14"/>
  <c r="P6" i="14" s="1"/>
  <c r="D41" i="14" s="1"/>
  <c r="I6" i="14"/>
  <c r="F6" i="14"/>
  <c r="G6" i="14" s="1"/>
  <c r="C41" i="14" s="1"/>
  <c r="G11" i="14" l="1"/>
  <c r="C46" i="14" s="1"/>
  <c r="AJ35" i="16"/>
  <c r="H36" i="15"/>
  <c r="N36" i="15"/>
  <c r="W36" i="15"/>
  <c r="AC36" i="15"/>
  <c r="D36" i="15"/>
  <c r="AL36" i="15"/>
  <c r="AR36" i="15"/>
  <c r="AH36" i="15"/>
  <c r="K36" i="15"/>
  <c r="S36" i="15"/>
  <c r="Z36" i="15"/>
  <c r="AO36" i="15"/>
  <c r="AF5" i="19"/>
  <c r="AF6" i="19"/>
  <c r="AK67" i="14"/>
  <c r="AK59" i="14"/>
  <c r="AK55" i="14"/>
  <c r="AK51" i="14"/>
  <c r="AK70" i="14"/>
  <c r="AK58" i="14"/>
  <c r="K68" i="14"/>
  <c r="BF27" i="14"/>
  <c r="K64" i="14"/>
  <c r="BO30" i="14"/>
  <c r="BO26" i="14"/>
  <c r="BO22" i="14"/>
  <c r="BO18" i="14"/>
  <c r="BO14" i="14"/>
  <c r="BO10" i="14"/>
  <c r="K60" i="14"/>
  <c r="K56" i="14"/>
  <c r="K52" i="14"/>
  <c r="K48" i="14"/>
  <c r="L41" i="14"/>
  <c r="L69" i="14"/>
  <c r="L65" i="14"/>
  <c r="L61" i="14"/>
  <c r="L57" i="14"/>
  <c r="L53" i="14"/>
  <c r="L49" i="14"/>
  <c r="L45" i="14"/>
  <c r="BO6" i="14"/>
  <c r="BO33" i="14"/>
  <c r="BO29" i="14"/>
  <c r="BO25" i="14"/>
  <c r="BO21" i="14"/>
  <c r="K67" i="14"/>
  <c r="K63" i="14"/>
  <c r="K59" i="14"/>
  <c r="K55" i="14"/>
  <c r="K51" i="14"/>
  <c r="K47" i="14"/>
  <c r="L42" i="14"/>
  <c r="L68" i="14"/>
  <c r="M68" i="14" s="1"/>
  <c r="L56" i="14"/>
  <c r="BF35" i="14"/>
  <c r="BO32" i="14"/>
  <c r="BO28" i="14"/>
  <c r="BO24" i="14"/>
  <c r="BO20" i="14"/>
  <c r="BO16" i="14"/>
  <c r="BO12" i="14"/>
  <c r="BO8" i="14"/>
  <c r="K41" i="14"/>
  <c r="K70" i="14"/>
  <c r="K66" i="14"/>
  <c r="K62" i="14"/>
  <c r="K58" i="14"/>
  <c r="K54" i="14"/>
  <c r="K50" i="14"/>
  <c r="K46" i="14"/>
  <c r="L43" i="14"/>
  <c r="L63" i="14"/>
  <c r="L59" i="14"/>
  <c r="M59" i="14" s="1"/>
  <c r="L55" i="14"/>
  <c r="L51" i="14"/>
  <c r="L47" i="14"/>
  <c r="BF31" i="14"/>
  <c r="BO35" i="14"/>
  <c r="BO31" i="14"/>
  <c r="BO27" i="14"/>
  <c r="BO23" i="14"/>
  <c r="BO19" i="14"/>
  <c r="K42" i="14"/>
  <c r="K69" i="14"/>
  <c r="K65" i="14"/>
  <c r="K61" i="14"/>
  <c r="K57" i="14"/>
  <c r="K53" i="14"/>
  <c r="K49" i="14"/>
  <c r="K45" i="14"/>
  <c r="L70" i="14"/>
  <c r="L66" i="14"/>
  <c r="BF23" i="14"/>
  <c r="BF19" i="14"/>
  <c r="BF15" i="14"/>
  <c r="BF11" i="14"/>
  <c r="BF34" i="14"/>
  <c r="BF30" i="14"/>
  <c r="BF26" i="14"/>
  <c r="BF22" i="14"/>
  <c r="BF18" i="14"/>
  <c r="BF14" i="14"/>
  <c r="BF10" i="14"/>
  <c r="BF33" i="14"/>
  <c r="BF29" i="14"/>
  <c r="BF25" i="14"/>
  <c r="BF21" i="14"/>
  <c r="BF17" i="14"/>
  <c r="BF13" i="14"/>
  <c r="BF9" i="14"/>
  <c r="BF7" i="14"/>
  <c r="BF32" i="14"/>
  <c r="BF28" i="14"/>
  <c r="BF24" i="14"/>
  <c r="BF20" i="14"/>
  <c r="BF16" i="14"/>
  <c r="BF12" i="14"/>
  <c r="BF8" i="14"/>
  <c r="AF30" i="14"/>
  <c r="AO31" i="14"/>
  <c r="AO27" i="14"/>
  <c r="AO23" i="14"/>
  <c r="AO19" i="14"/>
  <c r="AO15" i="14"/>
  <c r="AO11" i="14"/>
  <c r="AI34" i="14"/>
  <c r="AF26" i="14"/>
  <c r="AO34" i="14"/>
  <c r="AO30" i="14"/>
  <c r="AO26" i="14"/>
  <c r="AO22" i="14"/>
  <c r="AO18" i="14"/>
  <c r="AO29" i="14"/>
  <c r="AO25" i="14"/>
  <c r="AO21" i="14"/>
  <c r="AO17" i="14"/>
  <c r="AO13" i="14"/>
  <c r="AO9" i="14"/>
  <c r="AF34" i="14"/>
  <c r="AO7" i="14"/>
  <c r="AO32" i="14"/>
  <c r="AO28" i="14"/>
  <c r="AO24" i="14"/>
  <c r="AO20" i="14"/>
  <c r="AF22" i="14"/>
  <c r="AF18" i="14"/>
  <c r="AF14" i="14"/>
  <c r="AF10" i="14"/>
  <c r="AF33" i="14"/>
  <c r="AF29" i="14"/>
  <c r="AF25" i="14"/>
  <c r="AF21" i="14"/>
  <c r="AF17" i="14"/>
  <c r="AF13" i="14"/>
  <c r="AF9" i="14"/>
  <c r="AF6" i="14"/>
  <c r="AF32" i="14"/>
  <c r="AF28" i="14"/>
  <c r="AF24" i="14"/>
  <c r="AF20" i="14"/>
  <c r="AF16" i="14"/>
  <c r="AF12" i="14"/>
  <c r="AF8" i="14"/>
  <c r="AF31" i="14"/>
  <c r="AF27" i="14"/>
  <c r="AF23" i="14"/>
  <c r="AF19" i="14"/>
  <c r="AF15" i="14"/>
  <c r="AF11" i="14"/>
  <c r="AF35" i="14"/>
  <c r="H35" i="14"/>
  <c r="T25" i="14"/>
  <c r="Q35" i="14"/>
  <c r="Q31" i="14"/>
  <c r="D64" i="14"/>
  <c r="E64" i="14" s="1"/>
  <c r="Q29" i="14"/>
  <c r="H27" i="14"/>
  <c r="Q34" i="14"/>
  <c r="Q30" i="14"/>
  <c r="Q26" i="14"/>
  <c r="Q22" i="14"/>
  <c r="Q18" i="14"/>
  <c r="Q14" i="14"/>
  <c r="Q10" i="14"/>
  <c r="AI28" i="14"/>
  <c r="Q6" i="14"/>
  <c r="Q33" i="14"/>
  <c r="Q21" i="14"/>
  <c r="AR33" i="14"/>
  <c r="Q7" i="14"/>
  <c r="Q28" i="14"/>
  <c r="Q24" i="14"/>
  <c r="Q20" i="14"/>
  <c r="Q16" i="14"/>
  <c r="Q12" i="14"/>
  <c r="Q8" i="14"/>
  <c r="C44" i="14"/>
  <c r="H9" i="14"/>
  <c r="H31" i="14"/>
  <c r="H23" i="14"/>
  <c r="H19" i="14"/>
  <c r="H15" i="14"/>
  <c r="H11" i="14"/>
  <c r="BI19" i="14"/>
  <c r="T20" i="14"/>
  <c r="BC59" i="14"/>
  <c r="BR24" i="14"/>
  <c r="T33" i="14"/>
  <c r="BI34" i="14"/>
  <c r="AI35" i="14"/>
  <c r="H34" i="14"/>
  <c r="H30" i="14"/>
  <c r="H26" i="14"/>
  <c r="H22" i="14"/>
  <c r="H18" i="14"/>
  <c r="H14" i="14"/>
  <c r="H10" i="14"/>
  <c r="K9" i="14"/>
  <c r="BI9" i="14"/>
  <c r="AI10" i="14"/>
  <c r="AC54" i="14"/>
  <c r="AR19" i="14"/>
  <c r="AI22" i="14"/>
  <c r="AR34" i="14"/>
  <c r="H6" i="14"/>
  <c r="H33" i="14"/>
  <c r="H29" i="14"/>
  <c r="H25" i="14"/>
  <c r="H21" i="14"/>
  <c r="H17" i="14"/>
  <c r="H13" i="14"/>
  <c r="AR8" i="14"/>
  <c r="T9" i="14"/>
  <c r="T19" i="14"/>
  <c r="T22" i="14"/>
  <c r="H7" i="14"/>
  <c r="H32" i="14"/>
  <c r="H28" i="14"/>
  <c r="H24" i="14"/>
  <c r="H20" i="14"/>
  <c r="H16" i="14"/>
  <c r="H12" i="14"/>
  <c r="BC53" i="14"/>
  <c r="BR18" i="14"/>
  <c r="BI27" i="14"/>
  <c r="T28" i="14"/>
  <c r="AI30" i="14"/>
  <c r="BC67" i="14"/>
  <c r="K33" i="14"/>
  <c r="K15" i="14"/>
  <c r="BI15" i="14"/>
  <c r="AI16" i="14"/>
  <c r="BR26" i="14"/>
  <c r="T27" i="14"/>
  <c r="AC62" i="14"/>
  <c r="AR27" i="14"/>
  <c r="T30" i="14"/>
  <c r="AR14" i="14"/>
  <c r="T15" i="14"/>
  <c r="AI20" i="14"/>
  <c r="AR25" i="14"/>
  <c r="BI25" i="14"/>
  <c r="P27" i="14"/>
  <c r="L62" i="14" s="1"/>
  <c r="AC44" i="14"/>
  <c r="T10" i="14"/>
  <c r="AC50" i="14"/>
  <c r="T16" i="14"/>
  <c r="P19" i="14"/>
  <c r="L54" i="14" s="1"/>
  <c r="BR8" i="14"/>
  <c r="AR9" i="14"/>
  <c r="T14" i="14"/>
  <c r="AR7" i="14"/>
  <c r="E45" i="14"/>
  <c r="AR13" i="14"/>
  <c r="E49" i="14"/>
  <c r="BC51" i="14"/>
  <c r="BR16" i="14"/>
  <c r="K17" i="14"/>
  <c r="AR17" i="14"/>
  <c r="BI17" i="14"/>
  <c r="T18" i="14"/>
  <c r="AI18" i="14"/>
  <c r="BR22" i="14"/>
  <c r="T23" i="14"/>
  <c r="AC58" i="14"/>
  <c r="AR23" i="14"/>
  <c r="BI23" i="14"/>
  <c r="P25" i="14"/>
  <c r="L60" i="14" s="1"/>
  <c r="T26" i="14"/>
  <c r="AI26" i="14"/>
  <c r="BC65" i="14"/>
  <c r="K32" i="14"/>
  <c r="AC67" i="14"/>
  <c r="BI32" i="14"/>
  <c r="E69" i="14"/>
  <c r="BI35" i="14"/>
  <c r="T8" i="14"/>
  <c r="BR14" i="14"/>
  <c r="AR15" i="14"/>
  <c r="BR6" i="14"/>
  <c r="BR7" i="14"/>
  <c r="BC47" i="14"/>
  <c r="BR12" i="14"/>
  <c r="BR13" i="14"/>
  <c r="BC55" i="14"/>
  <c r="BR20" i="14"/>
  <c r="T21" i="14"/>
  <c r="AC56" i="14"/>
  <c r="AR21" i="14"/>
  <c r="BI21" i="14"/>
  <c r="P23" i="14"/>
  <c r="L58" i="14" s="1"/>
  <c r="T24" i="14"/>
  <c r="AI24" i="14"/>
  <c r="BC63" i="14"/>
  <c r="BR28" i="14"/>
  <c r="T29" i="14"/>
  <c r="AR29" i="14"/>
  <c r="BI29" i="14"/>
  <c r="BR30" i="14"/>
  <c r="AC66" i="14"/>
  <c r="BI31" i="14"/>
  <c r="BR31" i="14"/>
  <c r="T32" i="14"/>
  <c r="AI33" i="14"/>
  <c r="BC68" i="14"/>
  <c r="T6" i="14"/>
  <c r="AI6" i="14"/>
  <c r="BR9" i="14"/>
  <c r="BR10" i="14"/>
  <c r="K11" i="14"/>
  <c r="AC46" i="14"/>
  <c r="AR11" i="14"/>
  <c r="BI11" i="14"/>
  <c r="T12" i="14"/>
  <c r="AI12" i="14"/>
  <c r="BR15" i="14"/>
  <c r="AR16" i="14"/>
  <c r="T17" i="14"/>
  <c r="E53" i="14"/>
  <c r="BR19" i="14"/>
  <c r="E55" i="14"/>
  <c r="BR21" i="14"/>
  <c r="E57" i="14"/>
  <c r="BR23" i="14"/>
  <c r="BR25" i="14"/>
  <c r="E61" i="14"/>
  <c r="BR27" i="14"/>
  <c r="BR29" i="14"/>
  <c r="E65" i="14"/>
  <c r="E66" i="14"/>
  <c r="T31" i="14"/>
  <c r="P32" i="14"/>
  <c r="L67" i="14" s="1"/>
  <c r="AR32" i="14"/>
  <c r="AN33" i="14"/>
  <c r="K34" i="14"/>
  <c r="BR34" i="14"/>
  <c r="E70" i="14"/>
  <c r="T35" i="14"/>
  <c r="BC70" i="14"/>
  <c r="BI6" i="14"/>
  <c r="K7" i="14"/>
  <c r="AI7" i="14"/>
  <c r="BI7" i="14"/>
  <c r="AI8" i="14"/>
  <c r="K10" i="14"/>
  <c r="AR10" i="14"/>
  <c r="T11" i="14"/>
  <c r="K13" i="14"/>
  <c r="BI13" i="14"/>
  <c r="AI14" i="14"/>
  <c r="BR17" i="14"/>
  <c r="AR18" i="14"/>
  <c r="K19" i="14"/>
  <c r="AR20" i="14"/>
  <c r="K21" i="14"/>
  <c r="AR22" i="14"/>
  <c r="K23" i="14"/>
  <c r="AR24" i="14"/>
  <c r="K25" i="14"/>
  <c r="AR26" i="14"/>
  <c r="K27" i="14"/>
  <c r="AR28" i="14"/>
  <c r="K29" i="14"/>
  <c r="AR30" i="14"/>
  <c r="AR31" i="14"/>
  <c r="BC66" i="14"/>
  <c r="BR32" i="14"/>
  <c r="BR33" i="14"/>
  <c r="T34" i="14"/>
  <c r="AC69" i="14"/>
  <c r="BN34" i="14"/>
  <c r="AR35" i="14"/>
  <c r="BR35" i="14"/>
  <c r="AR6" i="14"/>
  <c r="K8" i="14"/>
  <c r="BR11" i="14"/>
  <c r="AR12" i="14"/>
  <c r="T13" i="14"/>
  <c r="BI33" i="14"/>
  <c r="E41" i="14"/>
  <c r="BC43" i="14"/>
  <c r="BC45" i="14"/>
  <c r="AC48" i="14"/>
  <c r="E51" i="14"/>
  <c r="BC57" i="14"/>
  <c r="E59" i="14"/>
  <c r="AC60" i="14"/>
  <c r="BC61" i="14"/>
  <c r="E63" i="14"/>
  <c r="AC64" i="14"/>
  <c r="E47" i="14"/>
  <c r="BC49" i="14"/>
  <c r="AC52" i="14"/>
  <c r="P9" i="14"/>
  <c r="L44" i="14" s="1"/>
  <c r="M44" i="14" s="1"/>
  <c r="AI9" i="14"/>
  <c r="BN9" i="14"/>
  <c r="AN10" i="14"/>
  <c r="BI10" i="14"/>
  <c r="P11" i="14"/>
  <c r="L46" i="14" s="1"/>
  <c r="AI11" i="14"/>
  <c r="BN11" i="14"/>
  <c r="K12" i="14"/>
  <c r="AN12" i="14"/>
  <c r="BI12" i="14"/>
  <c r="P13" i="14"/>
  <c r="L48" i="14" s="1"/>
  <c r="AI13" i="14"/>
  <c r="BN13" i="14"/>
  <c r="K14" i="14"/>
  <c r="AN14" i="14"/>
  <c r="BI14" i="14"/>
  <c r="P15" i="14"/>
  <c r="L50" i="14" s="1"/>
  <c r="AI15" i="14"/>
  <c r="BN15" i="14"/>
  <c r="K16" i="14"/>
  <c r="AN16" i="14"/>
  <c r="BI16" i="14"/>
  <c r="P17" i="14"/>
  <c r="L52" i="14" s="1"/>
  <c r="AI17" i="14"/>
  <c r="BN17" i="14"/>
  <c r="K18" i="14"/>
  <c r="BI18" i="14"/>
  <c r="AI19" i="14"/>
  <c r="K20" i="14"/>
  <c r="BI20" i="14"/>
  <c r="AI21" i="14"/>
  <c r="K22" i="14"/>
  <c r="BI22" i="14"/>
  <c r="AI23" i="14"/>
  <c r="K24" i="14"/>
  <c r="BI24" i="14"/>
  <c r="AI25" i="14"/>
  <c r="K26" i="14"/>
  <c r="BI26" i="14"/>
  <c r="AI27" i="14"/>
  <c r="K28" i="14"/>
  <c r="BI28" i="14"/>
  <c r="AI29" i="14"/>
  <c r="K30" i="14"/>
  <c r="E42" i="14"/>
  <c r="T7" i="14"/>
  <c r="K6" i="14"/>
  <c r="AN6" i="14"/>
  <c r="BN7" i="14"/>
  <c r="AN8" i="14"/>
  <c r="BI8" i="14"/>
  <c r="BE6" i="14"/>
  <c r="AE7" i="14"/>
  <c r="G8" i="14"/>
  <c r="K43" i="14" s="1"/>
  <c r="AI32" i="14"/>
  <c r="E68" i="14"/>
  <c r="K35" i="14"/>
  <c r="AC53" i="14"/>
  <c r="BC54" i="14"/>
  <c r="AC55" i="14"/>
  <c r="E56" i="14"/>
  <c r="BC56" i="14"/>
  <c r="AC57" i="14"/>
  <c r="BC58" i="14"/>
  <c r="AC59" i="14"/>
  <c r="BC60" i="14"/>
  <c r="AC61" i="14"/>
  <c r="BC62" i="14"/>
  <c r="AC63" i="14"/>
  <c r="BC64" i="14"/>
  <c r="AC65" i="14"/>
  <c r="BI30" i="14"/>
  <c r="K31" i="14"/>
  <c r="AI31" i="14"/>
  <c r="AN35" i="14"/>
  <c r="M51" i="14" l="1"/>
  <c r="M49" i="14"/>
  <c r="M67" i="14"/>
  <c r="M45" i="14"/>
  <c r="M61" i="14"/>
  <c r="M64" i="14"/>
  <c r="M43" i="14"/>
  <c r="M57" i="14"/>
  <c r="M42" i="14"/>
  <c r="M41" i="14"/>
  <c r="M65" i="14"/>
  <c r="M53" i="14"/>
  <c r="M69" i="14"/>
  <c r="M63" i="14"/>
  <c r="BB42" i="14"/>
  <c r="BC42" i="14" s="1"/>
  <c r="BO7" i="14"/>
  <c r="BB52" i="14"/>
  <c r="BC52" i="14" s="1"/>
  <c r="BO17" i="14"/>
  <c r="BB48" i="14"/>
  <c r="BC48" i="14" s="1"/>
  <c r="BO13" i="14"/>
  <c r="BB69" i="14"/>
  <c r="BC69" i="14" s="1"/>
  <c r="BO34" i="14"/>
  <c r="M54" i="14"/>
  <c r="M70" i="14"/>
  <c r="M48" i="14"/>
  <c r="M58" i="14"/>
  <c r="M47" i="14"/>
  <c r="M52" i="14"/>
  <c r="BB50" i="14"/>
  <c r="BC50" i="14" s="1"/>
  <c r="BO15" i="14"/>
  <c r="BB46" i="14"/>
  <c r="BC46" i="14" s="1"/>
  <c r="BO11" i="14"/>
  <c r="M46" i="14"/>
  <c r="M62" i="14"/>
  <c r="M56" i="14"/>
  <c r="BB44" i="14"/>
  <c r="BC44" i="14" s="1"/>
  <c r="BO9" i="14"/>
  <c r="M50" i="14"/>
  <c r="M66" i="14"/>
  <c r="M55" i="14"/>
  <c r="M60" i="14"/>
  <c r="BA41" i="14"/>
  <c r="BC41" i="14" s="1"/>
  <c r="BF6" i="14"/>
  <c r="AB41" i="14"/>
  <c r="AC41" i="14" s="1"/>
  <c r="AO6" i="14"/>
  <c r="AB68" i="14"/>
  <c r="AC68" i="14" s="1"/>
  <c r="AO33" i="14"/>
  <c r="AB49" i="14"/>
  <c r="AC49" i="14" s="1"/>
  <c r="AO14" i="14"/>
  <c r="AB45" i="14"/>
  <c r="AC45" i="14" s="1"/>
  <c r="AO10" i="14"/>
  <c r="AB70" i="14"/>
  <c r="AC70" i="14" s="1"/>
  <c r="AO35" i="14"/>
  <c r="AB43" i="14"/>
  <c r="AC43" i="14" s="1"/>
  <c r="AO8" i="14"/>
  <c r="AB51" i="14"/>
  <c r="AC51" i="14" s="1"/>
  <c r="AO16" i="14"/>
  <c r="AB47" i="14"/>
  <c r="AC47" i="14" s="1"/>
  <c r="AO12" i="14"/>
  <c r="AA42" i="14"/>
  <c r="AC42" i="14" s="1"/>
  <c r="AF7" i="14"/>
  <c r="D52" i="14"/>
  <c r="E52" i="14" s="1"/>
  <c r="Q17" i="14"/>
  <c r="D48" i="14"/>
  <c r="E48" i="14" s="1"/>
  <c r="Q13" i="14"/>
  <c r="D50" i="14"/>
  <c r="E50" i="14" s="1"/>
  <c r="Q15" i="14"/>
  <c r="D46" i="14"/>
  <c r="E46" i="14" s="1"/>
  <c r="Q11" i="14"/>
  <c r="D67" i="14"/>
  <c r="E67" i="14" s="1"/>
  <c r="Q32" i="14"/>
  <c r="D60" i="14"/>
  <c r="E60" i="14" s="1"/>
  <c r="Q25" i="14"/>
  <c r="D54" i="14"/>
  <c r="E54" i="14" s="1"/>
  <c r="Q19" i="14"/>
  <c r="D44" i="14"/>
  <c r="E44" i="14" s="1"/>
  <c r="Q9" i="14"/>
  <c r="D58" i="14"/>
  <c r="E58" i="14" s="1"/>
  <c r="Q23" i="14"/>
  <c r="D62" i="14"/>
  <c r="E62" i="14" s="1"/>
  <c r="Q27" i="14"/>
  <c r="C43" i="14"/>
  <c r="E43" i="14" s="1"/>
  <c r="H8" i="14"/>
</calcChain>
</file>

<file path=xl/sharedStrings.xml><?xml version="1.0" encoding="utf-8"?>
<sst xmlns="http://schemas.openxmlformats.org/spreadsheetml/2006/main" count="1038" uniqueCount="241">
  <si>
    <t>ISOHELIX</t>
  </si>
  <si>
    <t>Oracollect</t>
  </si>
  <si>
    <t>Oragene</t>
  </si>
  <si>
    <t>1:50</t>
  </si>
  <si>
    <t>1:100</t>
  </si>
  <si>
    <t>1:500</t>
  </si>
  <si>
    <t>1:1000</t>
  </si>
  <si>
    <t>Parallell 1</t>
  </si>
  <si>
    <t>Parallell 2</t>
  </si>
  <si>
    <t xml:space="preserve">Parallell 3 </t>
  </si>
  <si>
    <t>Gjennomsnitt</t>
  </si>
  <si>
    <t>Standardavvik - %</t>
  </si>
  <si>
    <t>Prosentavvik mellom paralleller</t>
  </si>
  <si>
    <t>CV%</t>
  </si>
  <si>
    <t>Parallell 3</t>
  </si>
  <si>
    <t>Standardavvik</t>
  </si>
  <si>
    <t>Isohelix 1</t>
  </si>
  <si>
    <t>Isohelix 2</t>
  </si>
  <si>
    <t>Isohelix 3</t>
  </si>
  <si>
    <t>Isohelix 4</t>
  </si>
  <si>
    <t>Isohelix 5</t>
  </si>
  <si>
    <t>Isohelix 6</t>
  </si>
  <si>
    <t>Isohelix 7</t>
  </si>
  <si>
    <t>Isohelix 8</t>
  </si>
  <si>
    <t>Isohelix 9</t>
  </si>
  <si>
    <t>Isohelix 10</t>
  </si>
  <si>
    <t>Isohelix 11</t>
  </si>
  <si>
    <t>Isohelix 12</t>
  </si>
  <si>
    <t>Isohelix 13</t>
  </si>
  <si>
    <t>Isohelix 14</t>
  </si>
  <si>
    <t>Isohelix 15</t>
  </si>
  <si>
    <t>Isohelix 16</t>
  </si>
  <si>
    <t>Isohelix 17</t>
  </si>
  <si>
    <t>Isohelix 18</t>
  </si>
  <si>
    <t>Isohelix 19</t>
  </si>
  <si>
    <t>Isohelix 20</t>
  </si>
  <si>
    <t>Isohelix 21</t>
  </si>
  <si>
    <t>Isohelix 22</t>
  </si>
  <si>
    <t>Isohelix 23</t>
  </si>
  <si>
    <t>Isohelix 24</t>
  </si>
  <si>
    <t>Isohelix 25</t>
  </si>
  <si>
    <t>Isohelix 26</t>
  </si>
  <si>
    <t>Isohelix 27</t>
  </si>
  <si>
    <t>Isohelix 28</t>
  </si>
  <si>
    <t>Isohelix 29</t>
  </si>
  <si>
    <t>Isohelix 30</t>
  </si>
  <si>
    <t>UTELIGGER TEST:</t>
  </si>
  <si>
    <t>Qobs &gt; Qkrit = Uteligger</t>
  </si>
  <si>
    <t>Qkrit = 0,98</t>
  </si>
  <si>
    <t>Qkrit =</t>
  </si>
  <si>
    <t>Qkrit:</t>
  </si>
  <si>
    <t>Prøve 6:</t>
  </si>
  <si>
    <t>Qobs=</t>
  </si>
  <si>
    <t>==&gt;</t>
  </si>
  <si>
    <t>Ikke uteligger</t>
  </si>
  <si>
    <t>Prøve 2:</t>
  </si>
  <si>
    <t>Qobs =</t>
  </si>
  <si>
    <t>Prøve 9:</t>
  </si>
  <si>
    <t>Prøve 16:</t>
  </si>
  <si>
    <t>Prøve 4:</t>
  </si>
  <si>
    <t>Prøve 23:</t>
  </si>
  <si>
    <t>Prøve 7:</t>
  </si>
  <si>
    <t>Prøve 17:</t>
  </si>
  <si>
    <t>Prøve 22:</t>
  </si>
  <si>
    <t xml:space="preserve">Qobs= </t>
  </si>
  <si>
    <t>Prøve 28:</t>
  </si>
  <si>
    <t>Prøve 26:</t>
  </si>
  <si>
    <t>Prøve 27:</t>
  </si>
  <si>
    <t>Prøve 1:</t>
  </si>
  <si>
    <t>Prøve 25:</t>
  </si>
  <si>
    <t>NanoDrop</t>
  </si>
  <si>
    <t>Lunatic</t>
  </si>
  <si>
    <t>Qubit</t>
  </si>
  <si>
    <t>PCR</t>
  </si>
  <si>
    <t>Ratio 260/280</t>
  </si>
  <si>
    <t>--</t>
  </si>
  <si>
    <t>Prosentandel humant DNA</t>
  </si>
  <si>
    <t>Nanodrop</t>
  </si>
  <si>
    <t>Humant DNA</t>
  </si>
  <si>
    <t>Gjennomsnittlig prosentandel humant DNA i isohelix-prøvene:</t>
  </si>
  <si>
    <t>Isohelix</t>
  </si>
  <si>
    <t>PREFERANSE AV MUNNHULESWAB HOS DELTAKERNE</t>
  </si>
  <si>
    <t>Prøvetype</t>
  </si>
  <si>
    <t>Antall svar</t>
  </si>
  <si>
    <t>Antall svar i %</t>
  </si>
  <si>
    <t>Ikke svart</t>
  </si>
  <si>
    <t xml:space="preserve">Total antall svar: </t>
  </si>
  <si>
    <t>Paret, ensidig T-test</t>
  </si>
  <si>
    <t>H0:</t>
  </si>
  <si>
    <t>H1:</t>
  </si>
  <si>
    <t xml:space="preserve"> </t>
  </si>
  <si>
    <t>T-Test: Gjennomsnitt for to parvise utvalg</t>
  </si>
  <si>
    <t>Varians</t>
  </si>
  <si>
    <t>Observasjoner</t>
  </si>
  <si>
    <t>Pearson-korrelasjon</t>
  </si>
  <si>
    <t>Antatt avvik mellom gjennomsnittene</t>
  </si>
  <si>
    <t>fg</t>
  </si>
  <si>
    <t>t-Stat</t>
  </si>
  <si>
    <t>Tobs</t>
  </si>
  <si>
    <t>P(T&lt;=t) ensidig</t>
  </si>
  <si>
    <t>T-kritisk, ensidig</t>
  </si>
  <si>
    <t>Tkrit</t>
  </si>
  <si>
    <t>P(T&lt;=t) tosidig</t>
  </si>
  <si>
    <t>T-kritisk, tosidig</t>
  </si>
  <si>
    <t>Tobs &gt; Tkrit = Påstår H1</t>
  </si>
  <si>
    <t>Tobs &lt; Tkrit = Påstår H0</t>
  </si>
  <si>
    <t>RATIOER:</t>
  </si>
  <si>
    <t>Gjennomsnittsratio 260/280nm</t>
  </si>
  <si>
    <t>STANDARDKURVER PCR-kjøringene</t>
  </si>
  <si>
    <t>Prøver</t>
  </si>
  <si>
    <t>Oragene 1-16</t>
  </si>
  <si>
    <t>Oragene 17-30</t>
  </si>
  <si>
    <t>Korrelasjonskoeffisient (R^2)</t>
  </si>
  <si>
    <t>Isohelix 1-15</t>
  </si>
  <si>
    <t>Isohelix 16-30</t>
  </si>
  <si>
    <t>Oracollect 1-15</t>
  </si>
  <si>
    <t>Oracollect 16-30</t>
  </si>
  <si>
    <t>Godkjent</t>
  </si>
  <si>
    <t>Mengde/Utbytte</t>
  </si>
  <si>
    <t>Oracollect - Mengde/Utbytte</t>
  </si>
  <si>
    <t>Oragene - Mengde/Utbytte</t>
  </si>
  <si>
    <t>NANODROP - Mengde/Utbytte</t>
  </si>
  <si>
    <t>LUNATIC - Mengde/Utbytte</t>
  </si>
  <si>
    <t>Qubit - Mengde/Utbytte</t>
  </si>
  <si>
    <t>PCR - Mengde/Utbytte</t>
  </si>
  <si>
    <t>----</t>
  </si>
  <si>
    <t>---</t>
  </si>
  <si>
    <t>Mengde/Utbytte (ng)</t>
  </si>
  <si>
    <t>Konsentrasjon (ng/µL)</t>
  </si>
  <si>
    <t>Nanodrop mengde/utbytte (ng)</t>
  </si>
  <si>
    <t>PCR mengde/utbytte (ng)</t>
  </si>
  <si>
    <t xml:space="preserve">Humant DNA </t>
  </si>
  <si>
    <t>Prøvemengde/Eluat = 50µL</t>
  </si>
  <si>
    <t>Prøvemengde/Eluat = 150µL</t>
  </si>
  <si>
    <t>Mengde/Utbytte  (ng)</t>
  </si>
  <si>
    <t>Oracollect - Konsentrasjoner</t>
  </si>
  <si>
    <t>Isohelix - Mengde/Utbytte</t>
  </si>
  <si>
    <t>Isohelix - Konsentrasjoner</t>
  </si>
  <si>
    <t>Oragene - Konsentrasjoner</t>
  </si>
  <si>
    <t>ISOHELIX - Sammenligning av målt mengde/utbytte på de fire instrumentene (ng)</t>
  </si>
  <si>
    <t>ORACOLLECT - Sammenligning av målt mengde/utbytte på de fire instrumentene (ng)</t>
  </si>
  <si>
    <t>ORAGENE - Sammenligning av målt mengde/utbytte på de fire instrumentene (ng)</t>
  </si>
  <si>
    <t>GJENNOMSNITTSVERDIER FOR HUMANT DNA I PRØVE</t>
  </si>
  <si>
    <t>RATIO 260/280nm</t>
  </si>
  <si>
    <t>Ratio 260/230</t>
  </si>
  <si>
    <t>1,61</t>
  </si>
  <si>
    <t>1,57</t>
  </si>
  <si>
    <t>2,11</t>
  </si>
  <si>
    <t>0,80</t>
  </si>
  <si>
    <t>1,64</t>
  </si>
  <si>
    <t>1,83</t>
  </si>
  <si>
    <t>1,27</t>
  </si>
  <si>
    <t>1,99</t>
  </si>
  <si>
    <t>1,48</t>
  </si>
  <si>
    <t>1,76</t>
  </si>
  <si>
    <t>1,68</t>
  </si>
  <si>
    <t>1,78</t>
  </si>
  <si>
    <t>0,84</t>
  </si>
  <si>
    <t>1,96</t>
  </si>
  <si>
    <t>1,46</t>
  </si>
  <si>
    <t>1,33</t>
  </si>
  <si>
    <t>1,66</t>
  </si>
  <si>
    <t>1,24</t>
  </si>
  <si>
    <t>1,85</t>
  </si>
  <si>
    <t>1,17</t>
  </si>
  <si>
    <t>1,23</t>
  </si>
  <si>
    <t>1,63</t>
  </si>
  <si>
    <t>1,56</t>
  </si>
  <si>
    <t>1,34</t>
  </si>
  <si>
    <t>1,90</t>
  </si>
  <si>
    <t>1,36</t>
  </si>
  <si>
    <t>RATIO 260/230nm</t>
  </si>
  <si>
    <t>Vurdering av standardkurve</t>
  </si>
  <si>
    <t>VURDERING AV STANDARDKURVER UT FRA KORRELASJONSKOEFFISIENT</t>
  </si>
  <si>
    <t xml:space="preserve">Isohelix gir ikke høyere mengde DNA enn Oracollect </t>
  </si>
  <si>
    <t>Isohelix gir høyere mengde DNA enn Oracollect</t>
  </si>
  <si>
    <t>Konkluderer her med at siden Tobs &gt; Tkrit påstås H1,</t>
  </si>
  <si>
    <t>altså at isohelix gir høyere mengde DNA enn Oracollect</t>
  </si>
  <si>
    <t>Oracollect 1</t>
  </si>
  <si>
    <t>Oracollect 2</t>
  </si>
  <si>
    <t>Oracollect 3</t>
  </si>
  <si>
    <t>Oracollect 4</t>
  </si>
  <si>
    <t>Oracollect 5</t>
  </si>
  <si>
    <t>Oracollect 6</t>
  </si>
  <si>
    <t>Oracollect 7</t>
  </si>
  <si>
    <t>Oracollect 8</t>
  </si>
  <si>
    <t>Oracollect 9</t>
  </si>
  <si>
    <t>Oracollect 10</t>
  </si>
  <si>
    <t>Oracollect 11</t>
  </si>
  <si>
    <t>Oracollect 12</t>
  </si>
  <si>
    <t>Oracollect 13</t>
  </si>
  <si>
    <t>Oracollect 14</t>
  </si>
  <si>
    <t>Oracollect 15</t>
  </si>
  <si>
    <t>Oracollect 16</t>
  </si>
  <si>
    <t>Oracollect 17</t>
  </si>
  <si>
    <t>Oracollect 18</t>
  </si>
  <si>
    <t>Oracollect 19</t>
  </si>
  <si>
    <t>Oracollect 20</t>
  </si>
  <si>
    <t>Oracollect 21</t>
  </si>
  <si>
    <t>Oracollect 22</t>
  </si>
  <si>
    <t>Oracollect 23</t>
  </si>
  <si>
    <t>Oracollect 24</t>
  </si>
  <si>
    <t>Oracollect 25</t>
  </si>
  <si>
    <t>Oracollect 26</t>
  </si>
  <si>
    <t>Oracollect 27</t>
  </si>
  <si>
    <t>Oracollect 28</t>
  </si>
  <si>
    <t>Oracollect 29</t>
  </si>
  <si>
    <t>Oracollect 30</t>
  </si>
  <si>
    <t>Oragene 1</t>
  </si>
  <si>
    <t>Oragene 2</t>
  </si>
  <si>
    <t>Oragene 3</t>
  </si>
  <si>
    <t>Oragene 4</t>
  </si>
  <si>
    <t>Oragene 5</t>
  </si>
  <si>
    <t>Oragene 6</t>
  </si>
  <si>
    <t>Oragene 7</t>
  </si>
  <si>
    <t>Oragene 8</t>
  </si>
  <si>
    <t>Oragene 9</t>
  </si>
  <si>
    <t>Oragene 10</t>
  </si>
  <si>
    <t>Oragene 11</t>
  </si>
  <si>
    <t>Oragene 12</t>
  </si>
  <si>
    <t>Oragene 13</t>
  </si>
  <si>
    <t>Oragene 14</t>
  </si>
  <si>
    <t>Oragene 15</t>
  </si>
  <si>
    <t>Oragene 16</t>
  </si>
  <si>
    <t>Oragene 17</t>
  </si>
  <si>
    <t>Oragene 18</t>
  </si>
  <si>
    <t>Oragene 19</t>
  </si>
  <si>
    <t>Oragene 20</t>
  </si>
  <si>
    <t>Oragene 21</t>
  </si>
  <si>
    <t>Oragene 22</t>
  </si>
  <si>
    <t>Oragene 23</t>
  </si>
  <si>
    <t>Oragene 24</t>
  </si>
  <si>
    <t>Oragene 25</t>
  </si>
  <si>
    <t>Oragene 26</t>
  </si>
  <si>
    <t>Oragene 27</t>
  </si>
  <si>
    <t>Oragene 28</t>
  </si>
  <si>
    <t>Oragene 29</t>
  </si>
  <si>
    <t>Oragene 30</t>
  </si>
  <si>
    <t>Gjennomsnittlig prosentandel</t>
  </si>
  <si>
    <t>Gjennomsnittlig mengde humant DNA (µg)</t>
  </si>
  <si>
    <t>Prosentavvik mellom høyeste og laveste verdi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</si>
</sst>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"/>
    <numFmt numFmtId="166" formatCode="0.0000"/>
    <numFmt numFmtId="167" formatCode="0.0000000"/>
  </numFmts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 (Brødtekst)"/>
    </font>
    <font>
      <b/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B9F2"/>
        <bgColor indexed="64"/>
      </patternFill>
    </fill>
    <fill>
      <patternFill patternType="solid">
        <fgColor rgb="FFFFCAF6"/>
        <bgColor indexed="64"/>
      </patternFill>
    </fill>
    <fill>
      <patternFill patternType="solid">
        <fgColor rgb="FFFFDEF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B4C6E7"/>
        <bgColor indexed="64"/>
      </patternFill>
    </fill>
    <fill>
      <patternFill patternType="solid">
        <fgColor theme="8" tint="-0.249977111117893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3">
    <xf numFmtId="0" fontId="0" fillId="0" borderId="0" xfId="0"/>
    <xf numFmtId="0" fontId="1" fillId="9" borderId="15" xfId="0" applyFont="1" applyFill="1" applyBorder="1"/>
    <xf numFmtId="0" fontId="0" fillId="8" borderId="17" xfId="0" applyFill="1" applyBorder="1"/>
    <xf numFmtId="0" fontId="1" fillId="9" borderId="18" xfId="0" applyFont="1" applyFill="1" applyBorder="1"/>
    <xf numFmtId="0" fontId="0" fillId="8" borderId="19" xfId="0" applyFill="1" applyBorder="1"/>
    <xf numFmtId="1" fontId="0" fillId="8" borderId="10" xfId="0" applyNumberFormat="1" applyFill="1" applyBorder="1"/>
    <xf numFmtId="1" fontId="0" fillId="8" borderId="11" xfId="0" applyNumberFormat="1" applyFill="1" applyBorder="1"/>
    <xf numFmtId="0" fontId="1" fillId="9" borderId="16" xfId="0" applyFont="1" applyFill="1" applyBorder="1"/>
    <xf numFmtId="0" fontId="0" fillId="3" borderId="17" xfId="0" applyFill="1" applyBorder="1"/>
    <xf numFmtId="0" fontId="0" fillId="3" borderId="9" xfId="0" applyFill="1" applyBorder="1"/>
    <xf numFmtId="0" fontId="1" fillId="2" borderId="16" xfId="0" applyFont="1" applyFill="1" applyBorder="1"/>
    <xf numFmtId="0" fontId="1" fillId="2" borderId="15" xfId="0" applyFont="1" applyFill="1" applyBorder="1"/>
    <xf numFmtId="0" fontId="1" fillId="2" borderId="18" xfId="0" applyFont="1" applyFill="1" applyBorder="1"/>
    <xf numFmtId="0" fontId="0" fillId="3" borderId="10" xfId="0" applyFill="1" applyBorder="1"/>
    <xf numFmtId="0" fontId="0" fillId="5" borderId="17" xfId="0" applyFill="1" applyBorder="1"/>
    <xf numFmtId="0" fontId="0" fillId="5" borderId="19" xfId="0" applyFill="1" applyBorder="1"/>
    <xf numFmtId="0" fontId="0" fillId="5" borderId="17" xfId="0" applyFill="1" applyBorder="1" applyAlignment="1">
      <alignment horizontal="center"/>
    </xf>
    <xf numFmtId="0" fontId="0" fillId="5" borderId="10" xfId="0" applyFill="1" applyBorder="1"/>
    <xf numFmtId="0" fontId="0" fillId="5" borderId="11" xfId="0" applyFill="1" applyBorder="1"/>
    <xf numFmtId="0" fontId="0" fillId="5" borderId="9" xfId="0" applyFill="1" applyBorder="1" applyAlignment="1">
      <alignment horizontal="center"/>
    </xf>
    <xf numFmtId="0" fontId="0" fillId="5" borderId="8" xfId="0" applyFill="1" applyBorder="1"/>
    <xf numFmtId="0" fontId="0" fillId="5" borderId="9" xfId="0" applyFill="1" applyBorder="1"/>
    <xf numFmtId="2" fontId="0" fillId="5" borderId="17" xfId="0" applyNumberFormat="1" applyFill="1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0" fontId="0" fillId="5" borderId="9" xfId="0" quotePrefix="1" applyFill="1" applyBorder="1" applyAlignment="1">
      <alignment horizontal="center"/>
    </xf>
    <xf numFmtId="0" fontId="0" fillId="5" borderId="17" xfId="0" quotePrefix="1" applyFill="1" applyBorder="1" applyAlignment="1">
      <alignment horizontal="center"/>
    </xf>
    <xf numFmtId="0" fontId="0" fillId="8" borderId="9" xfId="0" quotePrefix="1" applyFill="1" applyBorder="1" applyAlignment="1">
      <alignment horizontal="center"/>
    </xf>
    <xf numFmtId="0" fontId="1" fillId="6" borderId="34" xfId="0" applyFont="1" applyFill="1" applyBorder="1"/>
    <xf numFmtId="0" fontId="1" fillId="6" borderId="26" xfId="0" applyFont="1" applyFill="1" applyBorder="1"/>
    <xf numFmtId="0" fontId="0" fillId="5" borderId="19" xfId="0" quotePrefix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2" fillId="10" borderId="37" xfId="0" applyFont="1" applyFill="1" applyBorder="1" applyAlignment="1">
      <alignment horizontal="center"/>
    </xf>
    <xf numFmtId="0" fontId="0" fillId="3" borderId="8" xfId="0" applyFill="1" applyBorder="1" applyAlignment="1">
      <alignment horizontal="right"/>
    </xf>
    <xf numFmtId="0" fontId="0" fillId="3" borderId="11" xfId="0" applyFill="1" applyBorder="1"/>
    <xf numFmtId="0" fontId="0" fillId="0" borderId="0" xfId="0" applyAlignment="1">
      <alignment horizontal="center"/>
    </xf>
    <xf numFmtId="0" fontId="0" fillId="3" borderId="17" xfId="0" quotePrefix="1" applyFill="1" applyBorder="1" applyAlignment="1">
      <alignment horizontal="center"/>
    </xf>
    <xf numFmtId="0" fontId="0" fillId="3" borderId="19" xfId="0" quotePrefix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0" fillId="8" borderId="25" xfId="0" quotePrefix="1" applyFill="1" applyBorder="1" applyAlignment="1">
      <alignment horizontal="center"/>
    </xf>
    <xf numFmtId="2" fontId="0" fillId="8" borderId="10" xfId="0" applyNumberFormat="1" applyFill="1" applyBorder="1"/>
    <xf numFmtId="2" fontId="0" fillId="8" borderId="11" xfId="0" applyNumberFormat="1" applyFill="1" applyBorder="1"/>
    <xf numFmtId="0" fontId="0" fillId="8" borderId="10" xfId="0" applyFill="1" applyBorder="1"/>
    <xf numFmtId="0" fontId="0" fillId="8" borderId="17" xfId="0" quotePrefix="1" applyFill="1" applyBorder="1" applyAlignment="1">
      <alignment horizontal="center"/>
    </xf>
    <xf numFmtId="0" fontId="0" fillId="8" borderId="11" xfId="0" applyFill="1" applyBorder="1"/>
    <xf numFmtId="0" fontId="0" fillId="8" borderId="19" xfId="0" quotePrefix="1" applyFill="1" applyBorder="1" applyAlignment="1">
      <alignment horizontal="center"/>
    </xf>
    <xf numFmtId="2" fontId="0" fillId="0" borderId="0" xfId="0" applyNumberFormat="1"/>
    <xf numFmtId="0" fontId="0" fillId="3" borderId="17" xfId="0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0" fontId="0" fillId="8" borderId="1" xfId="0" applyFill="1" applyBorder="1"/>
    <xf numFmtId="0" fontId="0" fillId="8" borderId="6" xfId="0" applyFill="1" applyBorder="1"/>
    <xf numFmtId="0" fontId="0" fillId="8" borderId="31" xfId="0" applyFill="1" applyBorder="1"/>
    <xf numFmtId="0" fontId="1" fillId="9" borderId="37" xfId="0" applyFont="1" applyFill="1" applyBorder="1"/>
    <xf numFmtId="0" fontId="1" fillId="9" borderId="39" xfId="0" applyFont="1" applyFill="1" applyBorder="1"/>
    <xf numFmtId="0" fontId="1" fillId="9" borderId="38" xfId="0" applyFont="1" applyFill="1" applyBorder="1"/>
    <xf numFmtId="0" fontId="4" fillId="0" borderId="0" xfId="0" applyFont="1" applyAlignment="1">
      <alignment horizontal="center"/>
    </xf>
    <xf numFmtId="0" fontId="3" fillId="0" borderId="0" xfId="0" applyFont="1"/>
    <xf numFmtId="1" fontId="0" fillId="0" borderId="0" xfId="0" applyNumberFormat="1"/>
    <xf numFmtId="0" fontId="0" fillId="0" borderId="0" xfId="0" quotePrefix="1" applyAlignment="1">
      <alignment horizontal="center"/>
    </xf>
    <xf numFmtId="0" fontId="3" fillId="0" borderId="0" xfId="0" applyFont="1" applyAlignment="1">
      <alignment vertical="center"/>
    </xf>
    <xf numFmtId="0" fontId="1" fillId="6" borderId="39" xfId="0" applyFont="1" applyFill="1" applyBorder="1"/>
    <xf numFmtId="0" fontId="1" fillId="6" borderId="38" xfId="0" applyFont="1" applyFill="1" applyBorder="1"/>
    <xf numFmtId="0" fontId="2" fillId="0" borderId="0" xfId="0" applyFont="1"/>
    <xf numFmtId="0" fontId="5" fillId="0" borderId="0" xfId="0" applyFont="1"/>
    <xf numFmtId="0" fontId="0" fillId="3" borderId="33" xfId="0" quotePrefix="1" applyFill="1" applyBorder="1" applyAlignment="1">
      <alignment horizontal="center"/>
    </xf>
    <xf numFmtId="0" fontId="0" fillId="3" borderId="32" xfId="0" applyFill="1" applyBorder="1"/>
    <xf numFmtId="0" fontId="0" fillId="3" borderId="45" xfId="0" applyFill="1" applyBorder="1"/>
    <xf numFmtId="0" fontId="0" fillId="3" borderId="44" xfId="0" applyFill="1" applyBorder="1"/>
    <xf numFmtId="0" fontId="0" fillId="3" borderId="46" xfId="0" applyFill="1" applyBorder="1"/>
    <xf numFmtId="0" fontId="0" fillId="2" borderId="37" xfId="0" applyFill="1" applyBorder="1"/>
    <xf numFmtId="0" fontId="0" fillId="2" borderId="39" xfId="0" applyFill="1" applyBorder="1"/>
    <xf numFmtId="0" fontId="0" fillId="2" borderId="38" xfId="0" applyFill="1" applyBorder="1"/>
    <xf numFmtId="0" fontId="0" fillId="2" borderId="40" xfId="0" applyFill="1" applyBorder="1"/>
    <xf numFmtId="0" fontId="0" fillId="2" borderId="4" xfId="0" applyFill="1" applyBorder="1"/>
    <xf numFmtId="0" fontId="0" fillId="2" borderId="30" xfId="0" applyFill="1" applyBorder="1"/>
    <xf numFmtId="0" fontId="0" fillId="2" borderId="29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6" borderId="37" xfId="0" applyFill="1" applyBorder="1"/>
    <xf numFmtId="0" fontId="0" fillId="6" borderId="39" xfId="0" applyFill="1" applyBorder="1"/>
    <xf numFmtId="0" fontId="0" fillId="6" borderId="38" xfId="0" applyFill="1" applyBorder="1"/>
    <xf numFmtId="0" fontId="0" fillId="6" borderId="40" xfId="0" applyFill="1" applyBorder="1"/>
    <xf numFmtId="0" fontId="0" fillId="6" borderId="29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5" borderId="32" xfId="0" applyFill="1" applyBorder="1"/>
    <xf numFmtId="0" fontId="0" fillId="5" borderId="33" xfId="0" applyFill="1" applyBorder="1"/>
    <xf numFmtId="0" fontId="0" fillId="5" borderId="44" xfId="0" applyFill="1" applyBorder="1"/>
    <xf numFmtId="0" fontId="0" fillId="5" borderId="2" xfId="0" applyFill="1" applyBorder="1"/>
    <xf numFmtId="0" fontId="0" fillId="5" borderId="5" xfId="0" applyFill="1" applyBorder="1"/>
    <xf numFmtId="0" fontId="0" fillId="5" borderId="47" xfId="0" applyFill="1" applyBorder="1"/>
    <xf numFmtId="0" fontId="0" fillId="5" borderId="46" xfId="0" applyFill="1" applyBorder="1"/>
    <xf numFmtId="0" fontId="0" fillId="5" borderId="23" xfId="0" applyFill="1" applyBorder="1"/>
    <xf numFmtId="0" fontId="0" fillId="8" borderId="32" xfId="0" applyFill="1" applyBorder="1"/>
    <xf numFmtId="0" fontId="0" fillId="8" borderId="45" xfId="0" applyFill="1" applyBorder="1"/>
    <xf numFmtId="0" fontId="0" fillId="8" borderId="36" xfId="0" applyFill="1" applyBorder="1"/>
    <xf numFmtId="0" fontId="0" fillId="8" borderId="33" xfId="0" applyFill="1" applyBorder="1"/>
    <xf numFmtId="0" fontId="0" fillId="8" borderId="44" xfId="0" applyFill="1" applyBorder="1"/>
    <xf numFmtId="0" fontId="0" fillId="8" borderId="2" xfId="0" applyFill="1" applyBorder="1"/>
    <xf numFmtId="0" fontId="0" fillId="8" borderId="5" xfId="0" applyFill="1" applyBorder="1"/>
    <xf numFmtId="0" fontId="0" fillId="8" borderId="47" xfId="0" applyFill="1" applyBorder="1"/>
    <xf numFmtId="0" fontId="0" fillId="8" borderId="46" xfId="0" applyFill="1" applyBorder="1"/>
    <xf numFmtId="0" fontId="0" fillId="8" borderId="23" xfId="0" applyFill="1" applyBorder="1"/>
    <xf numFmtId="0" fontId="0" fillId="9" borderId="37" xfId="0" applyFill="1" applyBorder="1"/>
    <xf numFmtId="0" fontId="0" fillId="9" borderId="39" xfId="0" applyFill="1" applyBorder="1"/>
    <xf numFmtId="0" fontId="0" fillId="9" borderId="38" xfId="0" applyFill="1" applyBorder="1"/>
    <xf numFmtId="0" fontId="0" fillId="9" borderId="29" xfId="0" applyFill="1" applyBorder="1" applyAlignment="1">
      <alignment horizontal="center"/>
    </xf>
    <xf numFmtId="0" fontId="0" fillId="9" borderId="49" xfId="0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5" borderId="0" xfId="0" applyFill="1"/>
    <xf numFmtId="0" fontId="0" fillId="14" borderId="10" xfId="0" applyFill="1" applyBorder="1"/>
    <xf numFmtId="0" fontId="0" fillId="14" borderId="11" xfId="0" applyFill="1" applyBorder="1"/>
    <xf numFmtId="0" fontId="1" fillId="2" borderId="4" xfId="0" applyFont="1" applyFill="1" applyBorder="1"/>
    <xf numFmtId="2" fontId="0" fillId="3" borderId="9" xfId="0" applyNumberFormat="1" applyFill="1" applyBorder="1"/>
    <xf numFmtId="2" fontId="0" fillId="3" borderId="17" xfId="0" applyNumberFormat="1" applyFill="1" applyBorder="1"/>
    <xf numFmtId="0" fontId="1" fillId="6" borderId="4" xfId="0" applyFont="1" applyFill="1" applyBorder="1"/>
    <xf numFmtId="49" fontId="0" fillId="6" borderId="48" xfId="0" applyNumberFormat="1" applyFill="1" applyBorder="1"/>
    <xf numFmtId="49" fontId="0" fillId="6" borderId="49" xfId="0" applyNumberFormat="1" applyFill="1" applyBorder="1"/>
    <xf numFmtId="0" fontId="0" fillId="6" borderId="30" xfId="0" applyFill="1" applyBorder="1"/>
    <xf numFmtId="2" fontId="0" fillId="14" borderId="9" xfId="0" applyNumberFormat="1" applyFill="1" applyBorder="1"/>
    <xf numFmtId="0" fontId="0" fillId="14" borderId="44" xfId="0" applyFill="1" applyBorder="1"/>
    <xf numFmtId="2" fontId="0" fillId="14" borderId="17" xfId="0" applyNumberFormat="1" applyFill="1" applyBorder="1"/>
    <xf numFmtId="0" fontId="0" fillId="14" borderId="46" xfId="0" applyFill="1" applyBorder="1"/>
    <xf numFmtId="0" fontId="8" fillId="11" borderId="40" xfId="0" applyFont="1" applyFill="1" applyBorder="1"/>
    <xf numFmtId="0" fontId="8" fillId="11" borderId="50" xfId="0" applyFont="1" applyFill="1" applyBorder="1"/>
    <xf numFmtId="0" fontId="8" fillId="12" borderId="7" xfId="0" applyFont="1" applyFill="1" applyBorder="1"/>
    <xf numFmtId="2" fontId="8" fillId="12" borderId="54" xfId="0" applyNumberFormat="1" applyFont="1" applyFill="1" applyBorder="1"/>
    <xf numFmtId="0" fontId="8" fillId="12" borderId="51" xfId="0" applyFont="1" applyFill="1" applyBorder="1"/>
    <xf numFmtId="2" fontId="8" fillId="12" borderId="42" xfId="0" applyNumberFormat="1" applyFont="1" applyFill="1" applyBorder="1"/>
    <xf numFmtId="0" fontId="4" fillId="2" borderId="29" xfId="0" applyFont="1" applyFill="1" applyBorder="1"/>
    <xf numFmtId="2" fontId="0" fillId="3" borderId="32" xfId="0" applyNumberFormat="1" applyFill="1" applyBorder="1"/>
    <xf numFmtId="2" fontId="0" fillId="3" borderId="10" xfId="0" applyNumberFormat="1" applyFill="1" applyBorder="1"/>
    <xf numFmtId="2" fontId="0" fillId="3" borderId="11" xfId="0" applyNumberFormat="1" applyFill="1" applyBorder="1"/>
    <xf numFmtId="2" fontId="0" fillId="5" borderId="17" xfId="0" applyNumberFormat="1" applyFill="1" applyBorder="1"/>
    <xf numFmtId="0" fontId="1" fillId="9" borderId="4" xfId="0" applyFont="1" applyFill="1" applyBorder="1"/>
    <xf numFmtId="2" fontId="0" fillId="5" borderId="33" xfId="0" applyNumberFormat="1" applyFill="1" applyBorder="1"/>
    <xf numFmtId="2" fontId="0" fillId="5" borderId="19" xfId="0" applyNumberFormat="1" applyFill="1" applyBorder="1"/>
    <xf numFmtId="2" fontId="0" fillId="14" borderId="33" xfId="0" applyNumberFormat="1" applyFill="1" applyBorder="1"/>
    <xf numFmtId="2" fontId="0" fillId="14" borderId="19" xfId="0" applyNumberFormat="1" applyFill="1" applyBorder="1"/>
    <xf numFmtId="0" fontId="0" fillId="14" borderId="32" xfId="0" applyFill="1" applyBorder="1"/>
    <xf numFmtId="0" fontId="0" fillId="14" borderId="45" xfId="0" applyFill="1" applyBorder="1"/>
    <xf numFmtId="2" fontId="0" fillId="8" borderId="32" xfId="0" applyNumberFormat="1" applyFill="1" applyBorder="1"/>
    <xf numFmtId="0" fontId="0" fillId="8" borderId="33" xfId="0" quotePrefix="1" applyFill="1" applyBorder="1" applyAlignment="1">
      <alignment horizontal="center"/>
    </xf>
    <xf numFmtId="0" fontId="0" fillId="5" borderId="7" xfId="0" applyFill="1" applyBorder="1"/>
    <xf numFmtId="0" fontId="0" fillId="5" borderId="3" xfId="0" applyFill="1" applyBorder="1"/>
    <xf numFmtId="0" fontId="0" fillId="5" borderId="28" xfId="0" applyFill="1" applyBorder="1"/>
    <xf numFmtId="2" fontId="0" fillId="3" borderId="39" xfId="0" applyNumberFormat="1" applyFill="1" applyBorder="1"/>
    <xf numFmtId="2" fontId="0" fillId="3" borderId="37" xfId="0" applyNumberFormat="1" applyFill="1" applyBorder="1"/>
    <xf numFmtId="2" fontId="0" fillId="3" borderId="38" xfId="0" applyNumberFormat="1" applyFill="1" applyBorder="1"/>
    <xf numFmtId="0" fontId="6" fillId="0" borderId="0" xfId="0" applyFont="1"/>
    <xf numFmtId="0" fontId="8" fillId="0" borderId="0" xfId="0" applyFont="1"/>
    <xf numFmtId="49" fontId="0" fillId="0" borderId="0" xfId="0" applyNumberFormat="1"/>
    <xf numFmtId="0" fontId="5" fillId="0" borderId="0" xfId="0" applyFont="1" applyAlignment="1">
      <alignment horizontal="center"/>
    </xf>
    <xf numFmtId="2" fontId="0" fillId="3" borderId="33" xfId="0" applyNumberFormat="1" applyFill="1" applyBorder="1"/>
    <xf numFmtId="2" fontId="0" fillId="3" borderId="19" xfId="0" applyNumberFormat="1" applyFill="1" applyBorder="1"/>
    <xf numFmtId="0" fontId="0" fillId="2" borderId="16" xfId="0" applyFill="1" applyBorder="1"/>
    <xf numFmtId="0" fontId="0" fillId="2" borderId="15" xfId="0" applyFill="1" applyBorder="1"/>
    <xf numFmtId="0" fontId="0" fillId="2" borderId="18" xfId="0" applyFill="1" applyBorder="1"/>
    <xf numFmtId="0" fontId="0" fillId="2" borderId="61" xfId="0" applyFill="1" applyBorder="1"/>
    <xf numFmtId="0" fontId="0" fillId="14" borderId="17" xfId="0" applyFill="1" applyBorder="1"/>
    <xf numFmtId="0" fontId="0" fillId="2" borderId="48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0" fillId="5" borderId="35" xfId="0" applyFill="1" applyBorder="1"/>
    <xf numFmtId="0" fontId="0" fillId="14" borderId="36" xfId="0" applyFill="1" applyBorder="1"/>
    <xf numFmtId="0" fontId="0" fillId="14" borderId="0" xfId="0" applyFill="1"/>
    <xf numFmtId="0" fontId="0" fillId="14" borderId="2" xfId="0" applyFill="1" applyBorder="1"/>
    <xf numFmtId="2" fontId="0" fillId="5" borderId="37" xfId="0" applyNumberFormat="1" applyFill="1" applyBorder="1"/>
    <xf numFmtId="2" fontId="0" fillId="5" borderId="39" xfId="0" applyNumberFormat="1" applyFill="1" applyBorder="1"/>
    <xf numFmtId="2" fontId="0" fillId="5" borderId="40" xfId="0" applyNumberFormat="1" applyFill="1" applyBorder="1"/>
    <xf numFmtId="2" fontId="0" fillId="5" borderId="38" xfId="0" applyNumberFormat="1" applyFill="1" applyBorder="1"/>
    <xf numFmtId="0" fontId="0" fillId="9" borderId="48" xfId="0" applyFill="1" applyBorder="1" applyAlignment="1">
      <alignment horizontal="center"/>
    </xf>
    <xf numFmtId="0" fontId="0" fillId="8" borderId="35" xfId="0" applyFill="1" applyBorder="1"/>
    <xf numFmtId="0" fontId="0" fillId="8" borderId="3" xfId="0" applyFill="1" applyBorder="1"/>
    <xf numFmtId="0" fontId="0" fillId="8" borderId="28" xfId="0" applyFill="1" applyBorder="1"/>
    <xf numFmtId="0" fontId="0" fillId="8" borderId="7" xfId="0" applyFill="1" applyBorder="1"/>
    <xf numFmtId="0" fontId="0" fillId="9" borderId="61" xfId="0" applyFill="1" applyBorder="1" applyAlignment="1">
      <alignment horizontal="center"/>
    </xf>
    <xf numFmtId="0" fontId="0" fillId="9" borderId="62" xfId="0" applyFill="1" applyBorder="1" applyAlignment="1">
      <alignment horizontal="center"/>
    </xf>
    <xf numFmtId="0" fontId="0" fillId="9" borderId="60" xfId="0" applyFill="1" applyBorder="1" applyAlignment="1">
      <alignment horizontal="center"/>
    </xf>
    <xf numFmtId="0" fontId="0" fillId="15" borderId="44" xfId="0" applyFill="1" applyBorder="1"/>
    <xf numFmtId="0" fontId="0" fillId="15" borderId="46" xfId="0" applyFill="1" applyBorder="1"/>
    <xf numFmtId="0" fontId="0" fillId="15" borderId="2" xfId="0" applyFill="1" applyBorder="1"/>
    <xf numFmtId="0" fontId="0" fillId="2" borderId="60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14" borderId="9" xfId="0" applyFill="1" applyBorder="1"/>
    <xf numFmtId="0" fontId="0" fillId="15" borderId="17" xfId="0" applyFill="1" applyBorder="1"/>
    <xf numFmtId="0" fontId="0" fillId="15" borderId="19" xfId="0" applyFill="1" applyBorder="1"/>
    <xf numFmtId="0" fontId="0" fillId="15" borderId="33" xfId="0" applyFill="1" applyBorder="1"/>
    <xf numFmtId="0" fontId="0" fillId="15" borderId="5" xfId="0" applyFill="1" applyBorder="1"/>
    <xf numFmtId="0" fontId="0" fillId="14" borderId="3" xfId="0" applyFill="1" applyBorder="1"/>
    <xf numFmtId="164" fontId="0" fillId="3" borderId="32" xfId="0" applyNumberFormat="1" applyFill="1" applyBorder="1"/>
    <xf numFmtId="164" fontId="0" fillId="3" borderId="45" xfId="0" applyNumberFormat="1" applyFill="1" applyBorder="1"/>
    <xf numFmtId="164" fontId="0" fillId="3" borderId="36" xfId="0" applyNumberFormat="1" applyFill="1" applyBorder="1"/>
    <xf numFmtId="164" fontId="0" fillId="3" borderId="33" xfId="0" applyNumberFormat="1" applyFill="1" applyBorder="1"/>
    <xf numFmtId="164" fontId="0" fillId="3" borderId="35" xfId="0" applyNumberFormat="1" applyFill="1" applyBorder="1"/>
    <xf numFmtId="164" fontId="0" fillId="3" borderId="8" xfId="0" applyNumberFormat="1" applyFill="1" applyBorder="1"/>
    <xf numFmtId="164" fontId="0" fillId="3" borderId="47" xfId="0" applyNumberFormat="1" applyFill="1" applyBorder="1"/>
    <xf numFmtId="164" fontId="0" fillId="3" borderId="10" xfId="0" applyNumberFormat="1" applyFill="1" applyBorder="1"/>
    <xf numFmtId="164" fontId="0" fillId="3" borderId="44" xfId="0" applyNumberFormat="1" applyFill="1" applyBorder="1"/>
    <xf numFmtId="164" fontId="0" fillId="3" borderId="2" xfId="0" applyNumberFormat="1" applyFill="1" applyBorder="1"/>
    <xf numFmtId="164" fontId="0" fillId="3" borderId="17" xfId="0" applyNumberFormat="1" applyFill="1" applyBorder="1"/>
    <xf numFmtId="164" fontId="0" fillId="3" borderId="3" xfId="0" applyNumberFormat="1" applyFill="1" applyBorder="1"/>
    <xf numFmtId="164" fontId="0" fillId="13" borderId="17" xfId="0" applyNumberFormat="1" applyFill="1" applyBorder="1"/>
    <xf numFmtId="164" fontId="0" fillId="3" borderId="46" xfId="0" applyNumberFormat="1" applyFill="1" applyBorder="1"/>
    <xf numFmtId="164" fontId="0" fillId="3" borderId="23" xfId="0" applyNumberFormat="1" applyFill="1" applyBorder="1"/>
    <xf numFmtId="164" fontId="0" fillId="3" borderId="28" xfId="0" applyNumberFormat="1" applyFill="1" applyBorder="1"/>
    <xf numFmtId="164" fontId="0" fillId="3" borderId="5" xfId="0" applyNumberFormat="1" applyFill="1" applyBorder="1"/>
    <xf numFmtId="164" fontId="0" fillId="3" borderId="7" xfId="0" applyNumberFormat="1" applyFill="1" applyBorder="1"/>
    <xf numFmtId="164" fontId="0" fillId="13" borderId="2" xfId="0" applyNumberFormat="1" applyFill="1" applyBorder="1"/>
    <xf numFmtId="164" fontId="0" fillId="13" borderId="44" xfId="0" applyNumberFormat="1" applyFill="1" applyBorder="1"/>
    <xf numFmtId="164" fontId="0" fillId="3" borderId="11" xfId="0" applyNumberFormat="1" applyFill="1" applyBorder="1"/>
    <xf numFmtId="164" fontId="0" fillId="3" borderId="19" xfId="0" applyNumberFormat="1" applyFill="1" applyBorder="1"/>
    <xf numFmtId="49" fontId="0" fillId="0" borderId="0" xfId="0" applyNumberFormat="1" applyAlignment="1">
      <alignment horizontal="center"/>
    </xf>
    <xf numFmtId="2" fontId="0" fillId="3" borderId="44" xfId="0" applyNumberFormat="1" applyFill="1" applyBorder="1"/>
    <xf numFmtId="2" fontId="0" fillId="3" borderId="46" xfId="0" applyNumberFormat="1" applyFill="1" applyBorder="1"/>
    <xf numFmtId="0" fontId="0" fillId="0" borderId="41" xfId="0" applyBorder="1"/>
    <xf numFmtId="0" fontId="0" fillId="0" borderId="0" xfId="0" applyAlignment="1">
      <alignment horizontal="right"/>
    </xf>
    <xf numFmtId="0" fontId="5" fillId="0" borderId="41" xfId="0" applyFont="1" applyBorder="1"/>
    <xf numFmtId="0" fontId="0" fillId="20" borderId="39" xfId="0" applyFill="1" applyBorder="1"/>
    <xf numFmtId="0" fontId="0" fillId="20" borderId="38" xfId="0" applyFill="1" applyBorder="1"/>
    <xf numFmtId="0" fontId="0" fillId="20" borderId="4" xfId="0" applyFill="1" applyBorder="1"/>
    <xf numFmtId="0" fontId="0" fillId="20" borderId="29" xfId="0" applyFill="1" applyBorder="1"/>
    <xf numFmtId="0" fontId="0" fillId="20" borderId="30" xfId="0" applyFill="1" applyBorder="1"/>
    <xf numFmtId="0" fontId="0" fillId="20" borderId="40" xfId="0" applyFill="1" applyBorder="1"/>
    <xf numFmtId="0" fontId="0" fillId="20" borderId="48" xfId="0" applyFill="1" applyBorder="1"/>
    <xf numFmtId="0" fontId="0" fillId="21" borderId="7" xfId="0" applyFill="1" applyBorder="1"/>
    <xf numFmtId="0" fontId="0" fillId="21" borderId="3" xfId="0" applyFill="1" applyBorder="1"/>
    <xf numFmtId="0" fontId="0" fillId="21" borderId="63" xfId="0" applyFill="1" applyBorder="1"/>
    <xf numFmtId="0" fontId="0" fillId="3" borderId="49" xfId="0" applyFill="1" applyBorder="1"/>
    <xf numFmtId="2" fontId="0" fillId="3" borderId="49" xfId="0" applyNumberFormat="1" applyFill="1" applyBorder="1"/>
    <xf numFmtId="0" fontId="0" fillId="5" borderId="49" xfId="0" applyFill="1" applyBorder="1"/>
    <xf numFmtId="2" fontId="0" fillId="5" borderId="49" xfId="0" applyNumberFormat="1" applyFill="1" applyBorder="1"/>
    <xf numFmtId="0" fontId="0" fillId="5" borderId="30" xfId="0" applyFill="1" applyBorder="1"/>
    <xf numFmtId="0" fontId="0" fillId="8" borderId="49" xfId="0" applyFill="1" applyBorder="1"/>
    <xf numFmtId="2" fontId="0" fillId="8" borderId="49" xfId="0" applyNumberFormat="1" applyFill="1" applyBorder="1"/>
    <xf numFmtId="0" fontId="0" fillId="8" borderId="30" xfId="0" applyFill="1" applyBorder="1"/>
    <xf numFmtId="0" fontId="0" fillId="23" borderId="25" xfId="0" applyFill="1" applyBorder="1"/>
    <xf numFmtId="0" fontId="0" fillId="24" borderId="9" xfId="0" applyFill="1" applyBorder="1"/>
    <xf numFmtId="0" fontId="0" fillId="24" borderId="17" xfId="0" applyFill="1" applyBorder="1"/>
    <xf numFmtId="0" fontId="0" fillId="24" borderId="19" xfId="0" applyFill="1" applyBorder="1"/>
    <xf numFmtId="0" fontId="0" fillId="23" borderId="51" xfId="0" applyFill="1" applyBorder="1" applyAlignment="1">
      <alignment horizontal="center"/>
    </xf>
    <xf numFmtId="2" fontId="0" fillId="24" borderId="7" xfId="0" applyNumberFormat="1" applyFill="1" applyBorder="1"/>
    <xf numFmtId="0" fontId="0" fillId="24" borderId="3" xfId="0" applyFill="1" applyBorder="1"/>
    <xf numFmtId="0" fontId="0" fillId="24" borderId="28" xfId="0" applyFill="1" applyBorder="1"/>
    <xf numFmtId="0" fontId="0" fillId="23" borderId="37" xfId="0" applyFill="1" applyBorder="1"/>
    <xf numFmtId="0" fontId="0" fillId="23" borderId="39" xfId="0" applyFill="1" applyBorder="1"/>
    <xf numFmtId="0" fontId="0" fillId="23" borderId="38" xfId="0" applyFill="1" applyBorder="1"/>
    <xf numFmtId="0" fontId="4" fillId="2" borderId="18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2" fontId="0" fillId="3" borderId="44" xfId="0" applyNumberFormat="1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4" fillId="2" borderId="49" xfId="0" applyFont="1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48" xfId="0" applyFont="1" applyFill="1" applyBorder="1" applyAlignment="1">
      <alignment horizontal="center"/>
    </xf>
    <xf numFmtId="0" fontId="0" fillId="8" borderId="44" xfId="0" applyFill="1" applyBorder="1" applyAlignment="1">
      <alignment horizontal="center"/>
    </xf>
    <xf numFmtId="2" fontId="0" fillId="8" borderId="44" xfId="0" applyNumberFormat="1" applyFill="1" applyBorder="1" applyAlignment="1">
      <alignment horizontal="center"/>
    </xf>
    <xf numFmtId="0" fontId="0" fillId="8" borderId="46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0" fillId="3" borderId="48" xfId="0" applyFill="1" applyBorder="1"/>
    <xf numFmtId="0" fontId="0" fillId="5" borderId="48" xfId="0" applyFill="1" applyBorder="1"/>
    <xf numFmtId="0" fontId="0" fillId="8" borderId="48" xfId="0" applyFill="1" applyBorder="1"/>
    <xf numFmtId="0" fontId="0" fillId="23" borderId="40" xfId="0" applyFill="1" applyBorder="1"/>
    <xf numFmtId="0" fontId="0" fillId="3" borderId="32" xfId="0" applyFill="1" applyBorder="1" applyAlignment="1">
      <alignment horizontal="right"/>
    </xf>
    <xf numFmtId="2" fontId="0" fillId="3" borderId="45" xfId="0" applyNumberFormat="1" applyFill="1" applyBorder="1"/>
    <xf numFmtId="0" fontId="0" fillId="3" borderId="33" xfId="0" applyFill="1" applyBorder="1"/>
    <xf numFmtId="0" fontId="0" fillId="3" borderId="19" xfId="0" applyFill="1" applyBorder="1"/>
    <xf numFmtId="2" fontId="0" fillId="3" borderId="30" xfId="0" applyNumberFormat="1" applyFill="1" applyBorder="1"/>
    <xf numFmtId="10" fontId="0" fillId="24" borderId="40" xfId="0" applyNumberFormat="1" applyFill="1" applyBorder="1"/>
    <xf numFmtId="10" fontId="0" fillId="24" borderId="39" xfId="0" applyNumberFormat="1" applyFill="1" applyBorder="1"/>
    <xf numFmtId="10" fontId="0" fillId="24" borderId="38" xfId="0" applyNumberFormat="1" applyFill="1" applyBorder="1"/>
    <xf numFmtId="0" fontId="0" fillId="8" borderId="43" xfId="0" applyFill="1" applyBorder="1"/>
    <xf numFmtId="165" fontId="0" fillId="21" borderId="9" xfId="0" applyNumberFormat="1" applyFill="1" applyBorder="1"/>
    <xf numFmtId="165" fontId="0" fillId="21" borderId="17" xfId="0" applyNumberFormat="1" applyFill="1" applyBorder="1"/>
    <xf numFmtId="165" fontId="0" fillId="21" borderId="57" xfId="0" applyNumberFormat="1" applyFill="1" applyBorder="1"/>
    <xf numFmtId="0" fontId="0" fillId="2" borderId="65" xfId="0" applyFill="1" applyBorder="1" applyAlignment="1">
      <alignment horizontal="center"/>
    </xf>
    <xf numFmtId="0" fontId="0" fillId="3" borderId="29" xfId="0" applyFill="1" applyBorder="1"/>
    <xf numFmtId="164" fontId="0" fillId="25" borderId="44" xfId="0" applyNumberFormat="1" applyFill="1" applyBorder="1"/>
    <xf numFmtId="164" fontId="0" fillId="25" borderId="46" xfId="0" applyNumberFormat="1" applyFill="1" applyBorder="1"/>
    <xf numFmtId="164" fontId="0" fillId="25" borderId="45" xfId="0" applyNumberFormat="1" applyFill="1" applyBorder="1"/>
    <xf numFmtId="0" fontId="0" fillId="6" borderId="65" xfId="0" applyFill="1" applyBorder="1" applyAlignment="1">
      <alignment horizontal="center"/>
    </xf>
    <xf numFmtId="0" fontId="0" fillId="9" borderId="65" xfId="0" applyFill="1" applyBorder="1" applyAlignment="1">
      <alignment horizontal="center"/>
    </xf>
    <xf numFmtId="164" fontId="0" fillId="5" borderId="45" xfId="0" applyNumberFormat="1" applyFill="1" applyBorder="1"/>
    <xf numFmtId="0" fontId="0" fillId="5" borderId="45" xfId="0" applyFill="1" applyBorder="1"/>
    <xf numFmtId="0" fontId="0" fillId="14" borderId="33" xfId="0" applyFill="1" applyBorder="1"/>
    <xf numFmtId="164" fontId="0" fillId="8" borderId="44" xfId="0" applyNumberFormat="1" applyFill="1" applyBorder="1"/>
    <xf numFmtId="164" fontId="0" fillId="5" borderId="44" xfId="0" applyNumberFormat="1" applyFill="1" applyBorder="1"/>
    <xf numFmtId="164" fontId="0" fillId="13" borderId="19" xfId="0" applyNumberFormat="1" applyFill="1" applyBorder="1"/>
    <xf numFmtId="164" fontId="0" fillId="8" borderId="46" xfId="0" applyNumberFormat="1" applyFill="1" applyBorder="1"/>
    <xf numFmtId="164" fontId="0" fillId="25" borderId="47" xfId="0" applyNumberFormat="1" applyFill="1" applyBorder="1"/>
    <xf numFmtId="164" fontId="0" fillId="5" borderId="46" xfId="0" applyNumberFormat="1" applyFill="1" applyBorder="1"/>
    <xf numFmtId="2" fontId="0" fillId="8" borderId="53" xfId="0" applyNumberFormat="1" applyFill="1" applyBorder="1"/>
    <xf numFmtId="2" fontId="0" fillId="8" borderId="55" xfId="0" applyNumberFormat="1" applyFill="1" applyBorder="1"/>
    <xf numFmtId="2" fontId="0" fillId="8" borderId="54" xfId="0" applyNumberFormat="1" applyFill="1" applyBorder="1"/>
    <xf numFmtId="2" fontId="0" fillId="8" borderId="56" xfId="0" applyNumberFormat="1" applyFill="1" applyBorder="1"/>
    <xf numFmtId="0" fontId="8" fillId="0" borderId="0" xfId="0" quotePrefix="1" applyFont="1" applyAlignment="1">
      <alignment horizontal="center"/>
    </xf>
    <xf numFmtId="0" fontId="12" fillId="0" borderId="0" xfId="0" applyFont="1"/>
    <xf numFmtId="165" fontId="0" fillId="0" borderId="0" xfId="0" applyNumberFormat="1"/>
    <xf numFmtId="0" fontId="0" fillId="8" borderId="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5" borderId="5" xfId="0" quotePrefix="1" applyFill="1" applyBorder="1" applyAlignment="1">
      <alignment horizontal="center"/>
    </xf>
    <xf numFmtId="0" fontId="0" fillId="5" borderId="2" xfId="0" quotePrefix="1" applyFill="1" applyBorder="1" applyAlignment="1">
      <alignment horizontal="center"/>
    </xf>
    <xf numFmtId="0" fontId="0" fillId="5" borderId="23" xfId="0" quotePrefix="1" applyFill="1" applyBorder="1" applyAlignment="1">
      <alignment horizontal="center"/>
    </xf>
    <xf numFmtId="2" fontId="0" fillId="5" borderId="10" xfId="0" applyNumberFormat="1" applyFill="1" applyBorder="1"/>
    <xf numFmtId="2" fontId="0" fillId="5" borderId="11" xfId="0" applyNumberFormat="1" applyFill="1" applyBorder="1"/>
    <xf numFmtId="2" fontId="0" fillId="5" borderId="8" xfId="0" applyNumberFormat="1" applyFill="1" applyBorder="1"/>
    <xf numFmtId="0" fontId="2" fillId="4" borderId="13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7" borderId="52" xfId="0" applyFont="1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2" fontId="0" fillId="3" borderId="47" xfId="0" applyNumberFormat="1" applyFill="1" applyBorder="1"/>
    <xf numFmtId="2" fontId="0" fillId="5" borderId="47" xfId="0" applyNumberFormat="1" applyFill="1" applyBorder="1"/>
    <xf numFmtId="2" fontId="0" fillId="5" borderId="44" xfId="0" applyNumberFormat="1" applyFill="1" applyBorder="1"/>
    <xf numFmtId="2" fontId="0" fillId="5" borderId="45" xfId="0" applyNumberFormat="1" applyFill="1" applyBorder="1"/>
    <xf numFmtId="2" fontId="0" fillId="5" borderId="46" xfId="0" applyNumberFormat="1" applyFill="1" applyBorder="1"/>
    <xf numFmtId="0" fontId="0" fillId="14" borderId="19" xfId="0" applyFill="1" applyBorder="1"/>
    <xf numFmtId="0" fontId="0" fillId="6" borderId="60" xfId="0" applyFill="1" applyBorder="1" applyAlignment="1">
      <alignment horizontal="center"/>
    </xf>
    <xf numFmtId="0" fontId="0" fillId="6" borderId="62" xfId="0" applyFill="1" applyBorder="1" applyAlignment="1">
      <alignment horizontal="center"/>
    </xf>
    <xf numFmtId="0" fontId="0" fillId="6" borderId="61" xfId="0" applyFill="1" applyBorder="1"/>
    <xf numFmtId="2" fontId="0" fillId="8" borderId="47" xfId="0" applyNumberFormat="1" applyFill="1" applyBorder="1"/>
    <xf numFmtId="2" fontId="0" fillId="8" borderId="44" xfId="0" applyNumberFormat="1" applyFill="1" applyBorder="1"/>
    <xf numFmtId="2" fontId="0" fillId="8" borderId="45" xfId="0" applyNumberFormat="1" applyFill="1" applyBorder="1"/>
    <xf numFmtId="2" fontId="0" fillId="8" borderId="46" xfId="0" applyNumberFormat="1" applyFill="1" applyBorder="1"/>
    <xf numFmtId="164" fontId="0" fillId="8" borderId="45" xfId="0" applyNumberFormat="1" applyFill="1" applyBorder="1"/>
    <xf numFmtId="49" fontId="0" fillId="2" borderId="48" xfId="0" applyNumberFormat="1" applyFill="1" applyBorder="1"/>
    <xf numFmtId="49" fontId="0" fillId="2" borderId="49" xfId="0" applyNumberFormat="1" applyFill="1" applyBorder="1"/>
    <xf numFmtId="167" fontId="0" fillId="0" borderId="0" xfId="0" applyNumberFormat="1"/>
    <xf numFmtId="0" fontId="0" fillId="6" borderId="16" xfId="0" applyFill="1" applyBorder="1"/>
    <xf numFmtId="0" fontId="0" fillId="6" borderId="15" xfId="0" applyFill="1" applyBorder="1"/>
    <xf numFmtId="0" fontId="0" fillId="6" borderId="18" xfId="0" applyFill="1" applyBorder="1"/>
    <xf numFmtId="2" fontId="0" fillId="14" borderId="32" xfId="0" applyNumberFormat="1" applyFill="1" applyBorder="1"/>
    <xf numFmtId="2" fontId="0" fillId="14" borderId="10" xfId="0" applyNumberFormat="1" applyFill="1" applyBorder="1"/>
    <xf numFmtId="2" fontId="0" fillId="14" borderId="11" xfId="0" applyNumberFormat="1" applyFill="1" applyBorder="1"/>
    <xf numFmtId="0" fontId="0" fillId="6" borderId="52" xfId="0" applyFill="1" applyBorder="1"/>
    <xf numFmtId="2" fontId="0" fillId="14" borderId="37" xfId="0" applyNumberFormat="1" applyFill="1" applyBorder="1"/>
    <xf numFmtId="2" fontId="0" fillId="14" borderId="39" xfId="0" applyNumberFormat="1" applyFill="1" applyBorder="1"/>
    <xf numFmtId="2" fontId="0" fillId="14" borderId="38" xfId="0" applyNumberFormat="1" applyFill="1" applyBorder="1"/>
    <xf numFmtId="0" fontId="0" fillId="9" borderId="52" xfId="0" applyFill="1" applyBorder="1"/>
    <xf numFmtId="0" fontId="0" fillId="9" borderId="15" xfId="0" applyFill="1" applyBorder="1"/>
    <xf numFmtId="0" fontId="0" fillId="9" borderId="18" xfId="0" applyFill="1" applyBorder="1"/>
    <xf numFmtId="2" fontId="0" fillId="8" borderId="37" xfId="0" applyNumberFormat="1" applyFill="1" applyBorder="1"/>
    <xf numFmtId="2" fontId="0" fillId="8" borderId="39" xfId="0" applyNumberFormat="1" applyFill="1" applyBorder="1"/>
    <xf numFmtId="2" fontId="0" fillId="8" borderId="38" xfId="0" applyNumberFormat="1" applyFill="1" applyBorder="1"/>
    <xf numFmtId="0" fontId="8" fillId="12" borderId="32" xfId="0" applyFont="1" applyFill="1" applyBorder="1"/>
    <xf numFmtId="0" fontId="8" fillId="12" borderId="35" xfId="0" applyFont="1" applyFill="1" applyBorder="1"/>
    <xf numFmtId="2" fontId="8" fillId="12" borderId="53" xfId="0" applyNumberFormat="1" applyFont="1" applyFill="1" applyBorder="1"/>
    <xf numFmtId="0" fontId="8" fillId="12" borderId="8" xfId="0" applyFont="1" applyFill="1" applyBorder="1"/>
    <xf numFmtId="0" fontId="8" fillId="12" borderId="24" xfId="0" applyFont="1" applyFill="1" applyBorder="1"/>
    <xf numFmtId="0" fontId="4" fillId="2" borderId="48" xfId="0" applyFont="1" applyFill="1" applyBorder="1"/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1" xfId="0" applyFill="1" applyBorder="1"/>
    <xf numFmtId="0" fontId="0" fillId="5" borderId="6" xfId="0" applyFill="1" applyBorder="1"/>
    <xf numFmtId="2" fontId="0" fillId="5" borderId="1" xfId="0" applyNumberFormat="1" applyFill="1" applyBorder="1"/>
    <xf numFmtId="2" fontId="0" fillId="5" borderId="6" xfId="0" applyNumberFormat="1" applyFill="1" applyBorder="1"/>
    <xf numFmtId="2" fontId="0" fillId="5" borderId="31" xfId="0" applyNumberFormat="1" applyFill="1" applyBorder="1"/>
    <xf numFmtId="0" fontId="0" fillId="5" borderId="43" xfId="0" applyFill="1" applyBorder="1"/>
    <xf numFmtId="0" fontId="4" fillId="9" borderId="2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1" fontId="0" fillId="8" borderId="1" xfId="0" applyNumberFormat="1" applyFill="1" applyBorder="1"/>
    <xf numFmtId="1" fontId="0" fillId="8" borderId="41" xfId="0" applyNumberFormat="1" applyFill="1" applyBorder="1"/>
    <xf numFmtId="2" fontId="0" fillId="8" borderId="58" xfId="0" applyNumberFormat="1" applyFill="1" applyBorder="1"/>
    <xf numFmtId="2" fontId="0" fillId="8" borderId="6" xfId="0" applyNumberFormat="1" applyFill="1" applyBorder="1"/>
    <xf numFmtId="2" fontId="0" fillId="8" borderId="31" xfId="0" applyNumberFormat="1" applyFill="1" applyBorder="1"/>
    <xf numFmtId="2" fontId="0" fillId="8" borderId="1" xfId="0" applyNumberFormat="1" applyFill="1" applyBorder="1"/>
    <xf numFmtId="0" fontId="4" fillId="2" borderId="59" xfId="0" applyFont="1" applyFill="1" applyBorder="1"/>
    <xf numFmtId="0" fontId="4" fillId="2" borderId="62" xfId="0" applyFont="1" applyFill="1" applyBorder="1"/>
    <xf numFmtId="0" fontId="0" fillId="3" borderId="9" xfId="0" quotePrefix="1" applyFill="1" applyBorder="1" applyAlignment="1">
      <alignment horizontal="center"/>
    </xf>
    <xf numFmtId="0" fontId="0" fillId="3" borderId="25" xfId="0" quotePrefix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5" borderId="41" xfId="0" applyFill="1" applyBorder="1"/>
    <xf numFmtId="2" fontId="0" fillId="8" borderId="7" xfId="0" applyNumberFormat="1" applyFill="1" applyBorder="1"/>
    <xf numFmtId="2" fontId="0" fillId="8" borderId="3" xfId="0" applyNumberFormat="1" applyFill="1" applyBorder="1"/>
    <xf numFmtId="2" fontId="0" fillId="8" borderId="35" xfId="0" applyNumberFormat="1" applyFill="1" applyBorder="1"/>
    <xf numFmtId="0" fontId="0" fillId="8" borderId="45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8" borderId="58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1" fontId="0" fillId="8" borderId="32" xfId="0" applyNumberFormat="1" applyFill="1" applyBorder="1"/>
    <xf numFmtId="1" fontId="0" fillId="8" borderId="58" xfId="0" applyNumberFormat="1" applyFill="1" applyBorder="1"/>
    <xf numFmtId="2" fontId="0" fillId="8" borderId="51" xfId="0" applyNumberFormat="1" applyFill="1" applyBorder="1"/>
    <xf numFmtId="0" fontId="0" fillId="8" borderId="41" xfId="0" applyFill="1" applyBorder="1" applyAlignment="1">
      <alignment horizontal="center"/>
    </xf>
    <xf numFmtId="0" fontId="7" fillId="0" borderId="0" xfId="0" applyFont="1" applyAlignment="1">
      <alignment horizontal="center"/>
    </xf>
    <xf numFmtId="1" fontId="8" fillId="0" borderId="0" xfId="0" applyNumberFormat="1" applyFont="1"/>
    <xf numFmtId="0" fontId="1" fillId="2" borderId="40" xfId="0" applyFont="1" applyFill="1" applyBorder="1"/>
    <xf numFmtId="0" fontId="1" fillId="2" borderId="39" xfId="0" applyFont="1" applyFill="1" applyBorder="1"/>
    <xf numFmtId="0" fontId="1" fillId="2" borderId="38" xfId="0" applyFont="1" applyFill="1" applyBorder="1"/>
    <xf numFmtId="0" fontId="0" fillId="3" borderId="10" xfId="0" applyFill="1" applyBorder="1" applyAlignment="1">
      <alignment horizontal="right"/>
    </xf>
    <xf numFmtId="0" fontId="1" fillId="18" borderId="15" xfId="0" applyFont="1" applyFill="1" applyBorder="1"/>
    <xf numFmtId="0" fontId="1" fillId="18" borderId="18" xfId="0" applyFont="1" applyFill="1" applyBorder="1"/>
    <xf numFmtId="2" fontId="0" fillId="17" borderId="10" xfId="0" applyNumberFormat="1" applyFill="1" applyBorder="1"/>
    <xf numFmtId="2" fontId="0" fillId="17" borderId="11" xfId="0" applyNumberFormat="1" applyFill="1" applyBorder="1"/>
    <xf numFmtId="2" fontId="0" fillId="17" borderId="8" xfId="0" applyNumberFormat="1" applyFill="1" applyBorder="1"/>
    <xf numFmtId="0" fontId="2" fillId="2" borderId="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3" borderId="40" xfId="0" applyFill="1" applyBorder="1"/>
    <xf numFmtId="0" fontId="0" fillId="3" borderId="39" xfId="0" applyFill="1" applyBorder="1"/>
    <xf numFmtId="0" fontId="0" fillId="3" borderId="38" xfId="0" applyFill="1" applyBorder="1"/>
    <xf numFmtId="0" fontId="1" fillId="6" borderId="40" xfId="0" applyFont="1" applyFill="1" applyBorder="1"/>
    <xf numFmtId="0" fontId="2" fillId="7" borderId="4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55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5" borderId="66" xfId="0" applyFill="1" applyBorder="1" applyAlignment="1">
      <alignment horizontal="center"/>
    </xf>
    <xf numFmtId="0" fontId="0" fillId="5" borderId="67" xfId="0" applyFill="1" applyBorder="1" applyAlignment="1">
      <alignment horizontal="center"/>
    </xf>
    <xf numFmtId="0" fontId="0" fillId="5" borderId="68" xfId="0" applyFill="1" applyBorder="1" applyAlignment="1">
      <alignment horizontal="center"/>
    </xf>
    <xf numFmtId="0" fontId="0" fillId="8" borderId="40" xfId="0" applyFill="1" applyBorder="1"/>
    <xf numFmtId="0" fontId="0" fillId="8" borderId="39" xfId="0" applyFill="1" applyBorder="1"/>
    <xf numFmtId="0" fontId="0" fillId="8" borderId="38" xfId="0" applyFill="1" applyBorder="1"/>
    <xf numFmtId="0" fontId="2" fillId="9" borderId="37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1" fillId="18" borderId="16" xfId="0" applyFont="1" applyFill="1" applyBorder="1"/>
    <xf numFmtId="0" fontId="2" fillId="18" borderId="20" xfId="0" applyFont="1" applyFill="1" applyBorder="1" applyAlignment="1">
      <alignment horizontal="center"/>
    </xf>
    <xf numFmtId="0" fontId="2" fillId="18" borderId="29" xfId="0" applyFont="1" applyFill="1" applyBorder="1" applyAlignment="1">
      <alignment horizontal="center"/>
    </xf>
    <xf numFmtId="2" fontId="0" fillId="5" borderId="48" xfId="0" applyNumberFormat="1" applyFill="1" applyBorder="1"/>
    <xf numFmtId="2" fontId="0" fillId="3" borderId="49" xfId="0" quotePrefix="1" applyNumberFormat="1" applyFill="1" applyBorder="1" applyAlignment="1">
      <alignment horizontal="center"/>
    </xf>
    <xf numFmtId="2" fontId="0" fillId="8" borderId="48" xfId="0" applyNumberFormat="1" applyFill="1" applyBorder="1"/>
    <xf numFmtId="2" fontId="0" fillId="8" borderId="49" xfId="0" quotePrefix="1" applyNumberFormat="1" applyFill="1" applyBorder="1" applyAlignment="1">
      <alignment horizontal="center"/>
    </xf>
    <xf numFmtId="2" fontId="0" fillId="5" borderId="49" xfId="0" quotePrefix="1" applyNumberFormat="1" applyFill="1" applyBorder="1" applyAlignment="1">
      <alignment horizontal="center"/>
    </xf>
    <xf numFmtId="0" fontId="2" fillId="18" borderId="22" xfId="0" applyFont="1" applyFill="1" applyBorder="1" applyAlignment="1">
      <alignment horizontal="center"/>
    </xf>
    <xf numFmtId="2" fontId="0" fillId="17" borderId="54" xfId="0" applyNumberFormat="1" applyFill="1" applyBorder="1"/>
    <xf numFmtId="2" fontId="0" fillId="17" borderId="55" xfId="0" applyNumberFormat="1" applyFill="1" applyBorder="1"/>
    <xf numFmtId="2" fontId="0" fillId="17" borderId="56" xfId="0" applyNumberFormat="1" applyFill="1" applyBorder="1"/>
    <xf numFmtId="0" fontId="4" fillId="2" borderId="62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0" fillId="3" borderId="11" xfId="0" applyFill="1" applyBorder="1" applyAlignment="1">
      <alignment horizontal="right"/>
    </xf>
    <xf numFmtId="2" fontId="0" fillId="5" borderId="52" xfId="0" applyNumberFormat="1" applyFill="1" applyBorder="1"/>
    <xf numFmtId="2" fontId="0" fillId="5" borderId="15" xfId="0" applyNumberFormat="1" applyFill="1" applyBorder="1"/>
    <xf numFmtId="2" fontId="0" fillId="5" borderId="18" xfId="0" applyNumberFormat="1" applyFill="1" applyBorder="1"/>
    <xf numFmtId="0" fontId="4" fillId="6" borderId="64" xfId="0" applyFont="1" applyFill="1" applyBorder="1" applyAlignment="1">
      <alignment horizontal="center"/>
    </xf>
    <xf numFmtId="0" fontId="4" fillId="9" borderId="64" xfId="0" applyFont="1" applyFill="1" applyBorder="1" applyAlignment="1">
      <alignment horizontal="center"/>
    </xf>
    <xf numFmtId="0" fontId="1" fillId="9" borderId="20" xfId="0" applyFont="1" applyFill="1" applyBorder="1"/>
    <xf numFmtId="2" fontId="1" fillId="8" borderId="22" xfId="0" applyNumberFormat="1" applyFont="1" applyFill="1" applyBorder="1"/>
    <xf numFmtId="2" fontId="0" fillId="5" borderId="4" xfId="0" applyNumberFormat="1" applyFill="1" applyBorder="1"/>
    <xf numFmtId="2" fontId="8" fillId="0" borderId="0" xfId="0" applyNumberFormat="1" applyFont="1"/>
    <xf numFmtId="0" fontId="4" fillId="6" borderId="29" xfId="0" applyFont="1" applyFill="1" applyBorder="1"/>
    <xf numFmtId="0" fontId="4" fillId="6" borderId="48" xfId="0" applyFont="1" applyFill="1" applyBorder="1"/>
    <xf numFmtId="0" fontId="4" fillId="6" borderId="49" xfId="0" applyFont="1" applyFill="1" applyBorder="1"/>
    <xf numFmtId="0" fontId="7" fillId="26" borderId="29" xfId="0" applyFont="1" applyFill="1" applyBorder="1"/>
    <xf numFmtId="0" fontId="7" fillId="26" borderId="48" xfId="0" applyFont="1" applyFill="1" applyBorder="1"/>
    <xf numFmtId="0" fontId="4" fillId="6" borderId="30" xfId="0" applyFont="1" applyFill="1" applyBorder="1"/>
    <xf numFmtId="0" fontId="7" fillId="11" borderId="29" xfId="0" applyFont="1" applyFill="1" applyBorder="1"/>
    <xf numFmtId="0" fontId="7" fillId="11" borderId="48" xfId="0" applyFont="1" applyFill="1" applyBorder="1"/>
    <xf numFmtId="49" fontId="0" fillId="9" borderId="48" xfId="0" applyNumberFormat="1" applyFill="1" applyBorder="1"/>
    <xf numFmtId="49" fontId="0" fillId="9" borderId="49" xfId="0" applyNumberFormat="1" applyFill="1" applyBorder="1"/>
    <xf numFmtId="0" fontId="0" fillId="9" borderId="61" xfId="0" applyFill="1" applyBorder="1"/>
    <xf numFmtId="0" fontId="0" fillId="9" borderId="30" xfId="0" applyFill="1" applyBorder="1"/>
    <xf numFmtId="0" fontId="13" fillId="2" borderId="60" xfId="0" applyFont="1" applyFill="1" applyBorder="1"/>
    <xf numFmtId="0" fontId="13" fillId="2" borderId="61" xfId="0" applyFont="1" applyFill="1" applyBorder="1"/>
    <xf numFmtId="0" fontId="0" fillId="3" borderId="45" xfId="0" applyFill="1" applyBorder="1" applyAlignment="1">
      <alignment horizontal="center"/>
    </xf>
    <xf numFmtId="0" fontId="13" fillId="2" borderId="59" xfId="0" applyFont="1" applyFill="1" applyBorder="1"/>
    <xf numFmtId="0" fontId="13" fillId="2" borderId="4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59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/>
    </xf>
    <xf numFmtId="0" fontId="13" fillId="6" borderId="61" xfId="0" applyFont="1" applyFill="1" applyBorder="1" applyAlignment="1">
      <alignment horizontal="center"/>
    </xf>
    <xf numFmtId="0" fontId="1" fillId="6" borderId="16" xfId="0" applyFont="1" applyFill="1" applyBorder="1"/>
    <xf numFmtId="0" fontId="1" fillId="6" borderId="15" xfId="0" applyFont="1" applyFill="1" applyBorder="1"/>
    <xf numFmtId="0" fontId="1" fillId="6" borderId="18" xfId="0" applyFont="1" applyFill="1" applyBorder="1"/>
    <xf numFmtId="0" fontId="0" fillId="5" borderId="32" xfId="0" applyFill="1" applyBorder="1" applyAlignment="1">
      <alignment horizontal="right"/>
    </xf>
    <xf numFmtId="0" fontId="0" fillId="5" borderId="45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5" borderId="10" xfId="0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0" fillId="5" borderId="46" xfId="0" applyFill="1" applyBorder="1" applyAlignment="1">
      <alignment horizontal="center"/>
    </xf>
    <xf numFmtId="0" fontId="4" fillId="9" borderId="29" xfId="0" applyFont="1" applyFill="1" applyBorder="1"/>
    <xf numFmtId="0" fontId="4" fillId="9" borderId="48" xfId="0" applyFont="1" applyFill="1" applyBorder="1"/>
    <xf numFmtId="0" fontId="4" fillId="9" borderId="49" xfId="0" applyFont="1" applyFill="1" applyBorder="1"/>
    <xf numFmtId="0" fontId="4" fillId="9" borderId="30" xfId="0" applyFont="1" applyFill="1" applyBorder="1"/>
    <xf numFmtId="0" fontId="0" fillId="23" borderId="30" xfId="0" applyFill="1" applyBorder="1"/>
    <xf numFmtId="0" fontId="0" fillId="23" borderId="20" xfId="0" applyFill="1" applyBorder="1"/>
    <xf numFmtId="0" fontId="0" fillId="23" borderId="4" xfId="0" applyFill="1" applyBorder="1"/>
    <xf numFmtId="0" fontId="0" fillId="23" borderId="16" xfId="0" applyFill="1" applyBorder="1"/>
    <xf numFmtId="0" fontId="0" fillId="23" borderId="15" xfId="0" applyFill="1" applyBorder="1"/>
    <xf numFmtId="0" fontId="0" fillId="23" borderId="18" xfId="0" applyFill="1" applyBorder="1"/>
    <xf numFmtId="0" fontId="0" fillId="24" borderId="44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3" xfId="0" applyFill="1" applyBorder="1" applyAlignment="1">
      <alignment horizontal="center"/>
    </xf>
    <xf numFmtId="2" fontId="0" fillId="24" borderId="3" xfId="0" applyNumberFormat="1" applyFill="1" applyBorder="1" applyAlignment="1">
      <alignment horizontal="center"/>
    </xf>
    <xf numFmtId="0" fontId="0" fillId="24" borderId="8" xfId="0" applyFill="1" applyBorder="1" applyAlignment="1">
      <alignment horizontal="center"/>
    </xf>
    <xf numFmtId="0" fontId="0" fillId="24" borderId="7" xfId="0" applyFill="1" applyBorder="1" applyAlignment="1">
      <alignment horizontal="center"/>
    </xf>
    <xf numFmtId="0" fontId="0" fillId="23" borderId="24" xfId="0" applyFill="1" applyBorder="1"/>
    <xf numFmtId="0" fontId="0" fillId="23" borderId="51" xfId="0" applyFill="1" applyBorder="1"/>
    <xf numFmtId="0" fontId="0" fillId="24" borderId="47" xfId="0" applyFill="1" applyBorder="1" applyAlignment="1">
      <alignment horizontal="center"/>
    </xf>
    <xf numFmtId="0" fontId="0" fillId="23" borderId="69" xfId="0" applyFill="1" applyBorder="1"/>
    <xf numFmtId="0" fontId="0" fillId="24" borderId="28" xfId="0" applyFill="1" applyBorder="1" applyAlignment="1">
      <alignment horizontal="center"/>
    </xf>
    <xf numFmtId="2" fontId="0" fillId="24" borderId="11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4" fillId="2" borderId="60" xfId="0" applyFont="1" applyFill="1" applyBorder="1"/>
    <xf numFmtId="2" fontId="0" fillId="5" borderId="44" xfId="0" applyNumberFormat="1" applyFill="1" applyBorder="1" applyAlignment="1">
      <alignment horizontal="center"/>
    </xf>
    <xf numFmtId="2" fontId="0" fillId="5" borderId="46" xfId="0" applyNumberFormat="1" applyFill="1" applyBorder="1" applyAlignment="1">
      <alignment horizontal="center"/>
    </xf>
    <xf numFmtId="0" fontId="2" fillId="7" borderId="61" xfId="0" applyFont="1" applyFill="1" applyBorder="1" applyAlignment="1">
      <alignment horizontal="center"/>
    </xf>
    <xf numFmtId="0" fontId="4" fillId="6" borderId="60" xfId="0" applyFont="1" applyFill="1" applyBorder="1"/>
    <xf numFmtId="0" fontId="0" fillId="8" borderId="35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3" borderId="22" xfId="0" quotePrefix="1" applyFill="1" applyBorder="1" applyAlignment="1">
      <alignment horizontal="center"/>
    </xf>
    <xf numFmtId="2" fontId="0" fillId="3" borderId="33" xfId="0" applyNumberFormat="1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2" fontId="0" fillId="3" borderId="32" xfId="0" applyNumberFormat="1" applyFill="1" applyBorder="1" applyAlignment="1">
      <alignment horizontal="center"/>
    </xf>
    <xf numFmtId="2" fontId="0" fillId="3" borderId="45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3" borderId="46" xfId="0" applyNumberFormat="1" applyFill="1" applyBorder="1" applyAlignment="1">
      <alignment horizontal="center"/>
    </xf>
    <xf numFmtId="0" fontId="4" fillId="6" borderId="61" xfId="0" applyFont="1" applyFill="1" applyBorder="1"/>
    <xf numFmtId="0" fontId="4" fillId="6" borderId="62" xfId="0" applyFont="1" applyFill="1" applyBorder="1"/>
    <xf numFmtId="0" fontId="4" fillId="9" borderId="61" xfId="0" applyFont="1" applyFill="1" applyBorder="1"/>
    <xf numFmtId="0" fontId="7" fillId="11" borderId="62" xfId="0" applyFont="1" applyFill="1" applyBorder="1"/>
    <xf numFmtId="0" fontId="7" fillId="11" borderId="59" xfId="0" applyFont="1" applyFill="1" applyBorder="1"/>
    <xf numFmtId="0" fontId="0" fillId="3" borderId="45" xfId="0" applyFill="1" applyBorder="1" applyAlignment="1">
      <alignment wrapText="1"/>
    </xf>
    <xf numFmtId="0" fontId="0" fillId="3" borderId="44" xfId="0" applyFill="1" applyBorder="1" applyAlignment="1">
      <alignment wrapText="1"/>
    </xf>
    <xf numFmtId="0" fontId="0" fillId="22" borderId="4" xfId="0" applyFill="1" applyBorder="1" applyAlignment="1">
      <alignment horizontal="center"/>
    </xf>
    <xf numFmtId="0" fontId="0" fillId="23" borderId="33" xfId="0" applyFill="1" applyBorder="1"/>
    <xf numFmtId="0" fontId="0" fillId="23" borderId="17" xfId="0" applyFill="1" applyBorder="1"/>
    <xf numFmtId="0" fontId="0" fillId="23" borderId="19" xfId="0" applyFill="1" applyBorder="1"/>
    <xf numFmtId="0" fontId="0" fillId="23" borderId="37" xfId="0" applyFill="1" applyBorder="1" applyAlignment="1">
      <alignment horizontal="center"/>
    </xf>
    <xf numFmtId="0" fontId="0" fillId="23" borderId="39" xfId="0" applyFill="1" applyBorder="1" applyAlignment="1">
      <alignment horizontal="center"/>
    </xf>
    <xf numFmtId="2" fontId="0" fillId="23" borderId="39" xfId="0" applyNumberFormat="1" applyFill="1" applyBorder="1" applyAlignment="1">
      <alignment horizontal="center"/>
    </xf>
    <xf numFmtId="0" fontId="0" fillId="23" borderId="38" xfId="0" applyFill="1" applyBorder="1" applyAlignment="1">
      <alignment horizontal="center"/>
    </xf>
    <xf numFmtId="0" fontId="0" fillId="23" borderId="48" xfId="0" applyFill="1" applyBorder="1"/>
    <xf numFmtId="166" fontId="0" fillId="24" borderId="7" xfId="0" applyNumberFormat="1" applyFill="1" applyBorder="1"/>
    <xf numFmtId="166" fontId="0" fillId="24" borderId="3" xfId="0" applyNumberFormat="1" applyFill="1" applyBorder="1"/>
    <xf numFmtId="166" fontId="0" fillId="24" borderId="28" xfId="0" applyNumberFormat="1" applyFill="1" applyBorder="1"/>
    <xf numFmtId="0" fontId="11" fillId="0" borderId="5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13" borderId="0" xfId="0" applyFill="1"/>
    <xf numFmtId="0" fontId="0" fillId="24" borderId="9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165" fontId="0" fillId="24" borderId="37" xfId="0" applyNumberFormat="1" applyFill="1" applyBorder="1"/>
    <xf numFmtId="165" fontId="0" fillId="24" borderId="39" xfId="0" applyNumberFormat="1" applyFill="1" applyBorder="1"/>
    <xf numFmtId="165" fontId="0" fillId="24" borderId="38" xfId="0" applyNumberFormat="1" applyFill="1" applyBorder="1"/>
    <xf numFmtId="164" fontId="0" fillId="13" borderId="10" xfId="0" applyNumberFormat="1" applyFill="1" applyBorder="1"/>
    <xf numFmtId="164" fontId="0" fillId="13" borderId="11" xfId="0" applyNumberFormat="1" applyFill="1" applyBorder="1"/>
    <xf numFmtId="0" fontId="0" fillId="14" borderId="28" xfId="0" applyFill="1" applyBorder="1"/>
    <xf numFmtId="0" fontId="0" fillId="6" borderId="64" xfId="0" applyFill="1" applyBorder="1"/>
    <xf numFmtId="0" fontId="0" fillId="15" borderId="3" xfId="0" applyFill="1" applyBorder="1"/>
    <xf numFmtId="0" fontId="0" fillId="15" borderId="28" xfId="0" applyFill="1" applyBorder="1"/>
    <xf numFmtId="0" fontId="0" fillId="9" borderId="64" xfId="0" applyFill="1" applyBorder="1"/>
    <xf numFmtId="2" fontId="0" fillId="24" borderId="1" xfId="0" applyNumberFormat="1" applyFill="1" applyBorder="1"/>
    <xf numFmtId="2" fontId="0" fillId="24" borderId="6" xfId="0" applyNumberFormat="1" applyFill="1" applyBorder="1"/>
    <xf numFmtId="2" fontId="0" fillId="24" borderId="31" xfId="0" applyNumberFormat="1" applyFill="1" applyBorder="1"/>
    <xf numFmtId="0" fontId="8" fillId="27" borderId="50" xfId="0" applyFont="1" applyFill="1" applyBorder="1" applyAlignment="1">
      <alignment horizontal="center" vertical="center"/>
    </xf>
    <xf numFmtId="0" fontId="8" fillId="27" borderId="42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/>
    </xf>
    <xf numFmtId="0" fontId="13" fillId="9" borderId="59" xfId="0" applyFont="1" applyFill="1" applyBorder="1" applyAlignment="1">
      <alignment horizontal="center"/>
    </xf>
    <xf numFmtId="0" fontId="13" fillId="9" borderId="60" xfId="0" applyFont="1" applyFill="1" applyBorder="1" applyAlignment="1">
      <alignment horizontal="center"/>
    </xf>
    <xf numFmtId="0" fontId="13" fillId="9" borderId="61" xfId="0" applyFont="1" applyFill="1" applyBorder="1" applyAlignment="1">
      <alignment horizontal="center"/>
    </xf>
    <xf numFmtId="0" fontId="0" fillId="8" borderId="32" xfId="0" applyFill="1" applyBorder="1" applyAlignment="1">
      <alignment horizontal="right"/>
    </xf>
    <xf numFmtId="2" fontId="0" fillId="8" borderId="33" xfId="0" applyNumberFormat="1" applyFill="1" applyBorder="1"/>
    <xf numFmtId="2" fontId="0" fillId="8" borderId="17" xfId="0" applyNumberFormat="1" applyFill="1" applyBorder="1"/>
    <xf numFmtId="0" fontId="0" fillId="8" borderId="10" xfId="0" applyFill="1" applyBorder="1" applyAlignment="1">
      <alignment horizontal="right"/>
    </xf>
    <xf numFmtId="2" fontId="0" fillId="8" borderId="19" xfId="0" applyNumberFormat="1" applyFill="1" applyBorder="1"/>
    <xf numFmtId="0" fontId="7" fillId="26" borderId="22" xfId="0" applyFont="1" applyFill="1" applyBorder="1"/>
    <xf numFmtId="0" fontId="4" fillId="0" borderId="0" xfId="0" applyFont="1"/>
    <xf numFmtId="2" fontId="0" fillId="0" borderId="0" xfId="0" quotePrefix="1" applyNumberFormat="1" applyAlignment="1">
      <alignment horizontal="center"/>
    </xf>
    <xf numFmtId="9" fontId="4" fillId="0" borderId="0" xfId="0" applyNumberFormat="1" applyFont="1" applyAlignment="1">
      <alignment horizontal="center"/>
    </xf>
    <xf numFmtId="0" fontId="1" fillId="0" borderId="0" xfId="0" applyFont="1"/>
    <xf numFmtId="9" fontId="0" fillId="0" borderId="0" xfId="0" applyNumberFormat="1" applyAlignment="1">
      <alignment horizontal="center"/>
    </xf>
    <xf numFmtId="0" fontId="8" fillId="23" borderId="4" xfId="0" applyFont="1" applyFill="1" applyBorder="1"/>
    <xf numFmtId="0" fontId="0" fillId="22" borderId="29" xfId="0" applyFill="1" applyBorder="1" applyAlignment="1">
      <alignment horizontal="center"/>
    </xf>
    <xf numFmtId="0" fontId="0" fillId="22" borderId="49" xfId="0" applyFill="1" applyBorder="1" applyAlignment="1">
      <alignment horizontal="center"/>
    </xf>
    <xf numFmtId="0" fontId="0" fillId="22" borderId="30" xfId="0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7" borderId="20" xfId="0" applyNumberFormat="1" applyFont="1" applyFill="1" applyBorder="1" applyAlignment="1">
      <alignment horizontal="center"/>
    </xf>
    <xf numFmtId="49" fontId="2" fillId="7" borderId="21" xfId="0" applyNumberFormat="1" applyFont="1" applyFill="1" applyBorder="1" applyAlignment="1">
      <alignment horizontal="center"/>
    </xf>
    <xf numFmtId="49" fontId="2" fillId="7" borderId="13" xfId="0" applyNumberFormat="1" applyFont="1" applyFill="1" applyBorder="1" applyAlignment="1">
      <alignment horizontal="center"/>
    </xf>
    <xf numFmtId="49" fontId="2" fillId="7" borderId="14" xfId="0" applyNumberFormat="1" applyFont="1" applyFill="1" applyBorder="1" applyAlignment="1">
      <alignment horizontal="center"/>
    </xf>
    <xf numFmtId="49" fontId="2" fillId="10" borderId="20" xfId="0" applyNumberFormat="1" applyFont="1" applyFill="1" applyBorder="1" applyAlignment="1">
      <alignment horizontal="center"/>
    </xf>
    <xf numFmtId="49" fontId="2" fillId="10" borderId="21" xfId="0" applyNumberFormat="1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/>
    </xf>
    <xf numFmtId="49" fontId="2" fillId="10" borderId="14" xfId="0" applyNumberFormat="1" applyFont="1" applyFill="1" applyBorder="1" applyAlignment="1">
      <alignment horizontal="center"/>
    </xf>
    <xf numFmtId="49" fontId="2" fillId="10" borderId="22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7" borderId="62" xfId="0" applyFont="1" applyFill="1" applyBorder="1" applyAlignment="1">
      <alignment horizontal="center"/>
    </xf>
    <xf numFmtId="0" fontId="2" fillId="7" borderId="6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2" fillId="7" borderId="49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28" borderId="29" xfId="0" applyFont="1" applyFill="1" applyBorder="1" applyAlignment="1">
      <alignment horizontal="center"/>
    </xf>
    <xf numFmtId="0" fontId="2" fillId="28" borderId="49" xfId="0" applyFont="1" applyFill="1" applyBorder="1" applyAlignment="1">
      <alignment horizontal="center"/>
    </xf>
    <xf numFmtId="0" fontId="2" fillId="28" borderId="3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0" borderId="43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16" borderId="20" xfId="0" applyFont="1" applyFill="1" applyBorder="1" applyAlignment="1">
      <alignment horizontal="center" vertical="center"/>
    </xf>
    <xf numFmtId="0" fontId="3" fillId="16" borderId="13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12" fillId="19" borderId="20" xfId="0" applyFont="1" applyFill="1" applyBorder="1" applyAlignment="1">
      <alignment horizontal="center"/>
    </xf>
    <xf numFmtId="0" fontId="12" fillId="19" borderId="21" xfId="0" applyFont="1" applyFill="1" applyBorder="1" applyAlignment="1">
      <alignment horizontal="center"/>
    </xf>
    <xf numFmtId="0" fontId="12" fillId="19" borderId="22" xfId="0" applyFont="1" applyFill="1" applyBorder="1" applyAlignment="1">
      <alignment horizontal="center"/>
    </xf>
    <xf numFmtId="0" fontId="1" fillId="22" borderId="20" xfId="0" applyFont="1" applyFill="1" applyBorder="1" applyAlignment="1">
      <alignment horizontal="center"/>
    </xf>
    <xf numFmtId="0" fontId="1" fillId="22" borderId="21" xfId="0" applyFon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0" fillId="22" borderId="21" xfId="0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0" fontId="0" fillId="23" borderId="64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1" fillId="23" borderId="51" xfId="0" applyFont="1" applyFill="1" applyBorder="1" applyAlignment="1">
      <alignment horizontal="center"/>
    </xf>
    <xf numFmtId="0" fontId="1" fillId="23" borderId="25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AEFF"/>
      <color rgb="FF9356C2"/>
      <color rgb="FFBE8FD5"/>
      <color rgb="FFC182FF"/>
      <color rgb="FFB77BF3"/>
      <color rgb="FFA76EE0"/>
      <color rgb="FFFFB9F2"/>
      <color rgb="FFFFCAF6"/>
      <color rgb="FFFFDEFB"/>
      <color rgb="FFAFFF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Prosentandel av DNA i prøvene som er humant  - Isohelix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Isohelix!$AJ$3</c:f>
              <c:strCache>
                <c:ptCount val="1"/>
                <c:pt idx="0">
                  <c:v>Humant DNA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Isohelix!$AJ$4:$AJ$33</c:f>
              <c:numCache>
                <c:formatCode>General</c:formatCode>
                <c:ptCount val="30"/>
                <c:pt idx="0">
                  <c:v>72.906221704824731</c:v>
                </c:pt>
                <c:pt idx="1">
                  <c:v>64.176247771836003</c:v>
                </c:pt>
                <c:pt idx="2">
                  <c:v>65.618118697305334</c:v>
                </c:pt>
                <c:pt idx="3">
                  <c:v>58.895419537900281</c:v>
                </c:pt>
                <c:pt idx="4">
                  <c:v>66.388877445932025</c:v>
                </c:pt>
                <c:pt idx="5">
                  <c:v>33.152462526766598</c:v>
                </c:pt>
                <c:pt idx="6">
                  <c:v>81.590909090909093</c:v>
                </c:pt>
                <c:pt idx="7">
                  <c:v>64.997812727840838</c:v>
                </c:pt>
                <c:pt idx="8">
                  <c:v>15.360658436213992</c:v>
                </c:pt>
                <c:pt idx="9">
                  <c:v>63.233224379926945</c:v>
                </c:pt>
                <c:pt idx="10">
                  <c:v>23.552063492063489</c:v>
                </c:pt>
                <c:pt idx="11">
                  <c:v>58.456299659477864</c:v>
                </c:pt>
                <c:pt idx="12">
                  <c:v>39.89893485261333</c:v>
                </c:pt>
                <c:pt idx="13">
                  <c:v>54.92710706150342</c:v>
                </c:pt>
                <c:pt idx="14">
                  <c:v>32.983167559296092</c:v>
                </c:pt>
                <c:pt idx="15">
                  <c:v>58.807304503697068</c:v>
                </c:pt>
                <c:pt idx="16">
                  <c:v>36.653113087674718</c:v>
                </c:pt>
                <c:pt idx="17">
                  <c:v>50.741156303568644</c:v>
                </c:pt>
                <c:pt idx="18">
                  <c:v>58.341607834206336</c:v>
                </c:pt>
                <c:pt idx="19">
                  <c:v>45.698295033358043</c:v>
                </c:pt>
                <c:pt idx="20">
                  <c:v>36.279815668202765</c:v>
                </c:pt>
                <c:pt idx="21">
                  <c:v>41.008855291576673</c:v>
                </c:pt>
                <c:pt idx="22">
                  <c:v>17.932535364526661</c:v>
                </c:pt>
                <c:pt idx="23">
                  <c:v>29.945866141732285</c:v>
                </c:pt>
                <c:pt idx="24">
                  <c:v>42.007921837866384</c:v>
                </c:pt>
                <c:pt idx="25">
                  <c:v>42.048192771084345</c:v>
                </c:pt>
                <c:pt idx="26">
                  <c:v>30.139296688289519</c:v>
                </c:pt>
                <c:pt idx="27">
                  <c:v>32.193236714975846</c:v>
                </c:pt>
                <c:pt idx="28">
                  <c:v>52.197743589743581</c:v>
                </c:pt>
                <c:pt idx="29">
                  <c:v>54.772615590797415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8-0240-8F5A-D1A29A80C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100"/>
        <c:axId val="1250041168"/>
        <c:axId val="1179036512"/>
      </c:barChart>
      <c:catAx>
        <c:axId val="125004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100"/>
                  <a:t>Prøvenummer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79036512"/>
        <c:crosses val="autoZero"/>
        <c:auto val="1"/>
        <c:lblAlgn val="ctr"/>
        <c:lblOffset val="100"/>
        <c:noMultiLvlLbl val="0"/>
      </c:catAx>
      <c:valAx>
        <c:axId val="11790365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100">
                    <a:solidFill>
                      <a:schemeClr val="tx1"/>
                    </a:solidFill>
                  </a:rPr>
                  <a:t>Mengde  DNA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5004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Mengde</a:t>
            </a:r>
            <a:r>
              <a:rPr lang="nb-NO" baseline="0"/>
              <a:t> DNA målt </a:t>
            </a:r>
            <a:r>
              <a:rPr lang="nb-NO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på Lunatic med DNA renset fra ulike munhuleswaber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'Sammenligning av munnhuleavskra'!$J$3</c:f>
              <c:strCache>
                <c:ptCount val="1"/>
                <c:pt idx="0">
                  <c:v>Isohelix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accent1"/>
              </a:solidFill>
            </a:ln>
            <a:effectLst/>
          </c:spPr>
          <c:invertIfNegative val="0"/>
          <c:cat>
            <c:numRef>
              <c:f>'Sammenligning av munnhuleavskra'!$I$4:$I$33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'Sammenligning av munnhuleavskra'!$J$4:$J$33</c:f>
              <c:numCache>
                <c:formatCode>General</c:formatCode>
                <c:ptCount val="30"/>
                <c:pt idx="0">
                  <c:v>4250</c:v>
                </c:pt>
                <c:pt idx="1">
                  <c:v>4825</c:v>
                </c:pt>
                <c:pt idx="2">
                  <c:v>3245.0000000000005</c:v>
                </c:pt>
                <c:pt idx="3">
                  <c:v>2650</c:v>
                </c:pt>
                <c:pt idx="4">
                  <c:v>5180</c:v>
                </c:pt>
                <c:pt idx="5">
                  <c:v>2435</c:v>
                </c:pt>
                <c:pt idx="6">
                  <c:v>1610.0000000000002</c:v>
                </c:pt>
                <c:pt idx="7">
                  <c:v>5115</c:v>
                </c:pt>
                <c:pt idx="8">
                  <c:v>3090</c:v>
                </c:pt>
                <c:pt idx="9">
                  <c:v>2775</c:v>
                </c:pt>
                <c:pt idx="10">
                  <c:v>3290</c:v>
                </c:pt>
                <c:pt idx="11">
                  <c:v>1810.0000000000002</c:v>
                </c:pt>
                <c:pt idx="12">
                  <c:v>4425</c:v>
                </c:pt>
                <c:pt idx="13">
                  <c:v>894.99999999999989</c:v>
                </c:pt>
                <c:pt idx="14">
                  <c:v>2875</c:v>
                </c:pt>
                <c:pt idx="15">
                  <c:v>4620</c:v>
                </c:pt>
                <c:pt idx="16">
                  <c:v>2470</c:v>
                </c:pt>
                <c:pt idx="17">
                  <c:v>3275</c:v>
                </c:pt>
                <c:pt idx="18">
                  <c:v>2220</c:v>
                </c:pt>
                <c:pt idx="19">
                  <c:v>1400</c:v>
                </c:pt>
                <c:pt idx="20">
                  <c:v>2710</c:v>
                </c:pt>
                <c:pt idx="21">
                  <c:v>4995</c:v>
                </c:pt>
                <c:pt idx="22">
                  <c:v>980.00000000000011</c:v>
                </c:pt>
                <c:pt idx="23">
                  <c:v>1985.0000000000002</c:v>
                </c:pt>
                <c:pt idx="24">
                  <c:v>2020</c:v>
                </c:pt>
                <c:pt idx="25">
                  <c:v>915</c:v>
                </c:pt>
                <c:pt idx="26">
                  <c:v>1495</c:v>
                </c:pt>
                <c:pt idx="27">
                  <c:v>2140</c:v>
                </c:pt>
                <c:pt idx="28">
                  <c:v>2490</c:v>
                </c:pt>
                <c:pt idx="29">
                  <c:v>4740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D-2A43-86A9-FD065C2391C9}"/>
            </c:ext>
          </c:extLst>
        </c:ser>
        <c:ser>
          <c:idx val="1"/>
          <c:order val="1"/>
          <c:tx>
            <c:strRef>
              <c:f>'Sammenligning av munnhuleavskra'!$K$3</c:f>
              <c:strCache>
                <c:ptCount val="1"/>
                <c:pt idx="0">
                  <c:v>Oracollect</c:v>
                </c:pt>
              </c:strCache>
            </c:strRef>
          </c:tx>
          <c:spPr>
            <a:solidFill>
              <a:srgbClr val="FF0000"/>
            </a:solidFill>
            <a:ln w="15875">
              <a:solidFill>
                <a:srgbClr val="FF0000"/>
              </a:solidFill>
            </a:ln>
            <a:effectLst/>
          </c:spPr>
          <c:invertIfNegative val="0"/>
          <c:cat>
            <c:numRef>
              <c:f>'Sammenligning av munnhuleavskra'!$I$4:$I$33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'Sammenligning av munnhuleavskra'!$K$4:$K$33</c:f>
              <c:numCache>
                <c:formatCode>General</c:formatCode>
                <c:ptCount val="30"/>
                <c:pt idx="0">
                  <c:v>1410</c:v>
                </c:pt>
                <c:pt idx="1">
                  <c:v>785</c:v>
                </c:pt>
                <c:pt idx="2">
                  <c:v>815</c:v>
                </c:pt>
                <c:pt idx="3">
                  <c:v>1610.0000000000002</c:v>
                </c:pt>
                <c:pt idx="4">
                  <c:v>1920</c:v>
                </c:pt>
                <c:pt idx="5">
                  <c:v>1360</c:v>
                </c:pt>
                <c:pt idx="6">
                  <c:v>869.99999999999989</c:v>
                </c:pt>
                <c:pt idx="7">
                  <c:v>2510</c:v>
                </c:pt>
                <c:pt idx="8">
                  <c:v>4210</c:v>
                </c:pt>
                <c:pt idx="9">
                  <c:v>835</c:v>
                </c:pt>
                <c:pt idx="10">
                  <c:v>2985</c:v>
                </c:pt>
                <c:pt idx="11">
                  <c:v>725</c:v>
                </c:pt>
                <c:pt idx="12">
                  <c:v>1780</c:v>
                </c:pt>
                <c:pt idx="13">
                  <c:v>925</c:v>
                </c:pt>
                <c:pt idx="14">
                  <c:v>1465</c:v>
                </c:pt>
                <c:pt idx="15">
                  <c:v>1470</c:v>
                </c:pt>
                <c:pt idx="16">
                  <c:v>1480</c:v>
                </c:pt>
                <c:pt idx="17">
                  <c:v>2045</c:v>
                </c:pt>
                <c:pt idx="18">
                  <c:v>1260</c:v>
                </c:pt>
                <c:pt idx="19">
                  <c:v>1425</c:v>
                </c:pt>
                <c:pt idx="20">
                  <c:v>1600</c:v>
                </c:pt>
                <c:pt idx="21">
                  <c:v>2000</c:v>
                </c:pt>
                <c:pt idx="22">
                  <c:v>1025</c:v>
                </c:pt>
                <c:pt idx="23">
                  <c:v>1430</c:v>
                </c:pt>
                <c:pt idx="24">
                  <c:v>795</c:v>
                </c:pt>
                <c:pt idx="25">
                  <c:v>1105</c:v>
                </c:pt>
                <c:pt idx="26">
                  <c:v>1000</c:v>
                </c:pt>
                <c:pt idx="27">
                  <c:v>894.99999999999989</c:v>
                </c:pt>
                <c:pt idx="28">
                  <c:v>985</c:v>
                </c:pt>
                <c:pt idx="29">
                  <c:v>1010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D-2A43-86A9-FD065C23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100"/>
        <c:axId val="870512000"/>
        <c:axId val="896502320"/>
      </c:barChart>
      <c:catAx>
        <c:axId val="87051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96502320"/>
        <c:crosses val="autoZero"/>
        <c:auto val="1"/>
        <c:lblAlgn val="ctr"/>
        <c:lblOffset val="100"/>
        <c:noMultiLvlLbl val="0"/>
      </c:catAx>
      <c:valAx>
        <c:axId val="89650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7051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Mengde DNA målt på Qubit med DNA renset fra ulike munnhuleswaber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'Sammenligning av munnhuleavskra'!$Q$3</c:f>
              <c:strCache>
                <c:ptCount val="1"/>
                <c:pt idx="0">
                  <c:v>Isohelix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accent1"/>
              </a:solidFill>
            </a:ln>
            <a:effectLst/>
          </c:spPr>
          <c:invertIfNegative val="0"/>
          <c:cat>
            <c:numRef>
              <c:f>'Sammenligning av munnhuleavskra'!$P$4:$P$33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'Sammenligning av munnhuleavskra'!$Q$4:$Q$33</c:f>
              <c:numCache>
                <c:formatCode>General</c:formatCode>
                <c:ptCount val="30"/>
                <c:pt idx="0">
                  <c:v>3220.0000000000005</c:v>
                </c:pt>
                <c:pt idx="1">
                  <c:v>4100</c:v>
                </c:pt>
                <c:pt idx="2">
                  <c:v>2080</c:v>
                </c:pt>
                <c:pt idx="3">
                  <c:v>1930</c:v>
                </c:pt>
                <c:pt idx="4">
                  <c:v>4300</c:v>
                </c:pt>
                <c:pt idx="5">
                  <c:v>1714.9999999999998</c:v>
                </c:pt>
                <c:pt idx="6">
                  <c:v>1450</c:v>
                </c:pt>
                <c:pt idx="7">
                  <c:v>4660</c:v>
                </c:pt>
                <c:pt idx="8">
                  <c:v>2020</c:v>
                </c:pt>
                <c:pt idx="9">
                  <c:v>2320</c:v>
                </c:pt>
                <c:pt idx="10">
                  <c:v>2280</c:v>
                </c:pt>
                <c:pt idx="11">
                  <c:v>1420</c:v>
                </c:pt>
                <c:pt idx="12">
                  <c:v>3479.9999999999995</c:v>
                </c:pt>
                <c:pt idx="13">
                  <c:v>740</c:v>
                </c:pt>
                <c:pt idx="14">
                  <c:v>2080</c:v>
                </c:pt>
                <c:pt idx="15">
                  <c:v>4240</c:v>
                </c:pt>
                <c:pt idx="16">
                  <c:v>1835.0000000000002</c:v>
                </c:pt>
                <c:pt idx="17">
                  <c:v>3180</c:v>
                </c:pt>
                <c:pt idx="18">
                  <c:v>2020</c:v>
                </c:pt>
                <c:pt idx="19">
                  <c:v>1165</c:v>
                </c:pt>
                <c:pt idx="20">
                  <c:v>2140</c:v>
                </c:pt>
                <c:pt idx="21">
                  <c:v>4120</c:v>
                </c:pt>
                <c:pt idx="22">
                  <c:v>665</c:v>
                </c:pt>
                <c:pt idx="23">
                  <c:v>1575</c:v>
                </c:pt>
                <c:pt idx="24">
                  <c:v>1320</c:v>
                </c:pt>
                <c:pt idx="25">
                  <c:v>665</c:v>
                </c:pt>
                <c:pt idx="26">
                  <c:v>1025</c:v>
                </c:pt>
                <c:pt idx="27">
                  <c:v>1445</c:v>
                </c:pt>
                <c:pt idx="28">
                  <c:v>1820</c:v>
                </c:pt>
                <c:pt idx="29">
                  <c:v>3800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A-5E4D-946A-C6BD7AD57D5C}"/>
            </c:ext>
          </c:extLst>
        </c:ser>
        <c:ser>
          <c:idx val="1"/>
          <c:order val="1"/>
          <c:tx>
            <c:strRef>
              <c:f>'Sammenligning av munnhuleavskra'!$R$3</c:f>
              <c:strCache>
                <c:ptCount val="1"/>
                <c:pt idx="0">
                  <c:v>Oracollect</c:v>
                </c:pt>
              </c:strCache>
            </c:strRef>
          </c:tx>
          <c:spPr>
            <a:solidFill>
              <a:srgbClr val="FF0000"/>
            </a:solidFill>
            <a:ln w="15875">
              <a:solidFill>
                <a:srgbClr val="FF0000"/>
              </a:solidFill>
            </a:ln>
            <a:effectLst/>
          </c:spPr>
          <c:invertIfNegative val="0"/>
          <c:cat>
            <c:numRef>
              <c:f>'Sammenligning av munnhuleavskra'!$P$4:$P$33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'Sammenligning av munnhuleavskra'!$R$4:$R$33</c:f>
              <c:numCache>
                <c:formatCode>General</c:formatCode>
                <c:ptCount val="30"/>
                <c:pt idx="0">
                  <c:v>1019.9999999999999</c:v>
                </c:pt>
                <c:pt idx="1">
                  <c:v>615</c:v>
                </c:pt>
                <c:pt idx="2">
                  <c:v>565</c:v>
                </c:pt>
                <c:pt idx="3">
                  <c:v>965</c:v>
                </c:pt>
                <c:pt idx="4">
                  <c:v>1265</c:v>
                </c:pt>
                <c:pt idx="5">
                  <c:v>900</c:v>
                </c:pt>
                <c:pt idx="6">
                  <c:v>615</c:v>
                </c:pt>
                <c:pt idx="7">
                  <c:v>1830</c:v>
                </c:pt>
                <c:pt idx="8">
                  <c:v>3479.9999999999995</c:v>
                </c:pt>
                <c:pt idx="9">
                  <c:v>540</c:v>
                </c:pt>
                <c:pt idx="10">
                  <c:v>3350</c:v>
                </c:pt>
                <c:pt idx="11">
                  <c:v>595</c:v>
                </c:pt>
                <c:pt idx="12">
                  <c:v>2070</c:v>
                </c:pt>
                <c:pt idx="13">
                  <c:v>555</c:v>
                </c:pt>
                <c:pt idx="14">
                  <c:v>1285</c:v>
                </c:pt>
                <c:pt idx="15">
                  <c:v>1545</c:v>
                </c:pt>
                <c:pt idx="16">
                  <c:v>1560</c:v>
                </c:pt>
                <c:pt idx="17">
                  <c:v>2385</c:v>
                </c:pt>
                <c:pt idx="18">
                  <c:v>944.99999999999989</c:v>
                </c:pt>
                <c:pt idx="19">
                  <c:v>1160</c:v>
                </c:pt>
                <c:pt idx="20">
                  <c:v>1380</c:v>
                </c:pt>
                <c:pt idx="21">
                  <c:v>1850</c:v>
                </c:pt>
                <c:pt idx="22">
                  <c:v>855.00000000000011</c:v>
                </c:pt>
                <c:pt idx="23">
                  <c:v>1180</c:v>
                </c:pt>
                <c:pt idx="24">
                  <c:v>505</c:v>
                </c:pt>
                <c:pt idx="25">
                  <c:v>1135</c:v>
                </c:pt>
                <c:pt idx="26">
                  <c:v>755</c:v>
                </c:pt>
                <c:pt idx="27">
                  <c:v>590</c:v>
                </c:pt>
                <c:pt idx="28">
                  <c:v>830.00000000000011</c:v>
                </c:pt>
                <c:pt idx="29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7A-5E4D-946A-C6BD7AD57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100"/>
        <c:axId val="1266949760"/>
        <c:axId val="1260178816"/>
      </c:barChart>
      <c:catAx>
        <c:axId val="126694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60178816"/>
        <c:crosses val="autoZero"/>
        <c:auto val="1"/>
        <c:lblAlgn val="ctr"/>
        <c:lblOffset val="100"/>
        <c:noMultiLvlLbl val="0"/>
      </c:catAx>
      <c:valAx>
        <c:axId val="126017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6694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Mengde DNA målt på PCR med DNA renset fra ulike munnhuleswaber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'Sammenligning av munnhuleavskra'!$X$3</c:f>
              <c:strCache>
                <c:ptCount val="1"/>
                <c:pt idx="0">
                  <c:v>Isohelix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accent1"/>
              </a:solidFill>
            </a:ln>
            <a:effectLst/>
          </c:spPr>
          <c:invertIfNegative val="0"/>
          <c:cat>
            <c:numRef>
              <c:f>'Sammenligning av munnhuleavskra'!$W$4:$W$33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'Sammenligning av munnhuleavskra'!$X$4:$X$33</c:f>
              <c:numCache>
                <c:formatCode>0.00</c:formatCode>
                <c:ptCount val="30"/>
                <c:pt idx="0">
                  <c:v>2818</c:v>
                </c:pt>
                <c:pt idx="1">
                  <c:v>2880</c:v>
                </c:pt>
                <c:pt idx="2">
                  <c:v>1984.5</c:v>
                </c:pt>
                <c:pt idx="3">
                  <c:v>1453</c:v>
                </c:pt>
                <c:pt idx="4">
                  <c:v>3222.9999999999995</c:v>
                </c:pt>
                <c:pt idx="5">
                  <c:v>774</c:v>
                </c:pt>
                <c:pt idx="6">
                  <c:v>1256.5</c:v>
                </c:pt>
                <c:pt idx="7">
                  <c:v>3120</c:v>
                </c:pt>
                <c:pt idx="8">
                  <c:v>466.5</c:v>
                </c:pt>
                <c:pt idx="9">
                  <c:v>1644.5</c:v>
                </c:pt>
                <c:pt idx="10">
                  <c:v>742</c:v>
                </c:pt>
                <c:pt idx="11">
                  <c:v>1030</c:v>
                </c:pt>
                <c:pt idx="12">
                  <c:v>1610.5</c:v>
                </c:pt>
                <c:pt idx="13">
                  <c:v>482.5</c:v>
                </c:pt>
                <c:pt idx="14">
                  <c:v>861.99999999999989</c:v>
                </c:pt>
                <c:pt idx="15">
                  <c:v>2624.5</c:v>
                </c:pt>
                <c:pt idx="16">
                  <c:v>865.49999999999989</c:v>
                </c:pt>
                <c:pt idx="17">
                  <c:v>1628</c:v>
                </c:pt>
                <c:pt idx="18">
                  <c:v>1281</c:v>
                </c:pt>
                <c:pt idx="19">
                  <c:v>616.5</c:v>
                </c:pt>
                <c:pt idx="20">
                  <c:v>984</c:v>
                </c:pt>
                <c:pt idx="21">
                  <c:v>1898.5</c:v>
                </c:pt>
                <c:pt idx="22">
                  <c:v>165</c:v>
                </c:pt>
                <c:pt idx="23">
                  <c:v>608.5</c:v>
                </c:pt>
                <c:pt idx="24">
                  <c:v>795.5</c:v>
                </c:pt>
                <c:pt idx="25">
                  <c:v>401.49999999999994</c:v>
                </c:pt>
                <c:pt idx="26">
                  <c:v>441.5</c:v>
                </c:pt>
                <c:pt idx="27">
                  <c:v>633</c:v>
                </c:pt>
                <c:pt idx="28">
                  <c:v>1272.5</c:v>
                </c:pt>
                <c:pt idx="29">
                  <c:v>2452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C-324F-954C-98C472788D10}"/>
            </c:ext>
          </c:extLst>
        </c:ser>
        <c:ser>
          <c:idx val="1"/>
          <c:order val="1"/>
          <c:tx>
            <c:strRef>
              <c:f>'Sammenligning av munnhuleavskra'!$Y$3</c:f>
              <c:strCache>
                <c:ptCount val="1"/>
                <c:pt idx="0">
                  <c:v>Oracollect</c:v>
                </c:pt>
              </c:strCache>
            </c:strRef>
          </c:tx>
          <c:spPr>
            <a:solidFill>
              <a:srgbClr val="FF0000"/>
            </a:solidFill>
            <a:ln w="15875">
              <a:solidFill>
                <a:srgbClr val="FF0000"/>
              </a:solidFill>
            </a:ln>
            <a:effectLst/>
          </c:spPr>
          <c:invertIfNegative val="0"/>
          <c:cat>
            <c:numRef>
              <c:f>'Sammenligning av munnhuleavskra'!$W$4:$W$33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'Sammenligning av munnhuleavskra'!$Y$4:$Y$33</c:f>
              <c:numCache>
                <c:formatCode>0.00</c:formatCode>
                <c:ptCount val="30"/>
                <c:pt idx="0">
                  <c:v>784</c:v>
                </c:pt>
                <c:pt idx="1">
                  <c:v>489.49999999999994</c:v>
                </c:pt>
                <c:pt idx="2">
                  <c:v>522</c:v>
                </c:pt>
                <c:pt idx="3">
                  <c:v>903.5</c:v>
                </c:pt>
                <c:pt idx="4">
                  <c:v>1013.0000000000001</c:v>
                </c:pt>
                <c:pt idx="5">
                  <c:v>671.5</c:v>
                </c:pt>
                <c:pt idx="6">
                  <c:v>499</c:v>
                </c:pt>
                <c:pt idx="7">
                  <c:v>1768.4999999999998</c:v>
                </c:pt>
                <c:pt idx="8">
                  <c:v>2033.5</c:v>
                </c:pt>
                <c:pt idx="9">
                  <c:v>401.49999999999994</c:v>
                </c:pt>
                <c:pt idx="10">
                  <c:v>1614</c:v>
                </c:pt>
                <c:pt idx="11">
                  <c:v>395</c:v>
                </c:pt>
                <c:pt idx="12">
                  <c:v>1069.5</c:v>
                </c:pt>
                <c:pt idx="13">
                  <c:v>320.5</c:v>
                </c:pt>
                <c:pt idx="14">
                  <c:v>798</c:v>
                </c:pt>
                <c:pt idx="15">
                  <c:v>830.00000000000011</c:v>
                </c:pt>
                <c:pt idx="16">
                  <c:v>1026.5</c:v>
                </c:pt>
                <c:pt idx="17">
                  <c:v>1518.5</c:v>
                </c:pt>
                <c:pt idx="18">
                  <c:v>736</c:v>
                </c:pt>
                <c:pt idx="19">
                  <c:v>907.49999999999989</c:v>
                </c:pt>
                <c:pt idx="20">
                  <c:v>933.50000000000011</c:v>
                </c:pt>
                <c:pt idx="21">
                  <c:v>1212</c:v>
                </c:pt>
                <c:pt idx="22">
                  <c:v>601.5</c:v>
                </c:pt>
                <c:pt idx="23">
                  <c:v>922.00000000000011</c:v>
                </c:pt>
                <c:pt idx="24">
                  <c:v>295.5</c:v>
                </c:pt>
                <c:pt idx="25">
                  <c:v>557.5</c:v>
                </c:pt>
                <c:pt idx="26">
                  <c:v>578</c:v>
                </c:pt>
                <c:pt idx="27">
                  <c:v>380.5</c:v>
                </c:pt>
                <c:pt idx="28">
                  <c:v>627</c:v>
                </c:pt>
                <c:pt idx="29">
                  <c:v>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0C-324F-954C-98C472788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100"/>
        <c:axId val="873939568"/>
        <c:axId val="875317280"/>
      </c:barChart>
      <c:catAx>
        <c:axId val="87393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75317280"/>
        <c:crosses val="autoZero"/>
        <c:auto val="1"/>
        <c:lblAlgn val="ctr"/>
        <c:lblOffset val="100"/>
        <c:noMultiLvlLbl val="0"/>
      </c:catAx>
      <c:valAx>
        <c:axId val="87531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7393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Ratio 260/280nm - Isohelix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025025559904883"/>
          <c:y val="0.17728829305866653"/>
          <c:w val="0.87245766314541595"/>
          <c:h val="0.597644003996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'Renhet i prøvene'!$H$4</c:f>
              <c:strCache>
                <c:ptCount val="1"/>
                <c:pt idx="0">
                  <c:v>Nanodrop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val>
            <c:numRef>
              <c:f>'Renhet i prøvene'!$H$5:$H$34</c:f>
              <c:numCache>
                <c:formatCode>General</c:formatCode>
                <c:ptCount val="30"/>
                <c:pt idx="0">
                  <c:v>1.83</c:v>
                </c:pt>
                <c:pt idx="1">
                  <c:v>1.86</c:v>
                </c:pt>
                <c:pt idx="2">
                  <c:v>1.77</c:v>
                </c:pt>
                <c:pt idx="3">
                  <c:v>1.78</c:v>
                </c:pt>
                <c:pt idx="4">
                  <c:v>1.84</c:v>
                </c:pt>
                <c:pt idx="5">
                  <c:v>1.79</c:v>
                </c:pt>
                <c:pt idx="6" formatCode="0.00">
                  <c:v>1.8</c:v>
                </c:pt>
                <c:pt idx="7">
                  <c:v>1.84</c:v>
                </c:pt>
                <c:pt idx="8">
                  <c:v>1.83</c:v>
                </c:pt>
                <c:pt idx="9">
                  <c:v>1.86</c:v>
                </c:pt>
                <c:pt idx="10">
                  <c:v>1.78</c:v>
                </c:pt>
                <c:pt idx="11">
                  <c:v>1.73</c:v>
                </c:pt>
                <c:pt idx="12">
                  <c:v>1.82</c:v>
                </c:pt>
                <c:pt idx="13" formatCode="0.00">
                  <c:v>1.7</c:v>
                </c:pt>
                <c:pt idx="14">
                  <c:v>1.77</c:v>
                </c:pt>
                <c:pt idx="15">
                  <c:v>1.83</c:v>
                </c:pt>
                <c:pt idx="16">
                  <c:v>1.8</c:v>
                </c:pt>
                <c:pt idx="17">
                  <c:v>1.82</c:v>
                </c:pt>
                <c:pt idx="18">
                  <c:v>1.77</c:v>
                </c:pt>
                <c:pt idx="19">
                  <c:v>1.73</c:v>
                </c:pt>
                <c:pt idx="20">
                  <c:v>1.8</c:v>
                </c:pt>
                <c:pt idx="21">
                  <c:v>1.84</c:v>
                </c:pt>
                <c:pt idx="22">
                  <c:v>1.75</c:v>
                </c:pt>
                <c:pt idx="23">
                  <c:v>1.77</c:v>
                </c:pt>
                <c:pt idx="24">
                  <c:v>1.84</c:v>
                </c:pt>
                <c:pt idx="25">
                  <c:v>1.68</c:v>
                </c:pt>
                <c:pt idx="26">
                  <c:v>1.76</c:v>
                </c:pt>
                <c:pt idx="27">
                  <c:v>1.84</c:v>
                </c:pt>
                <c:pt idx="28">
                  <c:v>1.88</c:v>
                </c:pt>
                <c:pt idx="29">
                  <c:v>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C-A748-AD8C-2B9EC2CE5A5F}"/>
            </c:ext>
          </c:extLst>
        </c:ser>
        <c:ser>
          <c:idx val="1"/>
          <c:order val="1"/>
          <c:tx>
            <c:strRef>
              <c:f>'Renhet i prøvene'!$I$4</c:f>
              <c:strCache>
                <c:ptCount val="1"/>
                <c:pt idx="0">
                  <c:v>Lunatic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accent3"/>
              </a:solidFill>
            </a:ln>
            <a:effectLst/>
          </c:spPr>
          <c:invertIfNegative val="0"/>
          <c:val>
            <c:numRef>
              <c:f>'Renhet i prøvene'!$I$5:$I$34</c:f>
              <c:numCache>
                <c:formatCode>General</c:formatCode>
                <c:ptCount val="30"/>
                <c:pt idx="0">
                  <c:v>1.85</c:v>
                </c:pt>
                <c:pt idx="1">
                  <c:v>1.86</c:v>
                </c:pt>
                <c:pt idx="2">
                  <c:v>1.86</c:v>
                </c:pt>
                <c:pt idx="3">
                  <c:v>1.84</c:v>
                </c:pt>
                <c:pt idx="4">
                  <c:v>1.88</c:v>
                </c:pt>
                <c:pt idx="5">
                  <c:v>1.85</c:v>
                </c:pt>
                <c:pt idx="6">
                  <c:v>1.82</c:v>
                </c:pt>
                <c:pt idx="7">
                  <c:v>1.85</c:v>
                </c:pt>
                <c:pt idx="8">
                  <c:v>1.84</c:v>
                </c:pt>
                <c:pt idx="9">
                  <c:v>1.83</c:v>
                </c:pt>
                <c:pt idx="10">
                  <c:v>1.85</c:v>
                </c:pt>
                <c:pt idx="11">
                  <c:v>1.87</c:v>
                </c:pt>
                <c:pt idx="12">
                  <c:v>1.85</c:v>
                </c:pt>
                <c:pt idx="13">
                  <c:v>1.87</c:v>
                </c:pt>
                <c:pt idx="14">
                  <c:v>1.86</c:v>
                </c:pt>
                <c:pt idx="15">
                  <c:v>1.85</c:v>
                </c:pt>
                <c:pt idx="16">
                  <c:v>1.84</c:v>
                </c:pt>
                <c:pt idx="17">
                  <c:v>1.84</c:v>
                </c:pt>
                <c:pt idx="18">
                  <c:v>1.83</c:v>
                </c:pt>
                <c:pt idx="19">
                  <c:v>1.84</c:v>
                </c:pt>
                <c:pt idx="20">
                  <c:v>1.86</c:v>
                </c:pt>
                <c:pt idx="21">
                  <c:v>1.85</c:v>
                </c:pt>
                <c:pt idx="22">
                  <c:v>1.8</c:v>
                </c:pt>
                <c:pt idx="23">
                  <c:v>1.84</c:v>
                </c:pt>
                <c:pt idx="24">
                  <c:v>1.83</c:v>
                </c:pt>
                <c:pt idx="25">
                  <c:v>1.76</c:v>
                </c:pt>
                <c:pt idx="26">
                  <c:v>1.84</c:v>
                </c:pt>
                <c:pt idx="27">
                  <c:v>1.88</c:v>
                </c:pt>
                <c:pt idx="28">
                  <c:v>1.86</c:v>
                </c:pt>
                <c:pt idx="29">
                  <c:v>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C-A748-AD8C-2B9EC2CE5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100"/>
        <c:axId val="897734192"/>
        <c:axId val="910949376"/>
      </c:barChart>
      <c:catAx>
        <c:axId val="897734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50">
                    <a:solidFill>
                      <a:schemeClr val="tx1"/>
                    </a:solidFill>
                  </a:rPr>
                  <a:t>Prøvenummer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10949376"/>
        <c:crosses val="autoZero"/>
        <c:auto val="1"/>
        <c:lblAlgn val="ctr"/>
        <c:lblOffset val="100"/>
        <c:noMultiLvlLbl val="0"/>
      </c:catAx>
      <c:valAx>
        <c:axId val="910949376"/>
        <c:scaling>
          <c:orientation val="minMax"/>
          <c:min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50">
                    <a:solidFill>
                      <a:schemeClr val="tx1"/>
                    </a:solidFill>
                  </a:rPr>
                  <a:t>Ratioverdi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9773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688086557834979"/>
          <c:y val="0.89741573042005751"/>
          <c:w val="0.18964734664826746"/>
          <c:h val="7.9117047927106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Ratio 260/280nm - Oracollect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9.5195472468413006E-2"/>
          <c:y val="0.17114334508095305"/>
          <c:w val="0.88359292118438204"/>
          <c:h val="0.609054851890520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'Renhet i prøvene'!$J$4</c:f>
              <c:strCache>
                <c:ptCount val="1"/>
                <c:pt idx="0">
                  <c:v>Nanodrop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val>
            <c:numRef>
              <c:f>'Renhet i prøvene'!$J$5:$J$34</c:f>
              <c:numCache>
                <c:formatCode>General</c:formatCode>
                <c:ptCount val="30"/>
                <c:pt idx="0">
                  <c:v>1.87</c:v>
                </c:pt>
                <c:pt idx="1">
                  <c:v>2.1800000000000002</c:v>
                </c:pt>
                <c:pt idx="2">
                  <c:v>1.92</c:v>
                </c:pt>
                <c:pt idx="3">
                  <c:v>1.92</c:v>
                </c:pt>
                <c:pt idx="4">
                  <c:v>1.93</c:v>
                </c:pt>
                <c:pt idx="5" formatCode="0.00">
                  <c:v>2</c:v>
                </c:pt>
                <c:pt idx="6">
                  <c:v>1.89</c:v>
                </c:pt>
                <c:pt idx="7">
                  <c:v>1.88</c:v>
                </c:pt>
                <c:pt idx="8">
                  <c:v>1.89</c:v>
                </c:pt>
                <c:pt idx="9">
                  <c:v>2.11</c:v>
                </c:pt>
                <c:pt idx="10">
                  <c:v>1.86</c:v>
                </c:pt>
                <c:pt idx="11">
                  <c:v>1.79</c:v>
                </c:pt>
                <c:pt idx="12">
                  <c:v>1.82</c:v>
                </c:pt>
                <c:pt idx="13">
                  <c:v>1.92</c:v>
                </c:pt>
                <c:pt idx="14">
                  <c:v>1.85</c:v>
                </c:pt>
                <c:pt idx="15">
                  <c:v>1.84</c:v>
                </c:pt>
                <c:pt idx="16" formatCode="0.00">
                  <c:v>1.9</c:v>
                </c:pt>
                <c:pt idx="17">
                  <c:v>1.84</c:v>
                </c:pt>
                <c:pt idx="18">
                  <c:v>1.89</c:v>
                </c:pt>
                <c:pt idx="19">
                  <c:v>1.89</c:v>
                </c:pt>
                <c:pt idx="20">
                  <c:v>1.92</c:v>
                </c:pt>
                <c:pt idx="21">
                  <c:v>1.83</c:v>
                </c:pt>
                <c:pt idx="22">
                  <c:v>1.85</c:v>
                </c:pt>
                <c:pt idx="23" formatCode="0.00">
                  <c:v>1.9</c:v>
                </c:pt>
                <c:pt idx="24">
                  <c:v>1.96</c:v>
                </c:pt>
                <c:pt idx="25">
                  <c:v>2.08</c:v>
                </c:pt>
                <c:pt idx="26">
                  <c:v>2.0099999999999998</c:v>
                </c:pt>
                <c:pt idx="27">
                  <c:v>2.2200000000000002</c:v>
                </c:pt>
                <c:pt idx="28" formatCode="0.00">
                  <c:v>1.9</c:v>
                </c:pt>
                <c:pt idx="29" formatCode="0.0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D-5443-8FE3-69A950A2B1D9}"/>
            </c:ext>
          </c:extLst>
        </c:ser>
        <c:ser>
          <c:idx val="1"/>
          <c:order val="1"/>
          <c:tx>
            <c:strRef>
              <c:f>'Renhet i prøvene'!$K$4</c:f>
              <c:strCache>
                <c:ptCount val="1"/>
                <c:pt idx="0">
                  <c:v>Lunatic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accent3"/>
              </a:solidFill>
            </a:ln>
            <a:effectLst/>
          </c:spPr>
          <c:invertIfNegative val="0"/>
          <c:val>
            <c:numRef>
              <c:f>'Renhet i prøvene'!$K$5:$K$34</c:f>
              <c:numCache>
                <c:formatCode>General</c:formatCode>
                <c:ptCount val="30"/>
                <c:pt idx="0">
                  <c:v>1.87</c:v>
                </c:pt>
                <c:pt idx="1">
                  <c:v>1.85</c:v>
                </c:pt>
                <c:pt idx="2">
                  <c:v>1.75</c:v>
                </c:pt>
                <c:pt idx="3">
                  <c:v>1.85</c:v>
                </c:pt>
                <c:pt idx="4">
                  <c:v>1.85</c:v>
                </c:pt>
                <c:pt idx="5">
                  <c:v>1.86</c:v>
                </c:pt>
                <c:pt idx="6">
                  <c:v>1.85</c:v>
                </c:pt>
                <c:pt idx="7">
                  <c:v>1.88</c:v>
                </c:pt>
                <c:pt idx="8">
                  <c:v>1.86</c:v>
                </c:pt>
                <c:pt idx="9">
                  <c:v>1.88</c:v>
                </c:pt>
                <c:pt idx="10">
                  <c:v>1.84</c:v>
                </c:pt>
                <c:pt idx="11">
                  <c:v>1.83</c:v>
                </c:pt>
                <c:pt idx="12">
                  <c:v>1.84</c:v>
                </c:pt>
                <c:pt idx="13">
                  <c:v>1.94</c:v>
                </c:pt>
                <c:pt idx="14">
                  <c:v>1.82</c:v>
                </c:pt>
                <c:pt idx="15">
                  <c:v>1.83</c:v>
                </c:pt>
                <c:pt idx="16">
                  <c:v>1.89</c:v>
                </c:pt>
                <c:pt idx="17">
                  <c:v>1.82</c:v>
                </c:pt>
                <c:pt idx="18">
                  <c:v>1.84</c:v>
                </c:pt>
                <c:pt idx="19">
                  <c:v>1.83</c:v>
                </c:pt>
                <c:pt idx="20">
                  <c:v>1.87</c:v>
                </c:pt>
                <c:pt idx="21">
                  <c:v>1.89</c:v>
                </c:pt>
                <c:pt idx="22">
                  <c:v>1.88</c:v>
                </c:pt>
                <c:pt idx="23">
                  <c:v>1.83</c:v>
                </c:pt>
                <c:pt idx="24">
                  <c:v>1.89</c:v>
                </c:pt>
                <c:pt idx="25">
                  <c:v>1.86</c:v>
                </c:pt>
                <c:pt idx="26">
                  <c:v>1.78</c:v>
                </c:pt>
                <c:pt idx="27">
                  <c:v>1.99</c:v>
                </c:pt>
                <c:pt idx="28">
                  <c:v>1.84</c:v>
                </c:pt>
                <c:pt idx="29">
                  <c:v>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6D-5443-8FE3-69A950A2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100"/>
        <c:axId val="960015312"/>
        <c:axId val="959708016"/>
      </c:barChart>
      <c:catAx>
        <c:axId val="960015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50" b="0" i="0" u="none" strike="noStrike" kern="1200" baseline="0">
                    <a:solidFill>
                      <a:schemeClr val="tx1"/>
                    </a:solidFill>
                  </a:rPr>
                  <a:t>Prøvenummer</a:t>
                </a:r>
                <a:endParaRPr lang="nb-NO" sz="105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59708016"/>
        <c:crosses val="autoZero"/>
        <c:auto val="1"/>
        <c:lblAlgn val="ctr"/>
        <c:lblOffset val="100"/>
        <c:noMultiLvlLbl val="0"/>
      </c:catAx>
      <c:valAx>
        <c:axId val="959708016"/>
        <c:scaling>
          <c:orientation val="minMax"/>
          <c:max val="2.2000000000000002"/>
          <c:min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50" b="0" i="0" u="none" strike="noStrike" kern="1200" baseline="0">
                    <a:solidFill>
                      <a:schemeClr val="tx1"/>
                    </a:solidFill>
                  </a:rPr>
                  <a:t>Ratioverdi</a:t>
                </a:r>
                <a:endParaRPr lang="nb-NO" sz="105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60015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595912673775369"/>
          <c:y val="0.89644438154966632"/>
          <c:w val="0.1905590236206359"/>
          <c:h val="7.8773174175113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Ratio 260/280nm - Oragene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9.5287359571139318E-2"/>
          <c:y val="0.17691468981783598"/>
          <c:w val="0.88734093797466318"/>
          <c:h val="0.61458992369945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'Renhet i prøvene'!$L$4</c:f>
              <c:strCache>
                <c:ptCount val="1"/>
                <c:pt idx="0">
                  <c:v>Nanodrop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val>
            <c:numRef>
              <c:f>'Renhet i prøvene'!$L$5:$L$34</c:f>
              <c:numCache>
                <c:formatCode>General</c:formatCode>
                <c:ptCount val="30"/>
                <c:pt idx="0">
                  <c:v>1.93</c:v>
                </c:pt>
                <c:pt idx="1">
                  <c:v>1.76</c:v>
                </c:pt>
                <c:pt idx="2" formatCode="0.00">
                  <c:v>1.8</c:v>
                </c:pt>
                <c:pt idx="3" formatCode="0.00">
                  <c:v>1.8</c:v>
                </c:pt>
                <c:pt idx="4" formatCode="0.00">
                  <c:v>1.9</c:v>
                </c:pt>
                <c:pt idx="5">
                  <c:v>1.94</c:v>
                </c:pt>
                <c:pt idx="6">
                  <c:v>1.89</c:v>
                </c:pt>
                <c:pt idx="7" formatCode="0.00">
                  <c:v>1.8</c:v>
                </c:pt>
                <c:pt idx="8" formatCode="0.00">
                  <c:v>1.9</c:v>
                </c:pt>
                <c:pt idx="9">
                  <c:v>1.87</c:v>
                </c:pt>
                <c:pt idx="10">
                  <c:v>1.94</c:v>
                </c:pt>
                <c:pt idx="11">
                  <c:v>1.86</c:v>
                </c:pt>
                <c:pt idx="12">
                  <c:v>1.79</c:v>
                </c:pt>
                <c:pt idx="13">
                  <c:v>1.86</c:v>
                </c:pt>
                <c:pt idx="14" formatCode="0.00">
                  <c:v>1.9</c:v>
                </c:pt>
                <c:pt idx="15">
                  <c:v>1.79</c:v>
                </c:pt>
                <c:pt idx="16">
                  <c:v>1.85</c:v>
                </c:pt>
                <c:pt idx="17">
                  <c:v>1.79</c:v>
                </c:pt>
                <c:pt idx="18">
                  <c:v>1.91</c:v>
                </c:pt>
                <c:pt idx="19">
                  <c:v>1.91</c:v>
                </c:pt>
                <c:pt idx="20">
                  <c:v>1.87</c:v>
                </c:pt>
                <c:pt idx="21">
                  <c:v>1.87</c:v>
                </c:pt>
                <c:pt idx="22">
                  <c:v>1.93</c:v>
                </c:pt>
                <c:pt idx="23">
                  <c:v>1.88</c:v>
                </c:pt>
                <c:pt idx="24">
                  <c:v>1.89</c:v>
                </c:pt>
                <c:pt idx="25">
                  <c:v>1.89</c:v>
                </c:pt>
                <c:pt idx="26">
                  <c:v>1.89</c:v>
                </c:pt>
                <c:pt idx="27" formatCode="0.00">
                  <c:v>2</c:v>
                </c:pt>
                <c:pt idx="28">
                  <c:v>1.81</c:v>
                </c:pt>
                <c:pt idx="29">
                  <c:v>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3-9C46-A0FA-2CDE9BBD93EE}"/>
            </c:ext>
          </c:extLst>
        </c:ser>
        <c:ser>
          <c:idx val="1"/>
          <c:order val="1"/>
          <c:tx>
            <c:strRef>
              <c:f>'Renhet i prøvene'!$M$4</c:f>
              <c:strCache>
                <c:ptCount val="1"/>
                <c:pt idx="0">
                  <c:v>Lunatic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accent3"/>
              </a:solidFill>
            </a:ln>
            <a:effectLst/>
          </c:spPr>
          <c:invertIfNegative val="0"/>
          <c:val>
            <c:numRef>
              <c:f>'Renhet i prøvene'!$M$5:$M$34</c:f>
              <c:numCache>
                <c:formatCode>General</c:formatCode>
                <c:ptCount val="30"/>
                <c:pt idx="0">
                  <c:v>1.89</c:v>
                </c:pt>
                <c:pt idx="1">
                  <c:v>1.82</c:v>
                </c:pt>
                <c:pt idx="2">
                  <c:v>0.74</c:v>
                </c:pt>
                <c:pt idx="3">
                  <c:v>1.78</c:v>
                </c:pt>
                <c:pt idx="4">
                  <c:v>1.97</c:v>
                </c:pt>
                <c:pt idx="5">
                  <c:v>1.98</c:v>
                </c:pt>
                <c:pt idx="6">
                  <c:v>1.95</c:v>
                </c:pt>
                <c:pt idx="7">
                  <c:v>1.88</c:v>
                </c:pt>
                <c:pt idx="8">
                  <c:v>1.99</c:v>
                </c:pt>
                <c:pt idx="9">
                  <c:v>1.95</c:v>
                </c:pt>
                <c:pt idx="10">
                  <c:v>1.99</c:v>
                </c:pt>
                <c:pt idx="11">
                  <c:v>1.99</c:v>
                </c:pt>
                <c:pt idx="12">
                  <c:v>1.88</c:v>
                </c:pt>
                <c:pt idx="13">
                  <c:v>2.02</c:v>
                </c:pt>
                <c:pt idx="14">
                  <c:v>1.93</c:v>
                </c:pt>
                <c:pt idx="15">
                  <c:v>1.86</c:v>
                </c:pt>
                <c:pt idx="16">
                  <c:v>1.94</c:v>
                </c:pt>
                <c:pt idx="17">
                  <c:v>1.99</c:v>
                </c:pt>
                <c:pt idx="18">
                  <c:v>1.98</c:v>
                </c:pt>
                <c:pt idx="19">
                  <c:v>1.97</c:v>
                </c:pt>
                <c:pt idx="20">
                  <c:v>1.21</c:v>
                </c:pt>
                <c:pt idx="21">
                  <c:v>1.73</c:v>
                </c:pt>
                <c:pt idx="22">
                  <c:v>1.98</c:v>
                </c:pt>
                <c:pt idx="23">
                  <c:v>1.92</c:v>
                </c:pt>
                <c:pt idx="24">
                  <c:v>1.91</c:v>
                </c:pt>
                <c:pt idx="25">
                  <c:v>1.95</c:v>
                </c:pt>
                <c:pt idx="26">
                  <c:v>1.97</c:v>
                </c:pt>
                <c:pt idx="27">
                  <c:v>2.09</c:v>
                </c:pt>
                <c:pt idx="28">
                  <c:v>1.9</c:v>
                </c:pt>
                <c:pt idx="29">
                  <c:v>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B3-9C46-A0FA-2CDE9BBD9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100"/>
        <c:axId val="987310384"/>
        <c:axId val="987109056"/>
      </c:barChart>
      <c:catAx>
        <c:axId val="987310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50" b="0" i="0" u="none" strike="noStrike" kern="1200" baseline="0">
                    <a:solidFill>
                      <a:schemeClr val="tx1"/>
                    </a:solidFill>
                  </a:rPr>
                  <a:t>Prøvenummer</a:t>
                </a:r>
                <a:endParaRPr lang="nb-NO" sz="105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87109056"/>
        <c:crosses val="autoZero"/>
        <c:auto val="1"/>
        <c:lblAlgn val="ctr"/>
        <c:lblOffset val="100"/>
        <c:noMultiLvlLbl val="0"/>
      </c:catAx>
      <c:valAx>
        <c:axId val="987109056"/>
        <c:scaling>
          <c:orientation val="minMax"/>
          <c:max val="2.2000000000000002"/>
          <c:min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50" b="0" i="0" u="none" strike="noStrike" kern="1200" baseline="0">
                    <a:solidFill>
                      <a:schemeClr val="tx1"/>
                    </a:solidFill>
                  </a:rPr>
                  <a:t>Ratioverdi</a:t>
                </a:r>
                <a:endParaRPr lang="nb-NO" sz="105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8731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622557132839265"/>
          <c:y val="0.89295224942360973"/>
          <c:w val="0.19074115437851416"/>
          <c:h val="8.0668978047652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Ratioverdier 260/230nm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0059864441446538"/>
          <c:y val="0.1277845852811014"/>
          <c:w val="0.87637308339498388"/>
          <c:h val="0.70791410409411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'Renhet i prøvene'!$Y$3</c:f>
              <c:strCache>
                <c:ptCount val="1"/>
                <c:pt idx="0">
                  <c:v>Isohelix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  <c:invertIfNegative val="0"/>
          <c:val>
            <c:numRef>
              <c:f>'Renhet i prøvene'!$Y$4:$Y$33</c:f>
              <c:numCache>
                <c:formatCode>General</c:formatCode>
                <c:ptCount val="30"/>
                <c:pt idx="0">
                  <c:v>1.61</c:v>
                </c:pt>
                <c:pt idx="1">
                  <c:v>1.57</c:v>
                </c:pt>
                <c:pt idx="2">
                  <c:v>2.11</c:v>
                </c:pt>
                <c:pt idx="3">
                  <c:v>0.8</c:v>
                </c:pt>
                <c:pt idx="4">
                  <c:v>1.64</c:v>
                </c:pt>
                <c:pt idx="5">
                  <c:v>1.83</c:v>
                </c:pt>
                <c:pt idx="6">
                  <c:v>1.27</c:v>
                </c:pt>
                <c:pt idx="7">
                  <c:v>1.99</c:v>
                </c:pt>
                <c:pt idx="8">
                  <c:v>1.48</c:v>
                </c:pt>
                <c:pt idx="9">
                  <c:v>1.76</c:v>
                </c:pt>
                <c:pt idx="10">
                  <c:v>1.68</c:v>
                </c:pt>
                <c:pt idx="11" formatCode="0.00">
                  <c:v>1.55</c:v>
                </c:pt>
                <c:pt idx="12">
                  <c:v>1.78</c:v>
                </c:pt>
                <c:pt idx="13">
                  <c:v>0.84</c:v>
                </c:pt>
                <c:pt idx="14">
                  <c:v>1.57</c:v>
                </c:pt>
                <c:pt idx="15">
                  <c:v>1.96</c:v>
                </c:pt>
                <c:pt idx="16">
                  <c:v>1.46</c:v>
                </c:pt>
                <c:pt idx="17">
                  <c:v>1.33</c:v>
                </c:pt>
                <c:pt idx="18">
                  <c:v>1.66</c:v>
                </c:pt>
                <c:pt idx="19">
                  <c:v>1.24</c:v>
                </c:pt>
                <c:pt idx="20">
                  <c:v>1.85</c:v>
                </c:pt>
                <c:pt idx="21">
                  <c:v>1.61</c:v>
                </c:pt>
                <c:pt idx="22">
                  <c:v>1.17</c:v>
                </c:pt>
                <c:pt idx="23">
                  <c:v>1.23</c:v>
                </c:pt>
                <c:pt idx="24">
                  <c:v>1.63</c:v>
                </c:pt>
                <c:pt idx="25">
                  <c:v>1.36</c:v>
                </c:pt>
                <c:pt idx="26">
                  <c:v>1.56</c:v>
                </c:pt>
                <c:pt idx="27">
                  <c:v>1.34</c:v>
                </c:pt>
                <c:pt idx="28">
                  <c:v>1.76</c:v>
                </c:pt>
                <c:pt idx="29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6-B04E-98FC-09683B7A3AF3}"/>
            </c:ext>
          </c:extLst>
        </c:ser>
        <c:ser>
          <c:idx val="1"/>
          <c:order val="1"/>
          <c:tx>
            <c:strRef>
              <c:f>'Renhet i prøvene'!$Z$3</c:f>
              <c:strCache>
                <c:ptCount val="1"/>
                <c:pt idx="0">
                  <c:v>Oracollect</c:v>
                </c:pt>
              </c:strCache>
            </c:strRef>
          </c:tx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  <c:invertIfNegative val="0"/>
          <c:val>
            <c:numRef>
              <c:f>'Renhet i prøvene'!$Z$4:$Z$33</c:f>
              <c:numCache>
                <c:formatCode>General</c:formatCode>
                <c:ptCount val="30"/>
                <c:pt idx="0">
                  <c:v>1.39</c:v>
                </c:pt>
                <c:pt idx="1">
                  <c:v>1.17</c:v>
                </c:pt>
                <c:pt idx="2">
                  <c:v>0.93</c:v>
                </c:pt>
                <c:pt idx="3">
                  <c:v>1.37</c:v>
                </c:pt>
                <c:pt idx="4">
                  <c:v>1.54</c:v>
                </c:pt>
                <c:pt idx="5">
                  <c:v>1.66</c:v>
                </c:pt>
                <c:pt idx="6">
                  <c:v>1.05</c:v>
                </c:pt>
                <c:pt idx="7">
                  <c:v>1.92</c:v>
                </c:pt>
                <c:pt idx="8">
                  <c:v>1.95</c:v>
                </c:pt>
                <c:pt idx="9">
                  <c:v>0.53</c:v>
                </c:pt>
                <c:pt idx="10">
                  <c:v>1.3</c:v>
                </c:pt>
                <c:pt idx="11">
                  <c:v>1.1100000000000001</c:v>
                </c:pt>
                <c:pt idx="12">
                  <c:v>1.62</c:v>
                </c:pt>
                <c:pt idx="13">
                  <c:v>1.24</c:v>
                </c:pt>
                <c:pt idx="14">
                  <c:v>0.85</c:v>
                </c:pt>
                <c:pt idx="15">
                  <c:v>1.73</c:v>
                </c:pt>
                <c:pt idx="16">
                  <c:v>1.32</c:v>
                </c:pt>
                <c:pt idx="17">
                  <c:v>1.54</c:v>
                </c:pt>
                <c:pt idx="18">
                  <c:v>1.48</c:v>
                </c:pt>
                <c:pt idx="19">
                  <c:v>1.29</c:v>
                </c:pt>
                <c:pt idx="20">
                  <c:v>1.65</c:v>
                </c:pt>
                <c:pt idx="21">
                  <c:v>1.85</c:v>
                </c:pt>
                <c:pt idx="22">
                  <c:v>1.88</c:v>
                </c:pt>
                <c:pt idx="23">
                  <c:v>1.88</c:v>
                </c:pt>
                <c:pt idx="24">
                  <c:v>1.1399999999999999</c:v>
                </c:pt>
                <c:pt idx="25">
                  <c:v>1.85</c:v>
                </c:pt>
                <c:pt idx="26">
                  <c:v>1.74</c:v>
                </c:pt>
                <c:pt idx="27">
                  <c:v>0.35</c:v>
                </c:pt>
                <c:pt idx="28">
                  <c:v>1.38</c:v>
                </c:pt>
                <c:pt idx="29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86-B04E-98FC-09683B7A3AF3}"/>
            </c:ext>
          </c:extLst>
        </c:ser>
        <c:ser>
          <c:idx val="2"/>
          <c:order val="2"/>
          <c:tx>
            <c:strRef>
              <c:f>'Renhet i prøvene'!$AA$3</c:f>
              <c:strCache>
                <c:ptCount val="1"/>
                <c:pt idx="0">
                  <c:v>Oragene</c:v>
                </c:pt>
              </c:strCache>
            </c:strRef>
          </c:tx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  <c:invertIfNegative val="0"/>
          <c:val>
            <c:numRef>
              <c:f>'Renhet i prøvene'!$AA$4:$AA$33</c:f>
              <c:numCache>
                <c:formatCode>General</c:formatCode>
                <c:ptCount val="30"/>
                <c:pt idx="0">
                  <c:v>1.27</c:v>
                </c:pt>
                <c:pt idx="1">
                  <c:v>1.02</c:v>
                </c:pt>
                <c:pt idx="2">
                  <c:v>1.01</c:v>
                </c:pt>
                <c:pt idx="3">
                  <c:v>1.54</c:v>
                </c:pt>
                <c:pt idx="4">
                  <c:v>1.35</c:v>
                </c:pt>
                <c:pt idx="5">
                  <c:v>1.6</c:v>
                </c:pt>
                <c:pt idx="6">
                  <c:v>1.31</c:v>
                </c:pt>
                <c:pt idx="7">
                  <c:v>1.1599999999999999</c:v>
                </c:pt>
                <c:pt idx="8">
                  <c:v>1.48</c:v>
                </c:pt>
                <c:pt idx="9">
                  <c:v>1.23</c:v>
                </c:pt>
                <c:pt idx="10">
                  <c:v>1.43</c:v>
                </c:pt>
                <c:pt idx="11">
                  <c:v>1.24</c:v>
                </c:pt>
                <c:pt idx="12">
                  <c:v>1.0900000000000001</c:v>
                </c:pt>
                <c:pt idx="13">
                  <c:v>1.29</c:v>
                </c:pt>
                <c:pt idx="14">
                  <c:v>1.46</c:v>
                </c:pt>
                <c:pt idx="15">
                  <c:v>1.28</c:v>
                </c:pt>
                <c:pt idx="16">
                  <c:v>1.36</c:v>
                </c:pt>
                <c:pt idx="17">
                  <c:v>1.18</c:v>
                </c:pt>
                <c:pt idx="18">
                  <c:v>1.36</c:v>
                </c:pt>
                <c:pt idx="19">
                  <c:v>1.47</c:v>
                </c:pt>
                <c:pt idx="20">
                  <c:v>1.35</c:v>
                </c:pt>
                <c:pt idx="21">
                  <c:v>1.35</c:v>
                </c:pt>
                <c:pt idx="22">
                  <c:v>1.46</c:v>
                </c:pt>
                <c:pt idx="23">
                  <c:v>1.26</c:v>
                </c:pt>
                <c:pt idx="24">
                  <c:v>1.6</c:v>
                </c:pt>
                <c:pt idx="25">
                  <c:v>1.59</c:v>
                </c:pt>
                <c:pt idx="26">
                  <c:v>1.39</c:v>
                </c:pt>
                <c:pt idx="27">
                  <c:v>1.64</c:v>
                </c:pt>
                <c:pt idx="28">
                  <c:v>1.1399999999999999</c:v>
                </c:pt>
                <c:pt idx="29">
                  <c:v>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86-B04E-98FC-09683B7A3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100"/>
        <c:axId val="984962864"/>
        <c:axId val="1098202752"/>
      </c:barChart>
      <c:catAx>
        <c:axId val="984962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50">
                    <a:solidFill>
                      <a:schemeClr val="tx1"/>
                    </a:solidFill>
                  </a:rPr>
                  <a:t>Prøvenummer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98202752"/>
        <c:crosses val="autoZero"/>
        <c:auto val="1"/>
        <c:lblAlgn val="ctr"/>
        <c:lblOffset val="100"/>
        <c:noMultiLvlLbl val="0"/>
      </c:catAx>
      <c:valAx>
        <c:axId val="1098202752"/>
        <c:scaling>
          <c:orientation val="minMax"/>
          <c:max val="2.2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50">
                    <a:solidFill>
                      <a:schemeClr val="tx1"/>
                    </a:solidFill>
                  </a:rPr>
                  <a:t>Ratioverdi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8496286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945740918036278"/>
          <c:y val="0.91929985745052567"/>
          <c:w val="0.2869145787014038"/>
          <c:h val="5.78370413549661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800"/>
              <a:t>DNA mengde</a:t>
            </a:r>
            <a:r>
              <a:rPr lang="nb-NO" sz="1800" baseline="0"/>
              <a:t> - Isohelix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Isohelix!$D$41</c:f>
              <c:strCache>
                <c:ptCount val="1"/>
                <c:pt idx="0">
                  <c:v>Nanodrop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accent1"/>
              </a:solidFill>
            </a:ln>
            <a:effectLst/>
          </c:spPr>
          <c:invertIfNegative val="0"/>
          <c:cat>
            <c:numRef>
              <c:f>Isohelix!$C$42:$C$71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Isohelix!$D$42:$D$71</c:f>
              <c:numCache>
                <c:formatCode>General</c:formatCode>
                <c:ptCount val="30"/>
                <c:pt idx="0">
                  <c:v>3865.5</c:v>
                </c:pt>
                <c:pt idx="1">
                  <c:v>4488</c:v>
                </c:pt>
                <c:pt idx="2">
                  <c:v>3024.5</c:v>
                </c:pt>
                <c:pt idx="3">
                  <c:v>2467</c:v>
                </c:pt>
                <c:pt idx="4">
                  <c:v>4855</c:v>
                </c:pt>
                <c:pt idx="5">
                  <c:v>2335</c:v>
                </c:pt>
                <c:pt idx="6">
                  <c:v>1540</c:v>
                </c:pt>
                <c:pt idx="7">
                  <c:v>4800.5</c:v>
                </c:pt>
                <c:pt idx="8">
                  <c:v>3037.5</c:v>
                </c:pt>
                <c:pt idx="9">
                  <c:v>2600.5</c:v>
                </c:pt>
                <c:pt idx="10">
                  <c:v>3150</c:v>
                </c:pt>
                <c:pt idx="11">
                  <c:v>1762</c:v>
                </c:pt>
                <c:pt idx="12">
                  <c:v>4036.9999999999995</c:v>
                </c:pt>
                <c:pt idx="13">
                  <c:v>877.99999999999989</c:v>
                </c:pt>
                <c:pt idx="14">
                  <c:v>2614</c:v>
                </c:pt>
                <c:pt idx="15">
                  <c:v>4463</c:v>
                </c:pt>
                <c:pt idx="16">
                  <c:v>2361</c:v>
                </c:pt>
                <c:pt idx="17">
                  <c:v>3208.5</c:v>
                </c:pt>
                <c:pt idx="18">
                  <c:v>2195.5</c:v>
                </c:pt>
                <c:pt idx="19">
                  <c:v>1349</c:v>
                </c:pt>
                <c:pt idx="20">
                  <c:v>2712.5</c:v>
                </c:pt>
                <c:pt idx="21">
                  <c:v>4630</c:v>
                </c:pt>
                <c:pt idx="22">
                  <c:v>919</c:v>
                </c:pt>
                <c:pt idx="23">
                  <c:v>2032</c:v>
                </c:pt>
                <c:pt idx="24">
                  <c:v>1893.4999999999998</c:v>
                </c:pt>
                <c:pt idx="25">
                  <c:v>954.5</c:v>
                </c:pt>
                <c:pt idx="26">
                  <c:v>1464.5</c:v>
                </c:pt>
                <c:pt idx="27">
                  <c:v>1966.5</c:v>
                </c:pt>
                <c:pt idx="28">
                  <c:v>2437.5</c:v>
                </c:pt>
                <c:pt idx="29">
                  <c:v>4477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44-584D-91A4-F741420F2D62}"/>
            </c:ext>
          </c:extLst>
        </c:ser>
        <c:ser>
          <c:idx val="1"/>
          <c:order val="1"/>
          <c:tx>
            <c:strRef>
              <c:f>Isohelix!$E$41</c:f>
              <c:strCache>
                <c:ptCount val="1"/>
                <c:pt idx="0">
                  <c:v>Lunatic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accent3"/>
              </a:solidFill>
            </a:ln>
            <a:effectLst/>
          </c:spPr>
          <c:invertIfNegative val="0"/>
          <c:cat>
            <c:numRef>
              <c:f>Isohelix!$C$42:$C$71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Isohelix!$E$42:$E$71</c:f>
              <c:numCache>
                <c:formatCode>General</c:formatCode>
                <c:ptCount val="30"/>
                <c:pt idx="0">
                  <c:v>4250</c:v>
                </c:pt>
                <c:pt idx="1">
                  <c:v>4825</c:v>
                </c:pt>
                <c:pt idx="2">
                  <c:v>3245.0000000000005</c:v>
                </c:pt>
                <c:pt idx="3">
                  <c:v>2650</c:v>
                </c:pt>
                <c:pt idx="4">
                  <c:v>5180</c:v>
                </c:pt>
                <c:pt idx="5">
                  <c:v>2435</c:v>
                </c:pt>
                <c:pt idx="6">
                  <c:v>1610.0000000000002</c:v>
                </c:pt>
                <c:pt idx="7">
                  <c:v>5115</c:v>
                </c:pt>
                <c:pt idx="8">
                  <c:v>3090</c:v>
                </c:pt>
                <c:pt idx="9">
                  <c:v>2775</c:v>
                </c:pt>
                <c:pt idx="10">
                  <c:v>3290</c:v>
                </c:pt>
                <c:pt idx="11">
                  <c:v>1810.0000000000002</c:v>
                </c:pt>
                <c:pt idx="12">
                  <c:v>4425</c:v>
                </c:pt>
                <c:pt idx="13">
                  <c:v>894.99999999999989</c:v>
                </c:pt>
                <c:pt idx="14">
                  <c:v>2875</c:v>
                </c:pt>
                <c:pt idx="15">
                  <c:v>4620</c:v>
                </c:pt>
                <c:pt idx="16">
                  <c:v>2470</c:v>
                </c:pt>
                <c:pt idx="17">
                  <c:v>3275</c:v>
                </c:pt>
                <c:pt idx="18">
                  <c:v>2220</c:v>
                </c:pt>
                <c:pt idx="19">
                  <c:v>1400</c:v>
                </c:pt>
                <c:pt idx="20">
                  <c:v>2710</c:v>
                </c:pt>
                <c:pt idx="21">
                  <c:v>4995</c:v>
                </c:pt>
                <c:pt idx="22">
                  <c:v>980.00000000000011</c:v>
                </c:pt>
                <c:pt idx="23">
                  <c:v>1985.0000000000002</c:v>
                </c:pt>
                <c:pt idx="24">
                  <c:v>2020</c:v>
                </c:pt>
                <c:pt idx="25">
                  <c:v>915</c:v>
                </c:pt>
                <c:pt idx="26">
                  <c:v>1495</c:v>
                </c:pt>
                <c:pt idx="27">
                  <c:v>2140</c:v>
                </c:pt>
                <c:pt idx="28">
                  <c:v>2490</c:v>
                </c:pt>
                <c:pt idx="29">
                  <c:v>4740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44-584D-91A4-F741420F2D62}"/>
            </c:ext>
          </c:extLst>
        </c:ser>
        <c:ser>
          <c:idx val="2"/>
          <c:order val="2"/>
          <c:tx>
            <c:strRef>
              <c:f>Isohelix!$F$41</c:f>
              <c:strCache>
                <c:ptCount val="1"/>
                <c:pt idx="0">
                  <c:v>Qubit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  <a:effectLst/>
          </c:spPr>
          <c:invertIfNegative val="0"/>
          <c:cat>
            <c:numRef>
              <c:f>Isohelix!$C$42:$C$71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Isohelix!$F$42:$F$71</c:f>
              <c:numCache>
                <c:formatCode>General</c:formatCode>
                <c:ptCount val="30"/>
                <c:pt idx="0">
                  <c:v>3220.0000000000005</c:v>
                </c:pt>
                <c:pt idx="1">
                  <c:v>4100</c:v>
                </c:pt>
                <c:pt idx="2">
                  <c:v>2080</c:v>
                </c:pt>
                <c:pt idx="3">
                  <c:v>1930</c:v>
                </c:pt>
                <c:pt idx="4">
                  <c:v>4300</c:v>
                </c:pt>
                <c:pt idx="5">
                  <c:v>1714.9999999999998</c:v>
                </c:pt>
                <c:pt idx="6">
                  <c:v>1450</c:v>
                </c:pt>
                <c:pt idx="7">
                  <c:v>4660</c:v>
                </c:pt>
                <c:pt idx="8">
                  <c:v>2020</c:v>
                </c:pt>
                <c:pt idx="9">
                  <c:v>2320</c:v>
                </c:pt>
                <c:pt idx="10">
                  <c:v>2280</c:v>
                </c:pt>
                <c:pt idx="11">
                  <c:v>1420</c:v>
                </c:pt>
                <c:pt idx="12">
                  <c:v>3479.9999999999995</c:v>
                </c:pt>
                <c:pt idx="13">
                  <c:v>740</c:v>
                </c:pt>
                <c:pt idx="14">
                  <c:v>2080</c:v>
                </c:pt>
                <c:pt idx="15">
                  <c:v>4240</c:v>
                </c:pt>
                <c:pt idx="16">
                  <c:v>1835.0000000000002</c:v>
                </c:pt>
                <c:pt idx="17">
                  <c:v>3180</c:v>
                </c:pt>
                <c:pt idx="18">
                  <c:v>2020</c:v>
                </c:pt>
                <c:pt idx="19">
                  <c:v>1165</c:v>
                </c:pt>
                <c:pt idx="20">
                  <c:v>2140</c:v>
                </c:pt>
                <c:pt idx="21">
                  <c:v>4120</c:v>
                </c:pt>
                <c:pt idx="22">
                  <c:v>665</c:v>
                </c:pt>
                <c:pt idx="23">
                  <c:v>1575</c:v>
                </c:pt>
                <c:pt idx="24">
                  <c:v>1320</c:v>
                </c:pt>
                <c:pt idx="25">
                  <c:v>665</c:v>
                </c:pt>
                <c:pt idx="26">
                  <c:v>1025</c:v>
                </c:pt>
                <c:pt idx="27">
                  <c:v>1445</c:v>
                </c:pt>
                <c:pt idx="28">
                  <c:v>1820</c:v>
                </c:pt>
                <c:pt idx="29">
                  <c:v>3800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44-584D-91A4-F741420F2D62}"/>
            </c:ext>
          </c:extLst>
        </c:ser>
        <c:ser>
          <c:idx val="3"/>
          <c:order val="3"/>
          <c:tx>
            <c:strRef>
              <c:f>Isohelix!$G$41</c:f>
              <c:strCache>
                <c:ptCount val="1"/>
                <c:pt idx="0">
                  <c:v>PCR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accent6"/>
              </a:solidFill>
            </a:ln>
            <a:effectLst/>
          </c:spPr>
          <c:invertIfNegative val="0"/>
          <c:cat>
            <c:numRef>
              <c:f>Isohelix!$C$42:$C$71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Isohelix!$G$42:$G$71</c:f>
              <c:numCache>
                <c:formatCode>0.00</c:formatCode>
                <c:ptCount val="30"/>
                <c:pt idx="0">
                  <c:v>2818</c:v>
                </c:pt>
                <c:pt idx="1">
                  <c:v>2880</c:v>
                </c:pt>
                <c:pt idx="2">
                  <c:v>1984.5</c:v>
                </c:pt>
                <c:pt idx="3">
                  <c:v>1453</c:v>
                </c:pt>
                <c:pt idx="4">
                  <c:v>3222.9999999999995</c:v>
                </c:pt>
                <c:pt idx="5">
                  <c:v>774</c:v>
                </c:pt>
                <c:pt idx="6">
                  <c:v>1256.5</c:v>
                </c:pt>
                <c:pt idx="7">
                  <c:v>3120</c:v>
                </c:pt>
                <c:pt idx="8">
                  <c:v>466.5</c:v>
                </c:pt>
                <c:pt idx="9">
                  <c:v>1644.5</c:v>
                </c:pt>
                <c:pt idx="10">
                  <c:v>742</c:v>
                </c:pt>
                <c:pt idx="11">
                  <c:v>1030</c:v>
                </c:pt>
                <c:pt idx="12">
                  <c:v>1610.5</c:v>
                </c:pt>
                <c:pt idx="13">
                  <c:v>482.5</c:v>
                </c:pt>
                <c:pt idx="14">
                  <c:v>861.99999999999989</c:v>
                </c:pt>
                <c:pt idx="15">
                  <c:v>2624.5</c:v>
                </c:pt>
                <c:pt idx="16">
                  <c:v>865.49999999999989</c:v>
                </c:pt>
                <c:pt idx="17">
                  <c:v>1628</c:v>
                </c:pt>
                <c:pt idx="18">
                  <c:v>1281</c:v>
                </c:pt>
                <c:pt idx="19">
                  <c:v>616.5</c:v>
                </c:pt>
                <c:pt idx="20">
                  <c:v>984</c:v>
                </c:pt>
                <c:pt idx="21">
                  <c:v>1898.5</c:v>
                </c:pt>
                <c:pt idx="22">
                  <c:v>165</c:v>
                </c:pt>
                <c:pt idx="23">
                  <c:v>608.5</c:v>
                </c:pt>
                <c:pt idx="24">
                  <c:v>795.5</c:v>
                </c:pt>
                <c:pt idx="25">
                  <c:v>401.49999999999994</c:v>
                </c:pt>
                <c:pt idx="26">
                  <c:v>441.5</c:v>
                </c:pt>
                <c:pt idx="27">
                  <c:v>633</c:v>
                </c:pt>
                <c:pt idx="28">
                  <c:v>1272.5</c:v>
                </c:pt>
                <c:pt idx="29">
                  <c:v>2452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44-584D-91A4-F741420F2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100"/>
        <c:axId val="880779440"/>
        <c:axId val="879122304"/>
      </c:barChart>
      <c:catAx>
        <c:axId val="880779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50">
                    <a:solidFill>
                      <a:schemeClr val="tx1"/>
                    </a:solidFill>
                  </a:rPr>
                  <a:t>Prøvenummer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79122304"/>
        <c:crosses val="autoZero"/>
        <c:auto val="1"/>
        <c:lblAlgn val="ctr"/>
        <c:lblOffset val="100"/>
        <c:noMultiLvlLbl val="0"/>
      </c:catAx>
      <c:valAx>
        <c:axId val="879122304"/>
        <c:scaling>
          <c:orientation val="minMax"/>
          <c:max val="5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50">
                    <a:solidFill>
                      <a:schemeClr val="tx1"/>
                    </a:solidFill>
                  </a:rPr>
                  <a:t>DNA</a:t>
                </a:r>
                <a:r>
                  <a:rPr lang="nb-NO" sz="1050" baseline="0">
                    <a:solidFill>
                      <a:schemeClr val="tx1"/>
                    </a:solidFill>
                  </a:rPr>
                  <a:t> Mengde (ng)</a:t>
                </a:r>
                <a:endParaRPr lang="nb-NO" sz="105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8077944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Prosentandel av DNA i prøvene som er humant  - Oracollect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Oracollect!$AD$4</c:f>
              <c:strCache>
                <c:ptCount val="1"/>
                <c:pt idx="0">
                  <c:v>Humant DNA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Oracollect!$AD$5:$AD$34</c:f>
              <c:numCache>
                <c:formatCode>0.00</c:formatCode>
                <c:ptCount val="30"/>
                <c:pt idx="0">
                  <c:v>49.424519382288054</c:v>
                </c:pt>
                <c:pt idx="1">
                  <c:v>63.615334632878493</c:v>
                </c:pt>
                <c:pt idx="2">
                  <c:v>51.295331695331683</c:v>
                </c:pt>
                <c:pt idx="3">
                  <c:v>59.850281550182181</c:v>
                </c:pt>
                <c:pt idx="4">
                  <c:v>55.754528250878622</c:v>
                </c:pt>
                <c:pt idx="5">
                  <c:v>50.227374719521315</c:v>
                </c:pt>
                <c:pt idx="6">
                  <c:v>47.443651925820255</c:v>
                </c:pt>
                <c:pt idx="7">
                  <c:v>65.120972196648864</c:v>
                </c:pt>
                <c:pt idx="8">
                  <c:v>49.051984079121944</c:v>
                </c:pt>
                <c:pt idx="9">
                  <c:v>50.639344262295083</c:v>
                </c:pt>
                <c:pt idx="10">
                  <c:v>55.440151124849734</c:v>
                </c:pt>
                <c:pt idx="11">
                  <c:v>54.5327812284334</c:v>
                </c:pt>
                <c:pt idx="12">
                  <c:v>58.986762272476568</c:v>
                </c:pt>
                <c:pt idx="13">
                  <c:v>33.34997399895996</c:v>
                </c:pt>
                <c:pt idx="14">
                  <c:v>54.586183310533507</c:v>
                </c:pt>
                <c:pt idx="15">
                  <c:v>54.164490861618795</c:v>
                </c:pt>
                <c:pt idx="16">
                  <c:v>65.184761904761913</c:v>
                </c:pt>
                <c:pt idx="17">
                  <c:v>76.818411734951951</c:v>
                </c:pt>
                <c:pt idx="18">
                  <c:v>59.147909967845656</c:v>
                </c:pt>
                <c:pt idx="19">
                  <c:v>64.972431077694239</c:v>
                </c:pt>
                <c:pt idx="20">
                  <c:v>67.394442439552506</c:v>
                </c:pt>
                <c:pt idx="21">
                  <c:v>60.893969849246233</c:v>
                </c:pt>
                <c:pt idx="22">
                  <c:v>62.665971860343916</c:v>
                </c:pt>
                <c:pt idx="23">
                  <c:v>65.121865065347933</c:v>
                </c:pt>
                <c:pt idx="24">
                  <c:v>41.500350877192979</c:v>
                </c:pt>
                <c:pt idx="25">
                  <c:v>61.120000000000005</c:v>
                </c:pt>
                <c:pt idx="26">
                  <c:v>64.395543175487475</c:v>
                </c:pt>
                <c:pt idx="27">
                  <c:v>54.468146027201151</c:v>
                </c:pt>
                <c:pt idx="28">
                  <c:v>70.393939393939391</c:v>
                </c:pt>
                <c:pt idx="29">
                  <c:v>50.448308270676691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B-DE41-84E1-4496F2BEE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100"/>
        <c:axId val="907015456"/>
        <c:axId val="879689088"/>
      </c:barChart>
      <c:catAx>
        <c:axId val="907015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100">
                    <a:solidFill>
                      <a:schemeClr val="tx1"/>
                    </a:solidFill>
                  </a:rPr>
                  <a:t>Prøvenummer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79689088"/>
        <c:crosses val="autoZero"/>
        <c:auto val="1"/>
        <c:lblAlgn val="ctr"/>
        <c:lblOffset val="100"/>
        <c:noMultiLvlLbl val="0"/>
      </c:catAx>
      <c:valAx>
        <c:axId val="8796890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solidFill>
                      <a:schemeClr val="tx1"/>
                    </a:solidFill>
                  </a:rPr>
                  <a:t>Mengde DNA</a:t>
                </a:r>
                <a:r>
                  <a:rPr lang="nb-NO" baseline="0">
                    <a:solidFill>
                      <a:schemeClr val="tx1"/>
                    </a:solidFill>
                  </a:rPr>
                  <a:t> (%)</a:t>
                </a:r>
                <a:endParaRPr lang="nb-NO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0701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DNA mengde - Oracollect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Oracollect!$C$45</c:f>
              <c:strCache>
                <c:ptCount val="1"/>
                <c:pt idx="0">
                  <c:v>Nanodrop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accent1"/>
              </a:solidFill>
            </a:ln>
            <a:effectLst/>
          </c:spPr>
          <c:invertIfNegative val="0"/>
          <c:cat>
            <c:numRef>
              <c:f>Oracollect!$B$46:$B$75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Oracollect!$C$46:$C$75</c:f>
              <c:numCache>
                <c:formatCode>General</c:formatCode>
                <c:ptCount val="30"/>
                <c:pt idx="0">
                  <c:v>1586.5</c:v>
                </c:pt>
                <c:pt idx="1">
                  <c:v>769.5</c:v>
                </c:pt>
                <c:pt idx="2">
                  <c:v>1017.5000000000001</c:v>
                </c:pt>
                <c:pt idx="3">
                  <c:v>1509.5</c:v>
                </c:pt>
                <c:pt idx="4">
                  <c:v>1849.5</c:v>
                </c:pt>
                <c:pt idx="5">
                  <c:v>1337</c:v>
                </c:pt>
                <c:pt idx="6">
                  <c:v>1051.5</c:v>
                </c:pt>
                <c:pt idx="7">
                  <c:v>2715.5</c:v>
                </c:pt>
                <c:pt idx="8">
                  <c:v>4145.5</c:v>
                </c:pt>
                <c:pt idx="9">
                  <c:v>793</c:v>
                </c:pt>
                <c:pt idx="10">
                  <c:v>2911.5</c:v>
                </c:pt>
                <c:pt idx="11">
                  <c:v>724.5</c:v>
                </c:pt>
                <c:pt idx="12">
                  <c:v>1813</c:v>
                </c:pt>
                <c:pt idx="13">
                  <c:v>961.5</c:v>
                </c:pt>
                <c:pt idx="14">
                  <c:v>1462</c:v>
                </c:pt>
                <c:pt idx="15">
                  <c:v>1532</c:v>
                </c:pt>
                <c:pt idx="16">
                  <c:v>1575</c:v>
                </c:pt>
                <c:pt idx="17">
                  <c:v>1977</c:v>
                </c:pt>
                <c:pt idx="18">
                  <c:v>1244</c:v>
                </c:pt>
                <c:pt idx="19">
                  <c:v>1396.5</c:v>
                </c:pt>
                <c:pt idx="20">
                  <c:v>1385.5</c:v>
                </c:pt>
                <c:pt idx="21">
                  <c:v>1989.9999999999998</c:v>
                </c:pt>
                <c:pt idx="22">
                  <c:v>959.50000000000011</c:v>
                </c:pt>
                <c:pt idx="23">
                  <c:v>1415.5</c:v>
                </c:pt>
                <c:pt idx="24">
                  <c:v>712.5</c:v>
                </c:pt>
                <c:pt idx="25">
                  <c:v>912.5</c:v>
                </c:pt>
                <c:pt idx="26">
                  <c:v>897.5</c:v>
                </c:pt>
                <c:pt idx="27">
                  <c:v>698.5</c:v>
                </c:pt>
                <c:pt idx="28">
                  <c:v>891</c:v>
                </c:pt>
                <c:pt idx="29">
                  <c:v>1064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8-9145-8ADC-46F68149B718}"/>
            </c:ext>
          </c:extLst>
        </c:ser>
        <c:ser>
          <c:idx val="1"/>
          <c:order val="1"/>
          <c:tx>
            <c:strRef>
              <c:f>Oracollect!$D$45</c:f>
              <c:strCache>
                <c:ptCount val="1"/>
                <c:pt idx="0">
                  <c:v>Lunatic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accent3"/>
              </a:solidFill>
            </a:ln>
            <a:effectLst/>
          </c:spPr>
          <c:invertIfNegative val="0"/>
          <c:cat>
            <c:numRef>
              <c:f>Oracollect!$B$46:$B$75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Oracollect!$D$46:$D$75</c:f>
              <c:numCache>
                <c:formatCode>General</c:formatCode>
                <c:ptCount val="30"/>
                <c:pt idx="0">
                  <c:v>1410</c:v>
                </c:pt>
                <c:pt idx="1">
                  <c:v>785</c:v>
                </c:pt>
                <c:pt idx="2">
                  <c:v>815</c:v>
                </c:pt>
                <c:pt idx="3">
                  <c:v>1610.0000000000002</c:v>
                </c:pt>
                <c:pt idx="4">
                  <c:v>1920</c:v>
                </c:pt>
                <c:pt idx="5">
                  <c:v>1360</c:v>
                </c:pt>
                <c:pt idx="6">
                  <c:v>869.99999999999989</c:v>
                </c:pt>
                <c:pt idx="7">
                  <c:v>2510</c:v>
                </c:pt>
                <c:pt idx="8">
                  <c:v>4210</c:v>
                </c:pt>
                <c:pt idx="9">
                  <c:v>835</c:v>
                </c:pt>
                <c:pt idx="10">
                  <c:v>2985</c:v>
                </c:pt>
                <c:pt idx="11">
                  <c:v>725</c:v>
                </c:pt>
                <c:pt idx="12">
                  <c:v>1780</c:v>
                </c:pt>
                <c:pt idx="13">
                  <c:v>925</c:v>
                </c:pt>
                <c:pt idx="14">
                  <c:v>1465</c:v>
                </c:pt>
                <c:pt idx="15">
                  <c:v>1470</c:v>
                </c:pt>
                <c:pt idx="16">
                  <c:v>1480</c:v>
                </c:pt>
                <c:pt idx="17">
                  <c:v>2045</c:v>
                </c:pt>
                <c:pt idx="18">
                  <c:v>1260</c:v>
                </c:pt>
                <c:pt idx="19">
                  <c:v>1425</c:v>
                </c:pt>
                <c:pt idx="20">
                  <c:v>1600</c:v>
                </c:pt>
                <c:pt idx="21">
                  <c:v>2000</c:v>
                </c:pt>
                <c:pt idx="22">
                  <c:v>1025</c:v>
                </c:pt>
                <c:pt idx="23">
                  <c:v>1430</c:v>
                </c:pt>
                <c:pt idx="24">
                  <c:v>795</c:v>
                </c:pt>
                <c:pt idx="25">
                  <c:v>1105</c:v>
                </c:pt>
                <c:pt idx="26">
                  <c:v>1000</c:v>
                </c:pt>
                <c:pt idx="27">
                  <c:v>894.99999999999989</c:v>
                </c:pt>
                <c:pt idx="28">
                  <c:v>985</c:v>
                </c:pt>
                <c:pt idx="29">
                  <c:v>1010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B8-9145-8ADC-46F68149B718}"/>
            </c:ext>
          </c:extLst>
        </c:ser>
        <c:ser>
          <c:idx val="2"/>
          <c:order val="2"/>
          <c:tx>
            <c:strRef>
              <c:f>Oracollect!$E$45</c:f>
              <c:strCache>
                <c:ptCount val="1"/>
                <c:pt idx="0">
                  <c:v>Qubit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  <a:effectLst/>
          </c:spPr>
          <c:invertIfNegative val="0"/>
          <c:cat>
            <c:numRef>
              <c:f>Oracollect!$B$46:$B$75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Oracollect!$E$46:$E$75</c:f>
              <c:numCache>
                <c:formatCode>General</c:formatCode>
                <c:ptCount val="30"/>
                <c:pt idx="0">
                  <c:v>1019.9999999999999</c:v>
                </c:pt>
                <c:pt idx="1">
                  <c:v>615</c:v>
                </c:pt>
                <c:pt idx="2">
                  <c:v>565</c:v>
                </c:pt>
                <c:pt idx="3">
                  <c:v>965</c:v>
                </c:pt>
                <c:pt idx="4">
                  <c:v>1265</c:v>
                </c:pt>
                <c:pt idx="5">
                  <c:v>900</c:v>
                </c:pt>
                <c:pt idx="6">
                  <c:v>615</c:v>
                </c:pt>
                <c:pt idx="7">
                  <c:v>1830</c:v>
                </c:pt>
                <c:pt idx="8">
                  <c:v>3479.9999999999995</c:v>
                </c:pt>
                <c:pt idx="9">
                  <c:v>540</c:v>
                </c:pt>
                <c:pt idx="10">
                  <c:v>3350</c:v>
                </c:pt>
                <c:pt idx="11">
                  <c:v>595</c:v>
                </c:pt>
                <c:pt idx="12">
                  <c:v>2070</c:v>
                </c:pt>
                <c:pt idx="13">
                  <c:v>555</c:v>
                </c:pt>
                <c:pt idx="14">
                  <c:v>1285</c:v>
                </c:pt>
                <c:pt idx="15">
                  <c:v>1545</c:v>
                </c:pt>
                <c:pt idx="16">
                  <c:v>1560</c:v>
                </c:pt>
                <c:pt idx="17">
                  <c:v>2385</c:v>
                </c:pt>
                <c:pt idx="18">
                  <c:v>944.99999999999989</c:v>
                </c:pt>
                <c:pt idx="19">
                  <c:v>1160</c:v>
                </c:pt>
                <c:pt idx="20">
                  <c:v>1380</c:v>
                </c:pt>
                <c:pt idx="21">
                  <c:v>1850</c:v>
                </c:pt>
                <c:pt idx="22">
                  <c:v>855.00000000000011</c:v>
                </c:pt>
                <c:pt idx="23">
                  <c:v>1180</c:v>
                </c:pt>
                <c:pt idx="24">
                  <c:v>505</c:v>
                </c:pt>
                <c:pt idx="25">
                  <c:v>1135</c:v>
                </c:pt>
                <c:pt idx="26">
                  <c:v>755</c:v>
                </c:pt>
                <c:pt idx="27">
                  <c:v>590</c:v>
                </c:pt>
                <c:pt idx="28">
                  <c:v>830.00000000000011</c:v>
                </c:pt>
                <c:pt idx="29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B8-9145-8ADC-46F68149B718}"/>
            </c:ext>
          </c:extLst>
        </c:ser>
        <c:ser>
          <c:idx val="3"/>
          <c:order val="3"/>
          <c:tx>
            <c:strRef>
              <c:f>Oracollect!$F$45</c:f>
              <c:strCache>
                <c:ptCount val="1"/>
                <c:pt idx="0">
                  <c:v>PCR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accent6"/>
              </a:solidFill>
            </a:ln>
            <a:effectLst/>
          </c:spPr>
          <c:invertIfNegative val="0"/>
          <c:cat>
            <c:numRef>
              <c:f>Oracollect!$B$46:$B$75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Oracollect!$F$46:$F$75</c:f>
              <c:numCache>
                <c:formatCode>0.00</c:formatCode>
                <c:ptCount val="30"/>
                <c:pt idx="0">
                  <c:v>784</c:v>
                </c:pt>
                <c:pt idx="1">
                  <c:v>489.49999999999994</c:v>
                </c:pt>
                <c:pt idx="2">
                  <c:v>522</c:v>
                </c:pt>
                <c:pt idx="3">
                  <c:v>903.5</c:v>
                </c:pt>
                <c:pt idx="4">
                  <c:v>1013.0000000000001</c:v>
                </c:pt>
                <c:pt idx="5">
                  <c:v>671.5</c:v>
                </c:pt>
                <c:pt idx="6">
                  <c:v>499</c:v>
                </c:pt>
                <c:pt idx="7">
                  <c:v>1768.4999999999998</c:v>
                </c:pt>
                <c:pt idx="8">
                  <c:v>2033.5</c:v>
                </c:pt>
                <c:pt idx="9">
                  <c:v>401.49999999999994</c:v>
                </c:pt>
                <c:pt idx="10">
                  <c:v>1614</c:v>
                </c:pt>
                <c:pt idx="11">
                  <c:v>395</c:v>
                </c:pt>
                <c:pt idx="12">
                  <c:v>1069.5</c:v>
                </c:pt>
                <c:pt idx="13">
                  <c:v>320.5</c:v>
                </c:pt>
                <c:pt idx="14">
                  <c:v>798</c:v>
                </c:pt>
                <c:pt idx="15">
                  <c:v>830.00000000000011</c:v>
                </c:pt>
                <c:pt idx="16">
                  <c:v>1026.5</c:v>
                </c:pt>
                <c:pt idx="17">
                  <c:v>1518.5</c:v>
                </c:pt>
                <c:pt idx="18">
                  <c:v>736</c:v>
                </c:pt>
                <c:pt idx="19">
                  <c:v>907.49999999999989</c:v>
                </c:pt>
                <c:pt idx="20">
                  <c:v>933.50000000000011</c:v>
                </c:pt>
                <c:pt idx="21">
                  <c:v>1212</c:v>
                </c:pt>
                <c:pt idx="22">
                  <c:v>601.5</c:v>
                </c:pt>
                <c:pt idx="23">
                  <c:v>922.00000000000011</c:v>
                </c:pt>
                <c:pt idx="24">
                  <c:v>295.5</c:v>
                </c:pt>
                <c:pt idx="25">
                  <c:v>557.5</c:v>
                </c:pt>
                <c:pt idx="26">
                  <c:v>578</c:v>
                </c:pt>
                <c:pt idx="27">
                  <c:v>380.5</c:v>
                </c:pt>
                <c:pt idx="28">
                  <c:v>627</c:v>
                </c:pt>
                <c:pt idx="29">
                  <c:v>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B8-9145-8ADC-46F68149B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100"/>
        <c:axId val="1275026208"/>
        <c:axId val="902020480"/>
      </c:barChart>
      <c:catAx>
        <c:axId val="1275026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50">
                    <a:solidFill>
                      <a:schemeClr val="tx1"/>
                    </a:solidFill>
                  </a:rPr>
                  <a:t>Prøvenummer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02020480"/>
        <c:crosses val="autoZero"/>
        <c:auto val="1"/>
        <c:lblAlgn val="ctr"/>
        <c:lblOffset val="100"/>
        <c:noMultiLvlLbl val="0"/>
      </c:catAx>
      <c:valAx>
        <c:axId val="90202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50">
                    <a:solidFill>
                      <a:schemeClr val="tx1"/>
                    </a:solidFill>
                  </a:rPr>
                  <a:t>DNA Mengde (ng)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7502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Prosentandel av DNA i prøvene som er humant  - Oragene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Oragene!$AF$4</c:f>
              <c:strCache>
                <c:ptCount val="1"/>
                <c:pt idx="0">
                  <c:v>Humant DNA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Oragene!$AF$5:$AF$34</c:f>
              <c:numCache>
                <c:formatCode>0.00</c:formatCode>
                <c:ptCount val="30"/>
                <c:pt idx="0">
                  <c:v>8.7203787360695042</c:v>
                </c:pt>
                <c:pt idx="1">
                  <c:v>40.058609274576526</c:v>
                </c:pt>
                <c:pt idx="2">
                  <c:v>27.903650932813946</c:v>
                </c:pt>
                <c:pt idx="3">
                  <c:v>32.748586952558071</c:v>
                </c:pt>
                <c:pt idx="4">
                  <c:v>28.317591825462578</c:v>
                </c:pt>
                <c:pt idx="5">
                  <c:v>32.226587125298806</c:v>
                </c:pt>
                <c:pt idx="6">
                  <c:v>26.370518389805962</c:v>
                </c:pt>
                <c:pt idx="7">
                  <c:v>39.562449855861544</c:v>
                </c:pt>
                <c:pt idx="8">
                  <c:v>32.673447443493529</c:v>
                </c:pt>
                <c:pt idx="9">
                  <c:v>25.682832490330259</c:v>
                </c:pt>
                <c:pt idx="10">
                  <c:v>16.611595432197664</c:v>
                </c:pt>
                <c:pt idx="11">
                  <c:v>27.280753585955896</c:v>
                </c:pt>
                <c:pt idx="12">
                  <c:v>25.753817591088417</c:v>
                </c:pt>
                <c:pt idx="13">
                  <c:v>29.74787182264927</c:v>
                </c:pt>
                <c:pt idx="14">
                  <c:v>24.692586652410231</c:v>
                </c:pt>
                <c:pt idx="15">
                  <c:v>42.832815564733259</c:v>
                </c:pt>
                <c:pt idx="16">
                  <c:v>35.84280862028578</c:v>
                </c:pt>
                <c:pt idx="17">
                  <c:v>14.126029734140838</c:v>
                </c:pt>
                <c:pt idx="18">
                  <c:v>24.674976161285926</c:v>
                </c:pt>
                <c:pt idx="19">
                  <c:v>21.065728728377746</c:v>
                </c:pt>
                <c:pt idx="20">
                  <c:v>12.676626053756626</c:v>
                </c:pt>
                <c:pt idx="21">
                  <c:v>15.560496715558356</c:v>
                </c:pt>
                <c:pt idx="22">
                  <c:v>20.487304455118316</c:v>
                </c:pt>
                <c:pt idx="23">
                  <c:v>35.389819531651071</c:v>
                </c:pt>
                <c:pt idx="24">
                  <c:v>39.097000878403811</c:v>
                </c:pt>
                <c:pt idx="25">
                  <c:v>36.126885580544119</c:v>
                </c:pt>
                <c:pt idx="26">
                  <c:v>28.206744838765058</c:v>
                </c:pt>
                <c:pt idx="27">
                  <c:v>7.1232463223580833</c:v>
                </c:pt>
                <c:pt idx="28">
                  <c:v>36.589842708878159</c:v>
                </c:pt>
                <c:pt idx="29">
                  <c:v>31.882962626721138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B-A940-AFB5-6AC0CF54B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27"/>
        <c:axId val="880102608"/>
        <c:axId val="1264884064"/>
      </c:barChart>
      <c:catAx>
        <c:axId val="880102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100">
                    <a:solidFill>
                      <a:schemeClr val="tx1"/>
                    </a:solidFill>
                  </a:rPr>
                  <a:t>Prøvenummer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64884064"/>
        <c:crosses val="autoZero"/>
        <c:auto val="1"/>
        <c:lblAlgn val="ctr"/>
        <c:lblOffset val="100"/>
        <c:noMultiLvlLbl val="0"/>
      </c:catAx>
      <c:valAx>
        <c:axId val="12648840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100">
                    <a:solidFill>
                      <a:schemeClr val="tx1"/>
                    </a:solidFill>
                  </a:rPr>
                  <a:t>Mengde DNA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8010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800"/>
              <a:t>DNA mengde - Oragene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Oragene!$C$41</c:f>
              <c:strCache>
                <c:ptCount val="1"/>
                <c:pt idx="0">
                  <c:v>Nanodrop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accent1"/>
              </a:solidFill>
            </a:ln>
            <a:effectLst/>
          </c:spPr>
          <c:invertIfNegative val="0"/>
          <c:cat>
            <c:numRef>
              <c:f>Oragene!$B$42:$B$71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Oragene!$C$42:$C$71</c:f>
              <c:numCache>
                <c:formatCode>General</c:formatCode>
                <c:ptCount val="30"/>
                <c:pt idx="0">
                  <c:v>311457</c:v>
                </c:pt>
                <c:pt idx="1">
                  <c:v>108447</c:v>
                </c:pt>
                <c:pt idx="2">
                  <c:v>285721.5</c:v>
                </c:pt>
                <c:pt idx="3">
                  <c:v>54846</c:v>
                </c:pt>
                <c:pt idx="4">
                  <c:v>144840</c:v>
                </c:pt>
                <c:pt idx="5">
                  <c:v>141813</c:v>
                </c:pt>
                <c:pt idx="6">
                  <c:v>69060</c:v>
                </c:pt>
                <c:pt idx="7">
                  <c:v>90364.499999999985</c:v>
                </c:pt>
                <c:pt idx="8">
                  <c:v>182280</c:v>
                </c:pt>
                <c:pt idx="9">
                  <c:v>191577</c:v>
                </c:pt>
                <c:pt idx="10">
                  <c:v>222820.5</c:v>
                </c:pt>
                <c:pt idx="11">
                  <c:v>163485</c:v>
                </c:pt>
                <c:pt idx="12">
                  <c:v>226222.5</c:v>
                </c:pt>
                <c:pt idx="13">
                  <c:v>159232.5</c:v>
                </c:pt>
                <c:pt idx="14">
                  <c:v>224460</c:v>
                </c:pt>
                <c:pt idx="15">
                  <c:v>82083</c:v>
                </c:pt>
                <c:pt idx="16">
                  <c:v>85380</c:v>
                </c:pt>
                <c:pt idx="17">
                  <c:v>426748.49999999994</c:v>
                </c:pt>
                <c:pt idx="18">
                  <c:v>95433</c:v>
                </c:pt>
                <c:pt idx="19">
                  <c:v>68448</c:v>
                </c:pt>
                <c:pt idx="20">
                  <c:v>374019</c:v>
                </c:pt>
                <c:pt idx="21">
                  <c:v>333390</c:v>
                </c:pt>
                <c:pt idx="22">
                  <c:v>170197.5</c:v>
                </c:pt>
                <c:pt idx="23">
                  <c:v>126615</c:v>
                </c:pt>
                <c:pt idx="24">
                  <c:v>47814</c:v>
                </c:pt>
                <c:pt idx="25">
                  <c:v>71032.5</c:v>
                </c:pt>
                <c:pt idx="26">
                  <c:v>125236.5</c:v>
                </c:pt>
                <c:pt idx="27">
                  <c:v>364092.00000000006</c:v>
                </c:pt>
                <c:pt idx="28">
                  <c:v>249505.49999999997</c:v>
                </c:pt>
                <c:pt idx="29">
                  <c:v>105744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9-F649-A94C-F1256EF1DF1E}"/>
            </c:ext>
          </c:extLst>
        </c:ser>
        <c:ser>
          <c:idx val="1"/>
          <c:order val="1"/>
          <c:tx>
            <c:strRef>
              <c:f>Oragene!$D$41</c:f>
              <c:strCache>
                <c:ptCount val="1"/>
                <c:pt idx="0">
                  <c:v>Lunatic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accent3"/>
              </a:solidFill>
            </a:ln>
            <a:effectLst/>
          </c:spPr>
          <c:invertIfNegative val="0"/>
          <c:cat>
            <c:numRef>
              <c:f>Oragene!$B$42:$B$71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Oragene!$D$42:$D$71</c:f>
              <c:numCache>
                <c:formatCode>General</c:formatCode>
                <c:ptCount val="30"/>
                <c:pt idx="0">
                  <c:v>333015</c:v>
                </c:pt>
                <c:pt idx="1">
                  <c:v>116520</c:v>
                </c:pt>
                <c:pt idx="2">
                  <c:v>273090</c:v>
                </c:pt>
                <c:pt idx="3">
                  <c:v>64125</c:v>
                </c:pt>
                <c:pt idx="4">
                  <c:v>156675</c:v>
                </c:pt>
                <c:pt idx="5">
                  <c:v>157530</c:v>
                </c:pt>
                <c:pt idx="6">
                  <c:v>68610</c:v>
                </c:pt>
                <c:pt idx="7">
                  <c:v>89265</c:v>
                </c:pt>
                <c:pt idx="8">
                  <c:v>193530</c:v>
                </c:pt>
                <c:pt idx="9">
                  <c:v>192945</c:v>
                </c:pt>
                <c:pt idx="10">
                  <c:v>232020</c:v>
                </c:pt>
                <c:pt idx="11">
                  <c:v>161745</c:v>
                </c:pt>
                <c:pt idx="12">
                  <c:v>223995</c:v>
                </c:pt>
                <c:pt idx="13">
                  <c:v>159855</c:v>
                </c:pt>
                <c:pt idx="14">
                  <c:v>225375</c:v>
                </c:pt>
                <c:pt idx="15">
                  <c:v>80100</c:v>
                </c:pt>
                <c:pt idx="16">
                  <c:v>85155</c:v>
                </c:pt>
                <c:pt idx="17">
                  <c:v>426390</c:v>
                </c:pt>
                <c:pt idx="18">
                  <c:v>99420</c:v>
                </c:pt>
                <c:pt idx="19">
                  <c:v>74550</c:v>
                </c:pt>
                <c:pt idx="20">
                  <c:v>363045</c:v>
                </c:pt>
                <c:pt idx="21">
                  <c:v>345240</c:v>
                </c:pt>
                <c:pt idx="22">
                  <c:v>183480</c:v>
                </c:pt>
                <c:pt idx="23">
                  <c:v>130245</c:v>
                </c:pt>
                <c:pt idx="24">
                  <c:v>48780</c:v>
                </c:pt>
                <c:pt idx="25">
                  <c:v>74220</c:v>
                </c:pt>
                <c:pt idx="26">
                  <c:v>125355</c:v>
                </c:pt>
                <c:pt idx="27">
                  <c:v>393795</c:v>
                </c:pt>
                <c:pt idx="28">
                  <c:v>246165</c:v>
                </c:pt>
                <c:pt idx="29">
                  <c:v>105210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9-F649-A94C-F1256EF1DF1E}"/>
            </c:ext>
          </c:extLst>
        </c:ser>
        <c:ser>
          <c:idx val="2"/>
          <c:order val="2"/>
          <c:tx>
            <c:strRef>
              <c:f>Oragene!$E$41</c:f>
              <c:strCache>
                <c:ptCount val="1"/>
                <c:pt idx="0">
                  <c:v>Qubit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  <a:effectLst/>
          </c:spPr>
          <c:invertIfNegative val="0"/>
          <c:cat>
            <c:numRef>
              <c:f>Oragene!$B$42:$B$71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Oragene!$E$42:$E$71</c:f>
              <c:numCache>
                <c:formatCode>General</c:formatCode>
                <c:ptCount val="30"/>
                <c:pt idx="0">
                  <c:v>81750</c:v>
                </c:pt>
                <c:pt idx="1">
                  <c:v>40200</c:v>
                </c:pt>
                <c:pt idx="2">
                  <c:v>100500</c:v>
                </c:pt>
                <c:pt idx="3">
                  <c:v>36900</c:v>
                </c:pt>
                <c:pt idx="4">
                  <c:v>37800</c:v>
                </c:pt>
                <c:pt idx="5">
                  <c:v>39000</c:v>
                </c:pt>
                <c:pt idx="6">
                  <c:v>20400</c:v>
                </c:pt>
                <c:pt idx="7">
                  <c:v>30900</c:v>
                </c:pt>
                <c:pt idx="8">
                  <c:v>54600</c:v>
                </c:pt>
                <c:pt idx="9">
                  <c:v>52050</c:v>
                </c:pt>
                <c:pt idx="10">
                  <c:v>53400</c:v>
                </c:pt>
                <c:pt idx="11">
                  <c:v>36600</c:v>
                </c:pt>
                <c:pt idx="12">
                  <c:v>65700</c:v>
                </c:pt>
                <c:pt idx="13">
                  <c:v>44550</c:v>
                </c:pt>
                <c:pt idx="14">
                  <c:v>58950</c:v>
                </c:pt>
                <c:pt idx="15">
                  <c:v>29100</c:v>
                </c:pt>
                <c:pt idx="16">
                  <c:v>31050</c:v>
                </c:pt>
                <c:pt idx="17">
                  <c:v>141000</c:v>
                </c:pt>
                <c:pt idx="18">
                  <c:v>23700</c:v>
                </c:pt>
                <c:pt idx="19">
                  <c:v>13650</c:v>
                </c:pt>
                <c:pt idx="20">
                  <c:v>143250</c:v>
                </c:pt>
                <c:pt idx="21">
                  <c:v>114750</c:v>
                </c:pt>
                <c:pt idx="22">
                  <c:v>48450</c:v>
                </c:pt>
                <c:pt idx="23">
                  <c:v>47250</c:v>
                </c:pt>
                <c:pt idx="24">
                  <c:v>14250</c:v>
                </c:pt>
                <c:pt idx="25">
                  <c:v>26700</c:v>
                </c:pt>
                <c:pt idx="26">
                  <c:v>35100</c:v>
                </c:pt>
                <c:pt idx="27">
                  <c:v>97500</c:v>
                </c:pt>
                <c:pt idx="28">
                  <c:v>82500</c:v>
                </c:pt>
                <c:pt idx="29">
                  <c:v>28500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99-F649-A94C-F1256EF1DF1E}"/>
            </c:ext>
          </c:extLst>
        </c:ser>
        <c:ser>
          <c:idx val="3"/>
          <c:order val="3"/>
          <c:tx>
            <c:strRef>
              <c:f>Oragene!$F$41</c:f>
              <c:strCache>
                <c:ptCount val="1"/>
                <c:pt idx="0">
                  <c:v>PCR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accent6"/>
              </a:solidFill>
            </a:ln>
            <a:effectLst/>
          </c:spPr>
          <c:invertIfNegative val="0"/>
          <c:cat>
            <c:numRef>
              <c:f>Oragene!$B$42:$B$71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Oragene!$F$42:$F$71</c:f>
              <c:numCache>
                <c:formatCode>0.00</c:formatCode>
                <c:ptCount val="30"/>
                <c:pt idx="0">
                  <c:v>27160.5</c:v>
                </c:pt>
                <c:pt idx="1">
                  <c:v>43443</c:v>
                </c:pt>
                <c:pt idx="2">
                  <c:v>79726.5</c:v>
                </c:pt>
                <c:pt idx="3">
                  <c:v>17961</c:v>
                </c:pt>
                <c:pt idx="4">
                  <c:v>41014.5</c:v>
                </c:pt>
                <c:pt idx="5">
                  <c:v>45702</c:v>
                </c:pt>
                <c:pt idx="6">
                  <c:v>18211.5</c:v>
                </c:pt>
                <c:pt idx="7">
                  <c:v>35802</c:v>
                </c:pt>
                <c:pt idx="8">
                  <c:v>59557.5</c:v>
                </c:pt>
                <c:pt idx="9">
                  <c:v>49203</c:v>
                </c:pt>
                <c:pt idx="10">
                  <c:v>37014</c:v>
                </c:pt>
                <c:pt idx="11">
                  <c:v>44599.5</c:v>
                </c:pt>
                <c:pt idx="12">
                  <c:v>58261.500000000007</c:v>
                </c:pt>
                <c:pt idx="13">
                  <c:v>47368.5</c:v>
                </c:pt>
                <c:pt idx="14">
                  <c:v>55425</c:v>
                </c:pt>
                <c:pt idx="15">
                  <c:v>35158.5</c:v>
                </c:pt>
                <c:pt idx="16">
                  <c:v>30603</c:v>
                </c:pt>
                <c:pt idx="17">
                  <c:v>60282</c:v>
                </c:pt>
                <c:pt idx="18">
                  <c:v>23548.5</c:v>
                </c:pt>
                <c:pt idx="19">
                  <c:v>14419.5</c:v>
                </c:pt>
                <c:pt idx="20">
                  <c:v>47413.499999999993</c:v>
                </c:pt>
                <c:pt idx="21">
                  <c:v>51877.5</c:v>
                </c:pt>
                <c:pt idx="22">
                  <c:v>34869</c:v>
                </c:pt>
                <c:pt idx="23">
                  <c:v>44809.5</c:v>
                </c:pt>
                <c:pt idx="24">
                  <c:v>18694.5</c:v>
                </c:pt>
                <c:pt idx="25">
                  <c:v>25662.000000000004</c:v>
                </c:pt>
                <c:pt idx="26">
                  <c:v>35325</c:v>
                </c:pt>
                <c:pt idx="27">
                  <c:v>25935</c:v>
                </c:pt>
                <c:pt idx="28">
                  <c:v>91293</c:v>
                </c:pt>
                <c:pt idx="29">
                  <c:v>33714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99-F649-A94C-F1256EF1D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100"/>
        <c:axId val="879194272"/>
        <c:axId val="1283902272"/>
      </c:barChart>
      <c:catAx>
        <c:axId val="879194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50">
                    <a:solidFill>
                      <a:schemeClr val="tx1"/>
                    </a:solidFill>
                  </a:rPr>
                  <a:t>Prøvenummer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83902272"/>
        <c:crosses val="autoZero"/>
        <c:auto val="1"/>
        <c:lblAlgn val="ctr"/>
        <c:lblOffset val="100"/>
        <c:noMultiLvlLbl val="0"/>
      </c:catAx>
      <c:valAx>
        <c:axId val="12839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50">
                    <a:solidFill>
                      <a:schemeClr val="tx1"/>
                    </a:solidFill>
                  </a:rPr>
                  <a:t>DNA Mengde (ng)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7919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PREFERANSE</a:t>
            </a:r>
            <a:r>
              <a:rPr lang="en-US" baseline="0"/>
              <a:t> AV MUNNHULE-SWAB HOS DELTAKERNE</a:t>
            </a:r>
            <a:endParaRPr lang="en-US"/>
          </a:p>
        </c:rich>
      </c:tx>
      <c:layout>
        <c:manualLayout>
          <c:xMode val="edge"/>
          <c:yMode val="edge"/>
          <c:x val="0.17380475853337463"/>
          <c:y val="5.56316048841920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'[1]Sammenligning av munnhule'!$AM$3</c:f>
              <c:strCache>
                <c:ptCount val="1"/>
                <c:pt idx="0">
                  <c:v>Antall svar i %</c:v>
                </c:pt>
              </c:strCache>
            </c:strRef>
          </c:tx>
          <c:spPr>
            <a:solidFill>
              <a:srgbClr val="69B1FF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D4-5745-8ACC-BE7542712C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D4-5745-8ACC-BE7542712CF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D4-5745-8ACC-BE7542712CFA}"/>
              </c:ext>
            </c:extLst>
          </c:dPt>
          <c:dLbls>
            <c:dLbl>
              <c:idx val="0"/>
              <c:layout>
                <c:manualLayout>
                  <c:x val="-6.4775382643259827E-2"/>
                  <c:y val="0.11456770516870499"/>
                </c:manualLayout>
              </c:layout>
              <c:tx>
                <c:rich>
                  <a:bodyPr/>
                  <a:lstStyle/>
                  <a:p>
                    <a:fld id="{2289C7D7-540F-BF42-868F-1099444EFB88}" type="VALUE">
                      <a:rPr lang="en-US"/>
                      <a:pPr/>
                      <a:t>[VERDI]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4D4-5745-8ACC-BE7542712CFA}"/>
                </c:ext>
              </c:extLst>
            </c:dLbl>
            <c:dLbl>
              <c:idx val="1"/>
              <c:layout>
                <c:manualLayout>
                  <c:x val="3.2197875989353753E-2"/>
                  <c:y val="-0.22119510284712163"/>
                </c:manualLayout>
              </c:layout>
              <c:tx>
                <c:rich>
                  <a:bodyPr/>
                  <a:lstStyle/>
                  <a:p>
                    <a:fld id="{AB3E9446-9AEA-3B4F-A41F-5B880EE2198C}" type="VALUE">
                      <a:rPr lang="en-US"/>
                      <a:pPr/>
                      <a:t>[VERDI]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4D4-5745-8ACC-BE7542712CFA}"/>
                </c:ext>
              </c:extLst>
            </c:dLbl>
            <c:dLbl>
              <c:idx val="2"/>
              <c:layout>
                <c:manualLayout>
                  <c:x val="5.6891115201643097E-2"/>
                  <c:y val="0.1128769837270311"/>
                </c:manualLayout>
              </c:layout>
              <c:tx>
                <c:rich>
                  <a:bodyPr/>
                  <a:lstStyle/>
                  <a:p>
                    <a:fld id="{16645B6D-9651-6F41-B1AB-96F3886FDF27}" type="VALUE">
                      <a:rPr lang="en-US"/>
                      <a:pPr/>
                      <a:t>[VERDI]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4D4-5745-8ACC-BE7542712C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'[1]Sammenligning av munnhule'!$AK$4:$AK$6</c:f>
              <c:strCache>
                <c:ptCount val="3"/>
                <c:pt idx="0">
                  <c:v>Isohelix</c:v>
                </c:pt>
                <c:pt idx="1">
                  <c:v>Oracollect</c:v>
                </c:pt>
                <c:pt idx="2">
                  <c:v>Ikke svart</c:v>
                </c:pt>
              </c:strCache>
            </c:strRef>
          </c:cat>
          <c:val>
            <c:numRef>
              <c:f>'[1]Sammenligning av munnhule'!$AM$4:$AM$6</c:f>
              <c:numCache>
                <c:formatCode>General</c:formatCode>
                <c:ptCount val="3"/>
                <c:pt idx="0">
                  <c:v>13.333333333333334</c:v>
                </c:pt>
                <c:pt idx="1">
                  <c:v>76.666666666666671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D4-5745-8ACC-BE7542712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PREFERANSE</a:t>
            </a:r>
            <a:r>
              <a:rPr lang="en-US" sz="1200" baseline="0"/>
              <a:t> AV MUNNHULESWAB HOS DELTAKERNE</a:t>
            </a:r>
            <a:endParaRPr lang="en-US" sz="1200"/>
          </a:p>
        </c:rich>
      </c:tx>
      <c:layout>
        <c:manualLayout>
          <c:xMode val="edge"/>
          <c:yMode val="edge"/>
          <c:x val="0.21965364245822158"/>
          <c:y val="2.3057799306386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'[1]Sammenligning av munnhule'!$AM$3</c:f>
              <c:strCache>
                <c:ptCount val="1"/>
                <c:pt idx="0">
                  <c:v>Antall svar i %</c:v>
                </c:pt>
              </c:strCache>
            </c:strRef>
          </c:tx>
          <c:spPr>
            <a:solidFill>
              <a:srgbClr val="69B1FF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629-9141-9B46-539CF56BF5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29-9141-9B46-539CF56BF5D9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629-9141-9B46-539CF56BF5D9}"/>
              </c:ext>
            </c:extLst>
          </c:dPt>
          <c:dLbls>
            <c:dLbl>
              <c:idx val="0"/>
              <c:layout>
                <c:manualLayout>
                  <c:x val="-6.4775382643259827E-2"/>
                  <c:y val="0.11456770516870499"/>
                </c:manualLayout>
              </c:layout>
              <c:tx>
                <c:rich>
                  <a:bodyPr/>
                  <a:lstStyle/>
                  <a:p>
                    <a:fld id="{2289C7D7-540F-BF42-868F-1099444EFB88}" type="VALUE">
                      <a:rPr lang="en-US"/>
                      <a:pPr/>
                      <a:t>[VERDI]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629-9141-9B46-539CF56BF5D9}"/>
                </c:ext>
              </c:extLst>
            </c:dLbl>
            <c:dLbl>
              <c:idx val="1"/>
              <c:layout>
                <c:manualLayout>
                  <c:x val="3.2197875989353753E-2"/>
                  <c:y val="-0.22119510284712163"/>
                </c:manualLayout>
              </c:layout>
              <c:tx>
                <c:rich>
                  <a:bodyPr/>
                  <a:lstStyle/>
                  <a:p>
                    <a:fld id="{AB3E9446-9AEA-3B4F-A41F-5B880EE2198C}" type="VALUE">
                      <a:rPr lang="en-US"/>
                      <a:pPr/>
                      <a:t>[VERDI]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629-9141-9B46-539CF56BF5D9}"/>
                </c:ext>
              </c:extLst>
            </c:dLbl>
            <c:dLbl>
              <c:idx val="2"/>
              <c:layout>
                <c:manualLayout>
                  <c:x val="5.6891115201643097E-2"/>
                  <c:y val="0.1128769837270311"/>
                </c:manualLayout>
              </c:layout>
              <c:tx>
                <c:rich>
                  <a:bodyPr/>
                  <a:lstStyle/>
                  <a:p>
                    <a:fld id="{16645B6D-9651-6F41-B1AB-96F3886FDF27}" type="VALUE">
                      <a:rPr lang="en-US"/>
                      <a:pPr/>
                      <a:t>[VERDI]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629-9141-9B46-539CF56BF5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'[1]Sammenligning av munnhule'!$AK$4:$AK$6</c:f>
              <c:strCache>
                <c:ptCount val="3"/>
                <c:pt idx="0">
                  <c:v>Isohelix</c:v>
                </c:pt>
                <c:pt idx="1">
                  <c:v>Oracollect</c:v>
                </c:pt>
                <c:pt idx="2">
                  <c:v>Ikke svart</c:v>
                </c:pt>
              </c:strCache>
            </c:strRef>
          </c:cat>
          <c:val>
            <c:numRef>
              <c:f>'[1]Sammenligning av munnhule'!$AM$4:$AM$6</c:f>
              <c:numCache>
                <c:formatCode>General</c:formatCode>
                <c:ptCount val="3"/>
                <c:pt idx="0">
                  <c:v>13.333333333333334</c:v>
                </c:pt>
                <c:pt idx="1">
                  <c:v>76.666666666666671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29-9141-9B46-539CF56BF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/>
              <a:t>Mengde DNA målt </a:t>
            </a:r>
            <a:r>
              <a:rPr lang="nb-NO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på Nanodrop med DNA renset fra ulike munnhuleswaber</a:t>
            </a:r>
            <a:endParaRPr lang="nb-NO" sz="1400"/>
          </a:p>
        </c:rich>
      </c:tx>
      <c:layout>
        <c:manualLayout>
          <c:xMode val="edge"/>
          <c:yMode val="edge"/>
          <c:x val="0.13814157188281098"/>
          <c:y val="3.3201302722681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'Sammenligning av munnhuleavskra'!$C$3</c:f>
              <c:strCache>
                <c:ptCount val="1"/>
                <c:pt idx="0">
                  <c:v>Isohelix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accent1"/>
              </a:solidFill>
            </a:ln>
            <a:effectLst/>
          </c:spPr>
          <c:invertIfNegative val="0"/>
          <c:cat>
            <c:numRef>
              <c:f>'Sammenligning av munnhuleavskra'!$B$4:$B$33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'Sammenligning av munnhuleavskra'!$C$4:$C$33</c:f>
              <c:numCache>
                <c:formatCode>General</c:formatCode>
                <c:ptCount val="30"/>
                <c:pt idx="0">
                  <c:v>3865.5</c:v>
                </c:pt>
                <c:pt idx="1">
                  <c:v>4488</c:v>
                </c:pt>
                <c:pt idx="2">
                  <c:v>3024.5</c:v>
                </c:pt>
                <c:pt idx="3">
                  <c:v>2467</c:v>
                </c:pt>
                <c:pt idx="4">
                  <c:v>4855</c:v>
                </c:pt>
                <c:pt idx="5">
                  <c:v>2335</c:v>
                </c:pt>
                <c:pt idx="6">
                  <c:v>1540</c:v>
                </c:pt>
                <c:pt idx="7">
                  <c:v>4800.5</c:v>
                </c:pt>
                <c:pt idx="8">
                  <c:v>3037.5</c:v>
                </c:pt>
                <c:pt idx="9">
                  <c:v>2600.5</c:v>
                </c:pt>
                <c:pt idx="10">
                  <c:v>3150</c:v>
                </c:pt>
                <c:pt idx="11">
                  <c:v>1762</c:v>
                </c:pt>
                <c:pt idx="12">
                  <c:v>4036.9999999999995</c:v>
                </c:pt>
                <c:pt idx="13">
                  <c:v>877.99999999999989</c:v>
                </c:pt>
                <c:pt idx="14">
                  <c:v>2614</c:v>
                </c:pt>
                <c:pt idx="15">
                  <c:v>4463</c:v>
                </c:pt>
                <c:pt idx="16">
                  <c:v>2361</c:v>
                </c:pt>
                <c:pt idx="17">
                  <c:v>3208.5</c:v>
                </c:pt>
                <c:pt idx="18">
                  <c:v>2195.5</c:v>
                </c:pt>
                <c:pt idx="19">
                  <c:v>1349</c:v>
                </c:pt>
                <c:pt idx="20">
                  <c:v>2712.5</c:v>
                </c:pt>
                <c:pt idx="21">
                  <c:v>4630</c:v>
                </c:pt>
                <c:pt idx="22">
                  <c:v>919</c:v>
                </c:pt>
                <c:pt idx="23">
                  <c:v>2032</c:v>
                </c:pt>
                <c:pt idx="24">
                  <c:v>1893.4999999999998</c:v>
                </c:pt>
                <c:pt idx="25">
                  <c:v>954.5</c:v>
                </c:pt>
                <c:pt idx="26">
                  <c:v>1464.5</c:v>
                </c:pt>
                <c:pt idx="27">
                  <c:v>1966.5</c:v>
                </c:pt>
                <c:pt idx="28">
                  <c:v>2437.5</c:v>
                </c:pt>
                <c:pt idx="29">
                  <c:v>4477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5-C24B-B0E5-01FB4D962383}"/>
            </c:ext>
          </c:extLst>
        </c:ser>
        <c:ser>
          <c:idx val="1"/>
          <c:order val="1"/>
          <c:tx>
            <c:strRef>
              <c:f>'Sammenligning av munnhuleavskra'!$D$3</c:f>
              <c:strCache>
                <c:ptCount val="1"/>
                <c:pt idx="0">
                  <c:v>Oracollect</c:v>
                </c:pt>
              </c:strCache>
            </c:strRef>
          </c:tx>
          <c:spPr>
            <a:solidFill>
              <a:srgbClr val="FF0000"/>
            </a:solidFill>
            <a:ln w="15875">
              <a:solidFill>
                <a:srgbClr val="FF0000"/>
              </a:solidFill>
            </a:ln>
            <a:effectLst/>
          </c:spPr>
          <c:invertIfNegative val="0"/>
          <c:cat>
            <c:numRef>
              <c:f>'Sammenligning av munnhuleavskra'!$B$4:$B$33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'Sammenligning av munnhuleavskra'!$D$4:$D$33</c:f>
              <c:numCache>
                <c:formatCode>General</c:formatCode>
                <c:ptCount val="30"/>
                <c:pt idx="0">
                  <c:v>1586.5</c:v>
                </c:pt>
                <c:pt idx="1">
                  <c:v>769.5</c:v>
                </c:pt>
                <c:pt idx="2">
                  <c:v>1017.5000000000001</c:v>
                </c:pt>
                <c:pt idx="3">
                  <c:v>1509.5</c:v>
                </c:pt>
                <c:pt idx="4">
                  <c:v>1849.5</c:v>
                </c:pt>
                <c:pt idx="5">
                  <c:v>1337</c:v>
                </c:pt>
                <c:pt idx="6">
                  <c:v>1051.5</c:v>
                </c:pt>
                <c:pt idx="7">
                  <c:v>2715.5</c:v>
                </c:pt>
                <c:pt idx="8">
                  <c:v>4145.5</c:v>
                </c:pt>
                <c:pt idx="9">
                  <c:v>793</c:v>
                </c:pt>
                <c:pt idx="10">
                  <c:v>2911.5</c:v>
                </c:pt>
                <c:pt idx="11">
                  <c:v>724.5</c:v>
                </c:pt>
                <c:pt idx="12">
                  <c:v>1813</c:v>
                </c:pt>
                <c:pt idx="13">
                  <c:v>961.5</c:v>
                </c:pt>
                <c:pt idx="14">
                  <c:v>1462</c:v>
                </c:pt>
                <c:pt idx="15">
                  <c:v>1532</c:v>
                </c:pt>
                <c:pt idx="16">
                  <c:v>1575</c:v>
                </c:pt>
                <c:pt idx="17">
                  <c:v>1977</c:v>
                </c:pt>
                <c:pt idx="18">
                  <c:v>1244</c:v>
                </c:pt>
                <c:pt idx="19">
                  <c:v>1396.5</c:v>
                </c:pt>
                <c:pt idx="20">
                  <c:v>1385.5</c:v>
                </c:pt>
                <c:pt idx="21">
                  <c:v>1989.9999999999998</c:v>
                </c:pt>
                <c:pt idx="22">
                  <c:v>959.50000000000011</c:v>
                </c:pt>
                <c:pt idx="23">
                  <c:v>1415.5</c:v>
                </c:pt>
                <c:pt idx="24">
                  <c:v>712.5</c:v>
                </c:pt>
                <c:pt idx="25">
                  <c:v>912.5</c:v>
                </c:pt>
                <c:pt idx="26">
                  <c:v>897.5</c:v>
                </c:pt>
                <c:pt idx="27">
                  <c:v>698.5</c:v>
                </c:pt>
                <c:pt idx="28">
                  <c:v>891</c:v>
                </c:pt>
                <c:pt idx="29">
                  <c:v>1064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B5-C24B-B0E5-01FB4D962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100"/>
        <c:axId val="1299815728"/>
        <c:axId val="1299685072"/>
      </c:barChart>
      <c:catAx>
        <c:axId val="129981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9685072"/>
        <c:crosses val="autoZero"/>
        <c:auto val="1"/>
        <c:lblAlgn val="ctr"/>
        <c:lblOffset val="100"/>
        <c:noMultiLvlLbl val="0"/>
      </c:catAx>
      <c:valAx>
        <c:axId val="129968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981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546510</xdr:colOff>
      <xdr:row>21</xdr:row>
      <xdr:rowOff>273</xdr:rowOff>
    </xdr:from>
    <xdr:ext cx="65" cy="172227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D125A72-0975-DA42-9524-1F47F9ED880F}"/>
            </a:ext>
          </a:extLst>
        </xdr:cNvPr>
        <xdr:cNvSpPr txBox="1"/>
      </xdr:nvSpPr>
      <xdr:spPr>
        <a:xfrm>
          <a:off x="11659010" y="438177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10</xdr:col>
      <xdr:colOff>546510</xdr:colOff>
      <xdr:row>21</xdr:row>
      <xdr:rowOff>273</xdr:rowOff>
    </xdr:from>
    <xdr:ext cx="65" cy="172227"/>
    <xdr:sp macro="" textlink="">
      <xdr:nvSpPr>
        <xdr:cNvPr id="3" name="TekstSylinder 1">
          <a:extLst>
            <a:ext uri="{FF2B5EF4-FFF2-40B4-BE49-F238E27FC236}">
              <a16:creationId xmlns:a16="http://schemas.microsoft.com/office/drawing/2014/main" id="{F61E77BB-CEB1-CC42-BE4E-5B38B8804332}"/>
            </a:ext>
          </a:extLst>
        </xdr:cNvPr>
        <xdr:cNvSpPr txBox="1"/>
      </xdr:nvSpPr>
      <xdr:spPr>
        <a:xfrm>
          <a:off x="11659010" y="438177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nb-NO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0.0962</cdr:x>
      <cdr:y>0.24052</cdr:y>
    </cdr:from>
    <cdr:to>
      <cdr:x>0.98355</cdr:x>
      <cdr:y>0.24052</cdr:y>
    </cdr:to>
    <cdr:cxnSp macro="">
      <cdr:nvCxnSpPr>
        <cdr:cNvPr id="3" name="Rett linje 2">
          <a:extLst xmlns:a="http://schemas.openxmlformats.org/drawingml/2006/main">
            <a:ext uri="{FF2B5EF4-FFF2-40B4-BE49-F238E27FC236}">
              <a16:creationId xmlns:a16="http://schemas.microsoft.com/office/drawing/2014/main" id="{1839BBBF-F011-7C1B-5E3B-6D02395582C3}"/>
            </a:ext>
          </a:extLst>
        </cdr:cNvPr>
        <cdr:cNvCxnSpPr/>
      </cdr:nvCxnSpPr>
      <cdr:spPr>
        <a:xfrm xmlns:a="http://schemas.openxmlformats.org/drawingml/2006/main">
          <a:off x="639757" y="899158"/>
          <a:ext cx="5901147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1376325</xdr:colOff>
      <xdr:row>37</xdr:row>
      <xdr:rowOff>128770</xdr:rowOff>
    </xdr:from>
    <xdr:to>
      <xdr:col>40</xdr:col>
      <xdr:colOff>25400</xdr:colOff>
      <xdr:row>62</xdr:row>
      <xdr:rowOff>126999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F6A16D14-637B-CEFB-8E97-0E90530FDF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1708150</xdr:colOff>
      <xdr:row>39</xdr:row>
      <xdr:rowOff>6350</xdr:rowOff>
    </xdr:from>
    <xdr:to>
      <xdr:col>14</xdr:col>
      <xdr:colOff>0</xdr:colOff>
      <xdr:row>68</xdr:row>
      <xdr:rowOff>25400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3887B4CE-DACD-DF86-7D80-60CB19D0E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25399</xdr:colOff>
      <xdr:row>37</xdr:row>
      <xdr:rowOff>186266</xdr:rowOff>
    </xdr:from>
    <xdr:to>
      <xdr:col>30</xdr:col>
      <xdr:colOff>1117599</xdr:colOff>
      <xdr:row>57</xdr:row>
      <xdr:rowOff>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696381B0-E410-C92A-4155-74FA4FF9E8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1443</xdr:colOff>
      <xdr:row>42</xdr:row>
      <xdr:rowOff>187037</xdr:rowOff>
    </xdr:from>
    <xdr:to>
      <xdr:col>13</xdr:col>
      <xdr:colOff>0</xdr:colOff>
      <xdr:row>68</xdr:row>
      <xdr:rowOff>43295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CD5BFB3B-EF6A-3E14-A215-62DE5606F7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366131</xdr:colOff>
      <xdr:row>38</xdr:row>
      <xdr:rowOff>0</xdr:rowOff>
    </xdr:from>
    <xdr:to>
      <xdr:col>32</xdr:col>
      <xdr:colOff>340731</xdr:colOff>
      <xdr:row>53</xdr:row>
      <xdr:rowOff>169334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3760218-AC21-A395-4DDC-C023A4145F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6596</xdr:colOff>
      <xdr:row>38</xdr:row>
      <xdr:rowOff>211774</xdr:rowOff>
    </xdr:from>
    <xdr:to>
      <xdr:col>13</xdr:col>
      <xdr:colOff>-1</xdr:colOff>
      <xdr:row>64</xdr:row>
      <xdr:rowOff>16493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FA205468-E9FC-8061-4119-0DE066E02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1942909</xdr:colOff>
      <xdr:row>8</xdr:row>
      <xdr:rowOff>4915</xdr:rowOff>
    </xdr:from>
    <xdr:to>
      <xdr:col>31</xdr:col>
      <xdr:colOff>767413</xdr:colOff>
      <xdr:row>21</xdr:row>
      <xdr:rowOff>92500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9686AEBA-5042-3D4B-8BE2-CADD116BE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1942909</xdr:colOff>
      <xdr:row>9</xdr:row>
      <xdr:rowOff>4915</xdr:rowOff>
    </xdr:from>
    <xdr:to>
      <xdr:col>31</xdr:col>
      <xdr:colOff>767413</xdr:colOff>
      <xdr:row>22</xdr:row>
      <xdr:rowOff>92500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8C61D2A0-519B-0A44-BD66-73652E828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119058</xdr:colOff>
      <xdr:row>34</xdr:row>
      <xdr:rowOff>183442</xdr:rowOff>
    </xdr:from>
    <xdr:to>
      <xdr:col>5</xdr:col>
      <xdr:colOff>647288</xdr:colOff>
      <xdr:row>51</xdr:row>
      <xdr:rowOff>172204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F5E1782E-FA2F-E10D-5F69-A5E29CC792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419</xdr:colOff>
      <xdr:row>35</xdr:row>
      <xdr:rowOff>685</xdr:rowOff>
    </xdr:from>
    <xdr:to>
      <xdr:col>13</xdr:col>
      <xdr:colOff>0</xdr:colOff>
      <xdr:row>51</xdr:row>
      <xdr:rowOff>191063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1C23F701-12E0-64E5-5083-82FF2A58D6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812674</xdr:colOff>
      <xdr:row>34</xdr:row>
      <xdr:rowOff>177887</xdr:rowOff>
    </xdr:from>
    <xdr:to>
      <xdr:col>20</xdr:col>
      <xdr:colOff>33717</xdr:colOff>
      <xdr:row>52</xdr:row>
      <xdr:rowOff>12191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EC2776C5-08DF-68D7-8A1B-41D62434D8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2486</xdr:colOff>
      <xdr:row>35</xdr:row>
      <xdr:rowOff>180</xdr:rowOff>
    </xdr:from>
    <xdr:to>
      <xdr:col>27</xdr:col>
      <xdr:colOff>32764</xdr:colOff>
      <xdr:row>51</xdr:row>
      <xdr:rowOff>191062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602B2666-53E4-0A88-168A-DFF71C8B8E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806450</xdr:colOff>
      <xdr:row>1</xdr:row>
      <xdr:rowOff>6350</xdr:rowOff>
    </xdr:from>
    <xdr:to>
      <xdr:col>22</xdr:col>
      <xdr:colOff>0</xdr:colOff>
      <xdr:row>14</xdr:row>
      <xdr:rowOff>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B3F40D0D-1DC0-3AA4-8BB4-3710E49BE1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819150</xdr:colOff>
      <xdr:row>15</xdr:row>
      <xdr:rowOff>6350</xdr:rowOff>
    </xdr:from>
    <xdr:to>
      <xdr:col>21</xdr:col>
      <xdr:colOff>812800</xdr:colOff>
      <xdr:row>28</xdr:row>
      <xdr:rowOff>165100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301B9008-8F4F-B517-9BB7-C641E587E7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42333</xdr:colOff>
      <xdr:row>30</xdr:row>
      <xdr:rowOff>196850</xdr:rowOff>
    </xdr:from>
    <xdr:to>
      <xdr:col>22</xdr:col>
      <xdr:colOff>29633</xdr:colOff>
      <xdr:row>44</xdr:row>
      <xdr:rowOff>50800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BFF560A6-6955-F108-1120-D29BC452E5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804333</xdr:colOff>
      <xdr:row>1</xdr:row>
      <xdr:rowOff>16933</xdr:rowOff>
    </xdr:from>
    <xdr:to>
      <xdr:col>36</xdr:col>
      <xdr:colOff>16933</xdr:colOff>
      <xdr:row>19</xdr:row>
      <xdr:rowOff>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941CFE36-51F2-3C2D-B0E1-C8B910C64E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0.10266</cdr:x>
      <cdr:y>0.26216</cdr:y>
    </cdr:from>
    <cdr:to>
      <cdr:x>0.98377</cdr:x>
      <cdr:y>0.26216</cdr:y>
    </cdr:to>
    <cdr:cxnSp macro="">
      <cdr:nvCxnSpPr>
        <cdr:cNvPr id="3" name="Rett linje 2">
          <a:extLst xmlns:a="http://schemas.openxmlformats.org/drawingml/2006/main">
            <a:ext uri="{FF2B5EF4-FFF2-40B4-BE49-F238E27FC236}">
              <a16:creationId xmlns:a16="http://schemas.microsoft.com/office/drawing/2014/main" id="{BC68FA37-C5A7-AD10-A14D-515678B7AC02}"/>
            </a:ext>
          </a:extLst>
        </cdr:cNvPr>
        <cdr:cNvCxnSpPr/>
      </cdr:nvCxnSpPr>
      <cdr:spPr>
        <a:xfrm xmlns:a="http://schemas.openxmlformats.org/drawingml/2006/main">
          <a:off x="677593" y="709506"/>
          <a:ext cx="5815493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0.08381</cdr:x>
      <cdr:y>0.32132</cdr:y>
    </cdr:from>
    <cdr:to>
      <cdr:x>0.98131</cdr:x>
      <cdr:y>0.32132</cdr:y>
    </cdr:to>
    <cdr:cxnSp macro="">
      <cdr:nvCxnSpPr>
        <cdr:cNvPr id="3" name="Rett linje 2">
          <a:extLst xmlns:a="http://schemas.openxmlformats.org/drawingml/2006/main">
            <a:ext uri="{FF2B5EF4-FFF2-40B4-BE49-F238E27FC236}">
              <a16:creationId xmlns:a16="http://schemas.microsoft.com/office/drawing/2014/main" id="{B8651175-B056-0B10-20B0-2ED369927E54}"/>
            </a:ext>
          </a:extLst>
        </cdr:cNvPr>
        <cdr:cNvCxnSpPr/>
      </cdr:nvCxnSpPr>
      <cdr:spPr>
        <a:xfrm xmlns:a="http://schemas.openxmlformats.org/drawingml/2006/main">
          <a:off x="551254" y="899795"/>
          <a:ext cx="5903154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0.09393</cdr:x>
      <cdr:y>0.33021</cdr:y>
    </cdr:from>
    <cdr:to>
      <cdr:x>0.98603</cdr:x>
      <cdr:y>0.33021</cdr:y>
    </cdr:to>
    <cdr:cxnSp macro="">
      <cdr:nvCxnSpPr>
        <cdr:cNvPr id="3" name="Rett linje 2">
          <a:extLst xmlns:a="http://schemas.openxmlformats.org/drawingml/2006/main">
            <a:ext uri="{FF2B5EF4-FFF2-40B4-BE49-F238E27FC236}">
              <a16:creationId xmlns:a16="http://schemas.microsoft.com/office/drawing/2014/main" id="{38F9979B-C568-3216-A4B8-CEB416AE2A2C}"/>
            </a:ext>
          </a:extLst>
        </cdr:cNvPr>
        <cdr:cNvCxnSpPr/>
      </cdr:nvCxnSpPr>
      <cdr:spPr>
        <a:xfrm xmlns:a="http://schemas.openxmlformats.org/drawingml/2006/main">
          <a:off x="619125" y="895350"/>
          <a:ext cx="588010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3d6b78040e8c54e/Dokumenter/6.%20SEMESTER%20BIOINGENI&#216;R%20HVL/Bachelor%20oppgave%20-%20Fag/F&#248;rste%20utkast-%20resultater%20bachel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CR - Rådata"/>
      <sheetName val="Resultater - Rådata"/>
      <sheetName val="Isohelix"/>
      <sheetName val="Oracollect"/>
      <sheetName val="Oragene"/>
      <sheetName val="Sammenligning av munnhule"/>
      <sheetName val="Renhet i prøvene"/>
    </sheetNames>
    <sheetDataSet>
      <sheetData sheetId="0"/>
      <sheetData sheetId="1"/>
      <sheetData sheetId="2">
        <row r="3">
          <cell r="C3" t="str">
            <v>NanoDrop</v>
          </cell>
        </row>
      </sheetData>
      <sheetData sheetId="3"/>
      <sheetData sheetId="4"/>
      <sheetData sheetId="5">
        <row r="3">
          <cell r="B3" t="str">
            <v>Isohelix</v>
          </cell>
          <cell r="AM3" t="str">
            <v>Antall svar i %</v>
          </cell>
        </row>
        <row r="4">
          <cell r="AK4" t="str">
            <v>Isohelix</v>
          </cell>
          <cell r="AM4">
            <v>13.333333333333334</v>
          </cell>
        </row>
        <row r="5">
          <cell r="AK5" t="str">
            <v>Oracollect</v>
          </cell>
          <cell r="AM5">
            <v>76.666666666666671</v>
          </cell>
        </row>
        <row r="6">
          <cell r="AK6" t="str">
            <v>Ikke svart</v>
          </cell>
          <cell r="AM6">
            <v>10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>
          <a:solidFill>
            <a:srgbClr val="FF0000"/>
          </a:solidFill>
        </a:ln>
      </a:spPr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5FCD8-21EB-4149-9EE7-A8EE1857D035}">
  <dimension ref="B2:CA70"/>
  <sheetViews>
    <sheetView zoomScale="25" workbookViewId="0">
      <selection activeCell="AR59" sqref="AR59"/>
    </sheetView>
  </sheetViews>
  <sheetFormatPr baseColWidth="10" defaultRowHeight="16"/>
  <cols>
    <col min="2" max="2" width="25" bestFit="1" customWidth="1"/>
    <col min="5" max="5" width="31.33203125" bestFit="1" customWidth="1"/>
    <col min="6" max="6" width="12.33203125" bestFit="1" customWidth="1"/>
    <col min="7" max="7" width="23" bestFit="1" customWidth="1"/>
    <col min="8" max="8" width="19.6640625" bestFit="1" customWidth="1"/>
    <col min="9" max="9" width="15.6640625" customWidth="1"/>
    <col min="10" max="10" width="27.5" bestFit="1" customWidth="1"/>
    <col min="13" max="13" width="30.83203125" bestFit="1" customWidth="1"/>
    <col min="15" max="15" width="23.5" bestFit="1" customWidth="1"/>
    <col min="16" max="16" width="19.6640625" bestFit="1" customWidth="1"/>
    <col min="17" max="17" width="18.83203125" bestFit="1" customWidth="1"/>
    <col min="18" max="18" width="12.5" bestFit="1" customWidth="1"/>
    <col min="19" max="19" width="27.5" bestFit="1" customWidth="1"/>
    <col min="26" max="26" width="26" bestFit="1" customWidth="1"/>
    <col min="29" max="30" width="13.6640625" bestFit="1" customWidth="1"/>
    <col min="31" max="31" width="26" bestFit="1" customWidth="1"/>
    <col min="32" max="32" width="19.6640625" bestFit="1" customWidth="1"/>
    <col min="33" max="33" width="13.6640625" bestFit="1" customWidth="1"/>
    <col min="34" max="34" width="27.5" bestFit="1" customWidth="1"/>
    <col min="35" max="35" width="26.5" bestFit="1" customWidth="1"/>
    <col min="38" max="38" width="13.1640625" bestFit="1" customWidth="1"/>
    <col min="39" max="39" width="12.33203125" bestFit="1" customWidth="1"/>
    <col min="40" max="40" width="26.33203125" bestFit="1" customWidth="1"/>
    <col min="41" max="41" width="18.83203125" bestFit="1" customWidth="1"/>
    <col min="42" max="42" width="12.5" bestFit="1" customWidth="1"/>
    <col min="43" max="43" width="27.5" bestFit="1" customWidth="1"/>
    <col min="52" max="52" width="24.6640625" bestFit="1" customWidth="1"/>
    <col min="55" max="55" width="12.83203125" bestFit="1" customWidth="1"/>
    <col min="56" max="56" width="12.33203125" bestFit="1" customWidth="1"/>
    <col min="57" max="57" width="24.6640625" bestFit="1" customWidth="1"/>
    <col min="58" max="58" width="19.6640625" bestFit="1" customWidth="1"/>
    <col min="59" max="59" width="12.5" bestFit="1" customWidth="1"/>
    <col min="60" max="60" width="27.5" bestFit="1" customWidth="1"/>
    <col min="63" max="63" width="13.6640625" bestFit="1" customWidth="1"/>
    <col min="65" max="65" width="25" bestFit="1" customWidth="1"/>
    <col min="66" max="66" width="19.6640625" customWidth="1"/>
    <col min="67" max="67" width="19.33203125" bestFit="1" customWidth="1"/>
    <col min="68" max="68" width="12.5" bestFit="1" customWidth="1"/>
    <col min="69" max="69" width="30.83203125" bestFit="1" customWidth="1"/>
    <col min="77" max="77" width="17" customWidth="1"/>
    <col min="78" max="78" width="25.6640625" bestFit="1" customWidth="1"/>
    <col min="79" max="79" width="23.83203125" bestFit="1" customWidth="1"/>
  </cols>
  <sheetData>
    <row r="2" spans="2:79">
      <c r="B2" t="s">
        <v>0</v>
      </c>
      <c r="Z2" t="s">
        <v>1</v>
      </c>
      <c r="AZ2" t="s">
        <v>2</v>
      </c>
      <c r="BY2" t="s">
        <v>108</v>
      </c>
    </row>
    <row r="3" spans="2:79" ht="17" thickBot="1"/>
    <row r="4" spans="2:79" ht="22" thickBot="1">
      <c r="B4" s="595" t="s">
        <v>3</v>
      </c>
      <c r="C4" s="596"/>
      <c r="D4" s="596"/>
      <c r="E4" s="596"/>
      <c r="F4" s="596"/>
      <c r="G4" s="596"/>
      <c r="H4" s="596"/>
      <c r="I4" s="596"/>
      <c r="J4" s="596"/>
      <c r="K4" s="597"/>
      <c r="L4" s="595" t="s">
        <v>4</v>
      </c>
      <c r="M4" s="596"/>
      <c r="N4" s="596"/>
      <c r="O4" s="596"/>
      <c r="P4" s="596"/>
      <c r="Q4" s="596"/>
      <c r="R4" s="596"/>
      <c r="S4" s="596"/>
      <c r="T4" s="597"/>
      <c r="Z4" s="598" t="s">
        <v>3</v>
      </c>
      <c r="AA4" s="599"/>
      <c r="AB4" s="599"/>
      <c r="AC4" s="599"/>
      <c r="AD4" s="600"/>
      <c r="AE4" s="600"/>
      <c r="AF4" s="600"/>
      <c r="AG4" s="600"/>
      <c r="AH4" s="600"/>
      <c r="AI4" s="601"/>
      <c r="AJ4" s="598" t="s">
        <v>4</v>
      </c>
      <c r="AK4" s="599"/>
      <c r="AL4" s="599"/>
      <c r="AM4" s="600"/>
      <c r="AN4" s="600"/>
      <c r="AO4" s="600"/>
      <c r="AP4" s="600"/>
      <c r="AQ4" s="600"/>
      <c r="AR4" s="601"/>
      <c r="AZ4" s="602" t="s">
        <v>5</v>
      </c>
      <c r="BA4" s="603"/>
      <c r="BB4" s="603"/>
      <c r="BC4" s="603"/>
      <c r="BD4" s="604"/>
      <c r="BE4" s="604"/>
      <c r="BF4" s="604"/>
      <c r="BG4" s="604"/>
      <c r="BH4" s="604"/>
      <c r="BI4" s="605"/>
      <c r="BJ4" s="602" t="s">
        <v>6</v>
      </c>
      <c r="BK4" s="603"/>
      <c r="BL4" s="603"/>
      <c r="BM4" s="603"/>
      <c r="BN4" s="603"/>
      <c r="BO4" s="603"/>
      <c r="BP4" s="603"/>
      <c r="BQ4" s="603"/>
      <c r="BR4" s="606"/>
      <c r="BY4" s="592" t="s">
        <v>173</v>
      </c>
      <c r="BZ4" s="593"/>
      <c r="CA4" s="594"/>
    </row>
    <row r="5" spans="2:79" ht="17" thickBot="1">
      <c r="B5" s="79"/>
      <c r="C5" s="81" t="s">
        <v>7</v>
      </c>
      <c r="D5" s="82" t="s">
        <v>8</v>
      </c>
      <c r="E5" s="83" t="s">
        <v>9</v>
      </c>
      <c r="F5" s="191" t="s">
        <v>10</v>
      </c>
      <c r="G5" s="190" t="s">
        <v>128</v>
      </c>
      <c r="H5" s="190" t="s">
        <v>127</v>
      </c>
      <c r="I5" s="190" t="s">
        <v>11</v>
      </c>
      <c r="J5" s="290" t="s">
        <v>12</v>
      </c>
      <c r="K5" s="192" t="s">
        <v>13</v>
      </c>
      <c r="L5" s="169" t="s">
        <v>7</v>
      </c>
      <c r="M5" s="82" t="s">
        <v>8</v>
      </c>
      <c r="N5" s="83" t="s">
        <v>14</v>
      </c>
      <c r="O5" s="81" t="s">
        <v>10</v>
      </c>
      <c r="P5" s="82" t="s">
        <v>128</v>
      </c>
      <c r="Q5" s="82" t="s">
        <v>127</v>
      </c>
      <c r="R5" s="82" t="s">
        <v>15</v>
      </c>
      <c r="S5" s="290" t="s">
        <v>12</v>
      </c>
      <c r="T5" s="84" t="s">
        <v>13</v>
      </c>
      <c r="Z5" s="567"/>
      <c r="AA5" s="89" t="s">
        <v>7</v>
      </c>
      <c r="AB5" s="90" t="s">
        <v>8</v>
      </c>
      <c r="AC5" s="91" t="s">
        <v>9</v>
      </c>
      <c r="AD5" s="89" t="s">
        <v>10</v>
      </c>
      <c r="AE5" s="90" t="s">
        <v>128</v>
      </c>
      <c r="AF5" s="90" t="s">
        <v>127</v>
      </c>
      <c r="AG5" s="90" t="s">
        <v>15</v>
      </c>
      <c r="AH5" s="295" t="s">
        <v>12</v>
      </c>
      <c r="AI5" s="92" t="s">
        <v>13</v>
      </c>
      <c r="AJ5" s="170" t="s">
        <v>7</v>
      </c>
      <c r="AK5" s="90" t="s">
        <v>8</v>
      </c>
      <c r="AL5" s="91" t="s">
        <v>14</v>
      </c>
      <c r="AM5" s="332" t="s">
        <v>10</v>
      </c>
      <c r="AN5" s="331" t="s">
        <v>128</v>
      </c>
      <c r="AO5" s="331" t="s">
        <v>127</v>
      </c>
      <c r="AP5" s="331" t="s">
        <v>15</v>
      </c>
      <c r="AQ5" s="295" t="s">
        <v>12</v>
      </c>
      <c r="AR5" s="333" t="s">
        <v>13</v>
      </c>
      <c r="AZ5" s="570"/>
      <c r="BA5" s="114" t="s">
        <v>7</v>
      </c>
      <c r="BB5" s="115" t="s">
        <v>8</v>
      </c>
      <c r="BC5" s="116" t="s">
        <v>9</v>
      </c>
      <c r="BD5" s="185" t="s">
        <v>10</v>
      </c>
      <c r="BE5" s="186" t="s">
        <v>128</v>
      </c>
      <c r="BF5" s="186" t="s">
        <v>127</v>
      </c>
      <c r="BG5" s="186" t="s">
        <v>15</v>
      </c>
      <c r="BH5" s="296" t="s">
        <v>12</v>
      </c>
      <c r="BI5" s="184" t="s">
        <v>13</v>
      </c>
      <c r="BJ5" s="179" t="s">
        <v>7</v>
      </c>
      <c r="BK5" s="115" t="s">
        <v>8</v>
      </c>
      <c r="BL5" s="116" t="s">
        <v>14</v>
      </c>
      <c r="BM5" s="114" t="s">
        <v>10</v>
      </c>
      <c r="BN5" s="115" t="s">
        <v>128</v>
      </c>
      <c r="BO5" s="115" t="s">
        <v>134</v>
      </c>
      <c r="BP5" s="115" t="s">
        <v>15</v>
      </c>
      <c r="BQ5" s="296" t="s">
        <v>12</v>
      </c>
      <c r="BR5" s="117" t="s">
        <v>13</v>
      </c>
      <c r="BY5" s="496" t="s">
        <v>109</v>
      </c>
      <c r="BZ5" s="551" t="s">
        <v>112</v>
      </c>
      <c r="CA5" s="494" t="s">
        <v>172</v>
      </c>
    </row>
    <row r="6" spans="2:79">
      <c r="B6" s="75" t="s">
        <v>16</v>
      </c>
      <c r="C6" s="199">
        <v>1.0894427</v>
      </c>
      <c r="D6" s="200">
        <v>1.1241760999999999</v>
      </c>
      <c r="E6" s="201">
        <v>1.1908605999999999</v>
      </c>
      <c r="F6" s="199">
        <f t="shared" ref="F6:F35" si="0">AVERAGE(C6:E6)</f>
        <v>1.1348264666666665</v>
      </c>
      <c r="G6" s="200">
        <f>F6*50</f>
        <v>56.741323333333327</v>
      </c>
      <c r="H6" s="279">
        <f>G6*50</f>
        <v>2837.0661666666665</v>
      </c>
      <c r="I6" s="200">
        <f t="shared" ref="I6:I35" si="1">(_xlfn.STDEV.S(C6:E6))</f>
        <v>5.1540957914102944E-2</v>
      </c>
      <c r="J6" s="200"/>
      <c r="K6" s="202">
        <f t="shared" ref="K6:K35" si="2">(I6/F6)*100</f>
        <v>4.541747961297955</v>
      </c>
      <c r="L6" s="203">
        <v>0.54937016999999999</v>
      </c>
      <c r="M6" s="200">
        <v>0.55153434999999995</v>
      </c>
      <c r="N6" s="201">
        <v>0.57868160000000002</v>
      </c>
      <c r="O6" s="199">
        <f>AVERAGE(L6:N6)</f>
        <v>0.55986203999999995</v>
      </c>
      <c r="P6" s="200">
        <f>O6*100</f>
        <v>55.986203999999994</v>
      </c>
      <c r="Q6" s="279">
        <f>P6*50</f>
        <v>2799.3101999999999</v>
      </c>
      <c r="R6" s="200">
        <f t="shared" ref="R6:R35" si="3">_xlfn.STDEV.S(L6:N6)</f>
        <v>1.633409923176974E-2</v>
      </c>
      <c r="S6" s="200">
        <f>((N6-L6)/((N6+L6)/2))*100</f>
        <v>5.196823546493798</v>
      </c>
      <c r="T6" s="202">
        <f>(R6/O6)*100</f>
        <v>2.9175221866747281</v>
      </c>
      <c r="Z6" s="85" t="s">
        <v>178</v>
      </c>
      <c r="AA6" s="118">
        <v>0.30822127999999999</v>
      </c>
      <c r="AB6" s="95">
        <v>0.28777277000000001</v>
      </c>
      <c r="AC6" s="96">
        <v>0.30606990000000001</v>
      </c>
      <c r="AD6" s="93">
        <f t="shared" ref="AD6:AD35" si="4">AVERAGE(AA6:AC6)</f>
        <v>0.30068798333333335</v>
      </c>
      <c r="AE6" s="298">
        <f>AD6*50</f>
        <v>15.034399166666667</v>
      </c>
      <c r="AF6" s="328">
        <f>AE6*50</f>
        <v>751.71995833333335</v>
      </c>
      <c r="AG6" s="298">
        <f t="shared" ref="AG6:AG35" si="5">_xlfn.STDEV.S(AA6:AC6)</f>
        <v>1.1236510159308054E-2</v>
      </c>
      <c r="AH6" s="297">
        <f>((AA6-AB6)/((AA6+AB6)/2))*100</f>
        <v>6.8619846120946919</v>
      </c>
      <c r="AI6" s="94">
        <f>(AG6/AD6)*100</f>
        <v>3.7369335597464195</v>
      </c>
      <c r="AJ6" s="171">
        <v>0.18021487999999999</v>
      </c>
      <c r="AK6" s="17">
        <v>0.17822266</v>
      </c>
      <c r="AL6" s="172">
        <v>0.13148457999999999</v>
      </c>
      <c r="AM6" s="93">
        <f>AVERAGE(AJ6:AL6)</f>
        <v>0.16330737333333334</v>
      </c>
      <c r="AN6" s="298">
        <f>AM6*100</f>
        <v>16.330737333333335</v>
      </c>
      <c r="AO6" s="328">
        <f>AN6*50</f>
        <v>816.53686666666681</v>
      </c>
      <c r="AP6" s="298">
        <f t="shared" ref="AP6:AP35" si="6">_xlfn.STDEV.S(AJ6:AL6)</f>
        <v>2.7577343359796825E-2</v>
      </c>
      <c r="AQ6" s="294">
        <f>((AJ6-AL6)/((AJ6+AL6)/2))*100</f>
        <v>31.267490806689242</v>
      </c>
      <c r="AR6" s="299">
        <f>(AP6/AM6)*100</f>
        <v>16.886771734125922</v>
      </c>
      <c r="AZ6" s="111" t="s">
        <v>208</v>
      </c>
      <c r="BA6" s="180">
        <v>0.42046233999999999</v>
      </c>
      <c r="BB6" s="102">
        <v>0.43642530000000002</v>
      </c>
      <c r="BC6" s="103">
        <v>0.35981035</v>
      </c>
      <c r="BD6" s="101">
        <f t="shared" ref="BD6:BD35" si="7">AVERAGE(BA6:BC6)</f>
        <v>0.40556599666666671</v>
      </c>
      <c r="BE6" s="102">
        <f>BD6*500</f>
        <v>202.78299833333335</v>
      </c>
      <c r="BF6" s="336">
        <f>BE6*150</f>
        <v>30417.449750000003</v>
      </c>
      <c r="BG6" s="102">
        <f t="shared" ref="BG6:BG35" si="8">_xlfn.STDEV.S(BA6:BC6)</f>
        <v>4.042138573087313E-2</v>
      </c>
      <c r="BH6" s="294">
        <f>((BB6-BC6)/((BB6+BC6)/2))*100</f>
        <v>19.244290305263274</v>
      </c>
      <c r="BI6" s="104">
        <f>(BG6/BD6)*100</f>
        <v>9.9666604358094961</v>
      </c>
      <c r="BJ6" s="180">
        <v>0.14404209000000001</v>
      </c>
      <c r="BK6" s="102">
        <v>0.17723303000000001</v>
      </c>
      <c r="BL6" s="103">
        <v>0.15678512999999999</v>
      </c>
      <c r="BM6" s="101">
        <f t="shared" ref="BM6:BM35" si="9">AVERAGE(BJ6:BL6)</f>
        <v>0.15935341666666666</v>
      </c>
      <c r="BN6" s="102">
        <f t="shared" ref="BN6:BN35" si="10">BM6*1000</f>
        <v>159.35341666666667</v>
      </c>
      <c r="BO6" s="336">
        <f>BN6*150</f>
        <v>23903.012500000001</v>
      </c>
      <c r="BP6" s="102">
        <f t="shared" ref="BP6:BP35" si="11">_xlfn.STDEV.S(BJ6:BL6)</f>
        <v>1.6743855494554812E-2</v>
      </c>
      <c r="BQ6" s="294">
        <f>((BK6-BJ6)/((BK6+BJ6)/2))*100</f>
        <v>20.66200457726076</v>
      </c>
      <c r="BR6" s="104">
        <f t="shared" ref="BR6:BR35" si="12">(BP6/BM6)*100</f>
        <v>10.507371504672149</v>
      </c>
      <c r="BY6" s="277" t="s">
        <v>113</v>
      </c>
      <c r="BZ6" s="552">
        <v>0.99743055999999997</v>
      </c>
      <c r="CA6" s="246" t="s">
        <v>117</v>
      </c>
    </row>
    <row r="7" spans="2:79">
      <c r="B7" s="76" t="s">
        <v>17</v>
      </c>
      <c r="C7" s="206">
        <v>1.1618413999999999</v>
      </c>
      <c r="D7" s="207">
        <v>1.2643591999999999</v>
      </c>
      <c r="E7" s="208">
        <v>1.1555393</v>
      </c>
      <c r="F7" s="206">
        <f t="shared" si="0"/>
        <v>1.1939133</v>
      </c>
      <c r="G7" s="207">
        <f>F7*50</f>
        <v>59.695664999999998</v>
      </c>
      <c r="H7" s="222">
        <f>G7*50</f>
        <v>2984.78325</v>
      </c>
      <c r="I7" s="207">
        <f t="shared" si="1"/>
        <v>6.1089260399926223E-2</v>
      </c>
      <c r="J7" s="207">
        <f>((D7-E7)/((D7+E7)/2))*100</f>
        <v>8.9937573827993091</v>
      </c>
      <c r="K7" s="209">
        <f t="shared" si="2"/>
        <v>5.1167250084177995</v>
      </c>
      <c r="L7" s="210">
        <v>0.53394823999999996</v>
      </c>
      <c r="M7" s="207">
        <v>0.54298360000000001</v>
      </c>
      <c r="N7" s="208">
        <v>0.58847463</v>
      </c>
      <c r="O7" s="206">
        <f>AVERAGE(L7:N7)</f>
        <v>0.55513548999999995</v>
      </c>
      <c r="P7" s="207">
        <f>O7*100</f>
        <v>55.513548999999998</v>
      </c>
      <c r="Q7" s="222">
        <f>P7*50</f>
        <v>2775.6774499999997</v>
      </c>
      <c r="R7" s="207">
        <f t="shared" si="3"/>
        <v>2.9223845136071683E-2</v>
      </c>
      <c r="S7" s="207">
        <f>((N7-L7)/((N7+L7)/2))*100</f>
        <v>9.7158373118324004</v>
      </c>
      <c r="T7" s="209">
        <f>(R7/O7)*100</f>
        <v>5.2642725357140625</v>
      </c>
      <c r="Z7" s="86" t="s">
        <v>179</v>
      </c>
      <c r="AA7" s="198">
        <v>0.15303106999999999</v>
      </c>
      <c r="AB7" s="95">
        <v>0.1813834</v>
      </c>
      <c r="AC7" s="96">
        <v>0.21851946</v>
      </c>
      <c r="AD7" s="17">
        <f t="shared" si="4"/>
        <v>0.18431131000000001</v>
      </c>
      <c r="AE7" s="95">
        <f>AD7*50</f>
        <v>9.2155655000000003</v>
      </c>
      <c r="AF7" s="327">
        <f>AE7*50</f>
        <v>460.77827500000001</v>
      </c>
      <c r="AG7" s="95">
        <f t="shared" si="5"/>
        <v>3.2842225852157063E-2</v>
      </c>
      <c r="AH7" s="292">
        <f>((AC7-AA7)/((AC7+AA7)/2))*100</f>
        <v>35.251404432123948</v>
      </c>
      <c r="AI7" s="168">
        <f>(AG7/AD7)*100</f>
        <v>17.818887973916013</v>
      </c>
      <c r="AJ7" s="173">
        <v>0.12964282999999999</v>
      </c>
      <c r="AK7" s="95">
        <v>8.5274890000000006E-2</v>
      </c>
      <c r="AL7" s="96">
        <v>9.6042799999999998E-2</v>
      </c>
      <c r="AM7" s="17">
        <f>AVERAGE(AJ7:AL7)</f>
        <v>0.10365350666666666</v>
      </c>
      <c r="AN7" s="95">
        <f>AM7*100</f>
        <v>10.365350666666666</v>
      </c>
      <c r="AO7" s="327">
        <f>AN7*50</f>
        <v>518.26753333333329</v>
      </c>
      <c r="AP7" s="95">
        <f t="shared" si="6"/>
        <v>2.3142399766131354E-2</v>
      </c>
      <c r="AQ7" s="292">
        <f>((AJ7-AK7)/((AJ7+AK7)/2))*100</f>
        <v>41.288303263220904</v>
      </c>
      <c r="AR7" s="168">
        <f>(AP7/AM7)*100</f>
        <v>22.326692564829152</v>
      </c>
      <c r="AZ7" s="112" t="s">
        <v>209</v>
      </c>
      <c r="BA7" s="181">
        <v>0.59952240000000001</v>
      </c>
      <c r="BB7" s="105">
        <v>0.58365374999999997</v>
      </c>
      <c r="BC7" s="106">
        <v>0.56450175999999996</v>
      </c>
      <c r="BD7" s="47">
        <f t="shared" si="7"/>
        <v>0.58255930333333328</v>
      </c>
      <c r="BE7" s="105">
        <f>BD7*500</f>
        <v>291.27965166666667</v>
      </c>
      <c r="BF7" s="335">
        <f>BE7*150</f>
        <v>43691.947749999999</v>
      </c>
      <c r="BG7" s="105">
        <f t="shared" si="8"/>
        <v>1.7535953542138338E-2</v>
      </c>
      <c r="BH7" s="300">
        <f>((BA7-BC7)/((BA7+BC7)/2))*100</f>
        <v>6.017167203814747</v>
      </c>
      <c r="BI7" s="2">
        <f>(BG7/BD7)*100</f>
        <v>3.0101576683780946</v>
      </c>
      <c r="BJ7" s="181">
        <v>0.31735400000000002</v>
      </c>
      <c r="BK7" s="105">
        <v>0.26832192999999999</v>
      </c>
      <c r="BL7" s="106">
        <v>0.27817932000000001</v>
      </c>
      <c r="BM7" s="47">
        <f t="shared" si="9"/>
        <v>0.28795175000000001</v>
      </c>
      <c r="BN7" s="105">
        <f t="shared" si="10"/>
        <v>287.95175</v>
      </c>
      <c r="BO7" s="335">
        <f>BN7*150</f>
        <v>43192.762499999997</v>
      </c>
      <c r="BP7" s="105">
        <f t="shared" si="11"/>
        <v>2.5935714048390894E-2</v>
      </c>
      <c r="BQ7" s="292">
        <f>((BJ7-BK7)/((BJ7+BK7)/2))*100</f>
        <v>16.743754519670983</v>
      </c>
      <c r="BR7" s="2">
        <f t="shared" si="12"/>
        <v>9.0069652462229843</v>
      </c>
      <c r="BY7" s="254" t="s">
        <v>114</v>
      </c>
      <c r="BZ7" s="553">
        <v>0.99445419999999995</v>
      </c>
      <c r="CA7" s="247" t="s">
        <v>117</v>
      </c>
    </row>
    <row r="8" spans="2:79">
      <c r="B8" s="76" t="s">
        <v>18</v>
      </c>
      <c r="C8" s="206">
        <v>0.73351717000000005</v>
      </c>
      <c r="D8" s="207">
        <v>0.83900889999999995</v>
      </c>
      <c r="E8" s="208">
        <v>0.79274020000000001</v>
      </c>
      <c r="F8" s="206">
        <f t="shared" si="0"/>
        <v>0.78842208999999996</v>
      </c>
      <c r="G8" s="207">
        <f t="shared" ref="G8:G34" si="13">F8*50</f>
        <v>39.421104499999998</v>
      </c>
      <c r="H8" s="222">
        <f t="shared" ref="H8:H35" si="14">G8*50</f>
        <v>1971.0552249999998</v>
      </c>
      <c r="I8" s="207">
        <f t="shared" si="1"/>
        <v>5.2878264249853119E-2</v>
      </c>
      <c r="J8" s="292">
        <f>((D8-C8)/((D8+C8)/2))*100</f>
        <v>13.416849744182608</v>
      </c>
      <c r="K8" s="209">
        <f t="shared" si="2"/>
        <v>6.70684712167985</v>
      </c>
      <c r="L8" s="210">
        <v>0.41876960000000002</v>
      </c>
      <c r="M8" s="207">
        <v>0.35806367</v>
      </c>
      <c r="N8" s="208">
        <v>0.42208108</v>
      </c>
      <c r="O8" s="206">
        <f>AVERAGE(L8:N8)</f>
        <v>0.39963811666666665</v>
      </c>
      <c r="P8" s="207">
        <f t="shared" ref="P8:P35" si="15">O8*100</f>
        <v>39.963811666666665</v>
      </c>
      <c r="Q8" s="325">
        <f t="shared" ref="Q8:Q35" si="16">P8*50</f>
        <v>1998.1905833333333</v>
      </c>
      <c r="R8" s="207">
        <f t="shared" si="3"/>
        <v>3.6042578108082576E-2</v>
      </c>
      <c r="S8" s="292">
        <f>((N8-M8)/((N8+M8)/2))*100</f>
        <v>16.411674884692872</v>
      </c>
      <c r="T8" s="209">
        <f t="shared" ref="T8:T35" si="17">(R8/O8)*100</f>
        <v>9.0188039140784113</v>
      </c>
      <c r="Z8" s="86" t="s">
        <v>180</v>
      </c>
      <c r="AA8" s="153">
        <v>0.19209424</v>
      </c>
      <c r="AB8" s="95">
        <v>0.22623915999999999</v>
      </c>
      <c r="AC8" s="96">
        <v>0.19275900000000001</v>
      </c>
      <c r="AD8" s="17">
        <f t="shared" si="4"/>
        <v>0.20369746666666666</v>
      </c>
      <c r="AE8" s="95">
        <f t="shared" ref="AE8:AE34" si="18">AD8*50</f>
        <v>10.184873333333332</v>
      </c>
      <c r="AF8" s="326">
        <f t="shared" ref="AF8:AF34" si="19">AE8*50</f>
        <v>509.24366666666663</v>
      </c>
      <c r="AG8" s="95">
        <f t="shared" si="5"/>
        <v>1.9524508450020787E-2</v>
      </c>
      <c r="AH8" s="292">
        <f>((AB8-AA8)/((AB8+AA8)/2))*100</f>
        <v>16.324261940356664</v>
      </c>
      <c r="AI8" s="21">
        <f t="shared" ref="AI8:AI35" si="20">(AG8/AD8)*100</f>
        <v>9.5850521705166631</v>
      </c>
      <c r="AJ8" s="153">
        <v>9.8256179999999999E-2</v>
      </c>
      <c r="AK8" s="95">
        <v>0.11192680000000001</v>
      </c>
      <c r="AL8" s="96">
        <v>0.11058568000000001</v>
      </c>
      <c r="AM8" s="17">
        <f>AVERAGE(AJ8:AL8)</f>
        <v>0.10692288666666667</v>
      </c>
      <c r="AN8" s="95">
        <f t="shared" ref="AN8:AN35" si="21">AM8*100</f>
        <v>10.692288666666668</v>
      </c>
      <c r="AO8" s="327">
        <f t="shared" ref="AO8:AO35" si="22">AN8*50</f>
        <v>534.61443333333341</v>
      </c>
      <c r="AP8" s="95">
        <f t="shared" si="6"/>
        <v>7.535483000321439E-3</v>
      </c>
      <c r="AQ8" s="292">
        <f>((AK8-AJ8)/((AK8+AJ8)/2))*100</f>
        <v>13.008303526765113</v>
      </c>
      <c r="AR8" s="21">
        <f t="shared" ref="AR8:AR35" si="23">(AP8/AM8)*100</f>
        <v>7.0475865693875193</v>
      </c>
      <c r="AZ8" s="112" t="s">
        <v>210</v>
      </c>
      <c r="BA8" s="181">
        <v>1.0656561</v>
      </c>
      <c r="BB8" s="105">
        <v>1.0531417000000001</v>
      </c>
      <c r="BC8" s="106">
        <v>1.0847081999999999</v>
      </c>
      <c r="BD8" s="47">
        <f t="shared" si="7"/>
        <v>1.0678353333333332</v>
      </c>
      <c r="BE8" s="105">
        <f>BD8*500</f>
        <v>533.91766666666661</v>
      </c>
      <c r="BF8" s="335">
        <f t="shared" ref="BF8:BF35" si="24">BE8*150</f>
        <v>80087.649999999994</v>
      </c>
      <c r="BG8" s="105">
        <f t="shared" si="8"/>
        <v>1.5895684131339884E-2</v>
      </c>
      <c r="BH8" s="300">
        <f>((BC8-BB8)/((BC8+BB8)/2))*100</f>
        <v>2.9531072317097502</v>
      </c>
      <c r="BI8" s="2">
        <f t="shared" ref="BI8:BI35" si="25">(BG8/BD8)*100</f>
        <v>1.4885894514953197</v>
      </c>
      <c r="BJ8" s="181">
        <v>0.53956519999999997</v>
      </c>
      <c r="BK8" s="105">
        <v>0.54129046000000003</v>
      </c>
      <c r="BL8" s="106">
        <v>0.50646069999999999</v>
      </c>
      <c r="BM8" s="47">
        <f t="shared" si="9"/>
        <v>0.52910545333333336</v>
      </c>
      <c r="BN8" s="105">
        <f t="shared" si="10"/>
        <v>529.10545333333334</v>
      </c>
      <c r="BO8" s="334">
        <f t="shared" ref="BO8:BO35" si="26">BN8*150</f>
        <v>79365.817999999999</v>
      </c>
      <c r="BP8" s="105">
        <f t="shared" si="11"/>
        <v>1.9629894820465385E-2</v>
      </c>
      <c r="BQ8" s="300">
        <f>((BK8-BL8)/((BK8+BL8)/2))*100</f>
        <v>6.6484793965773408</v>
      </c>
      <c r="BR8" s="2">
        <f t="shared" si="12"/>
        <v>3.7100155926948397</v>
      </c>
      <c r="BY8" s="254" t="s">
        <v>115</v>
      </c>
      <c r="BZ8" s="553">
        <v>0.98827933999999995</v>
      </c>
      <c r="CA8" s="247" t="s">
        <v>117</v>
      </c>
    </row>
    <row r="9" spans="2:79">
      <c r="B9" s="76" t="s">
        <v>19</v>
      </c>
      <c r="C9" s="206">
        <v>0.59236299999999997</v>
      </c>
      <c r="D9" s="207">
        <v>0.58396930000000002</v>
      </c>
      <c r="E9" s="208">
        <v>0.56864475999999997</v>
      </c>
      <c r="F9" s="206">
        <f t="shared" si="0"/>
        <v>0.58165901999999992</v>
      </c>
      <c r="G9" s="207">
        <f t="shared" si="13"/>
        <v>29.082950999999994</v>
      </c>
      <c r="H9" s="222">
        <f t="shared" si="14"/>
        <v>1454.1475499999997</v>
      </c>
      <c r="I9" s="207">
        <f t="shared" si="1"/>
        <v>1.2026710790286766E-2</v>
      </c>
      <c r="J9" s="207">
        <f>((C9-E9)/((C9+E9)/2))*100</f>
        <v>4.0858021482991642</v>
      </c>
      <c r="K9" s="209">
        <f t="shared" si="2"/>
        <v>2.0676565439124053</v>
      </c>
      <c r="L9" s="210">
        <v>0.29561657000000002</v>
      </c>
      <c r="M9" s="207">
        <v>0.26334869999999999</v>
      </c>
      <c r="N9" s="208">
        <v>0.31208485000000002</v>
      </c>
      <c r="O9" s="206">
        <f t="shared" ref="O9:O35" si="27">AVERAGE(L9:N9)</f>
        <v>0.29035004000000003</v>
      </c>
      <c r="P9" s="207">
        <f t="shared" si="15"/>
        <v>29.035004000000004</v>
      </c>
      <c r="Q9" s="222">
        <f t="shared" si="16"/>
        <v>1451.7502000000002</v>
      </c>
      <c r="R9" s="207">
        <f t="shared" si="3"/>
        <v>2.4791235001231805E-2</v>
      </c>
      <c r="S9" s="292">
        <f>((N9-M9)/((N9+M9)/2))*100</f>
        <v>16.938932392801924</v>
      </c>
      <c r="T9" s="209">
        <f t="shared" si="17"/>
        <v>8.5383955866621548</v>
      </c>
      <c r="Z9" s="86" t="s">
        <v>181</v>
      </c>
      <c r="AA9" s="198">
        <v>0.19692554000000001</v>
      </c>
      <c r="AB9" s="95">
        <v>0.36722577000000001</v>
      </c>
      <c r="AC9" s="96">
        <v>0.38116643</v>
      </c>
      <c r="AD9" s="17">
        <f t="shared" si="4"/>
        <v>0.31510591333333332</v>
      </c>
      <c r="AE9" s="95">
        <f t="shared" si="18"/>
        <v>15.755295666666665</v>
      </c>
      <c r="AF9" s="327">
        <f t="shared" si="19"/>
        <v>787.7647833333333</v>
      </c>
      <c r="AG9" s="129">
        <f t="shared" si="5"/>
        <v>0.10258428720429606</v>
      </c>
      <c r="AH9" s="292">
        <f>((AC9-AA9)/((AC9+AA9)/2))*100</f>
        <v>63.74103068755651</v>
      </c>
      <c r="AI9" s="168">
        <f t="shared" si="20"/>
        <v>32.55549415722254</v>
      </c>
      <c r="AJ9" s="153">
        <v>0.18832790999999999</v>
      </c>
      <c r="AK9" s="95">
        <v>0.21074049</v>
      </c>
      <c r="AL9" s="96">
        <v>0.21240184000000001</v>
      </c>
      <c r="AM9" s="17">
        <f t="shared" ref="AM9:AM35" si="28">AVERAGE(AJ9:AL9)</f>
        <v>0.20382341333333334</v>
      </c>
      <c r="AN9" s="95">
        <f t="shared" si="21"/>
        <v>20.382341333333333</v>
      </c>
      <c r="AO9" s="327">
        <f t="shared" si="22"/>
        <v>1019.1170666666667</v>
      </c>
      <c r="AP9" s="95">
        <f t="shared" si="6"/>
        <v>1.3445184588566778E-2</v>
      </c>
      <c r="AQ9" s="292">
        <f>((AL9-AJ9)/((AL9+AJ9)/2))*100</f>
        <v>12.015045052182934</v>
      </c>
      <c r="AR9" s="14">
        <f t="shared" si="23"/>
        <v>6.5964868160550765</v>
      </c>
      <c r="AZ9" s="112" t="s">
        <v>211</v>
      </c>
      <c r="BA9" s="181">
        <v>0.22230984000000001</v>
      </c>
      <c r="BB9" s="105">
        <v>0.26373118000000001</v>
      </c>
      <c r="BC9" s="106">
        <v>0.24140753000000001</v>
      </c>
      <c r="BD9" s="47">
        <f t="shared" si="7"/>
        <v>0.24248285000000003</v>
      </c>
      <c r="BE9" s="105">
        <f>BD9*500</f>
        <v>121.24142500000002</v>
      </c>
      <c r="BF9" s="335">
        <f t="shared" si="24"/>
        <v>18186.213750000003</v>
      </c>
      <c r="BG9" s="105">
        <f t="shared" si="8"/>
        <v>2.0731596336888772E-2</v>
      </c>
      <c r="BH9" s="292">
        <f>((BB9-BA9)/((BB9+BA9)/2))*100</f>
        <v>17.044380328228261</v>
      </c>
      <c r="BI9" s="2">
        <f t="shared" si="25"/>
        <v>8.5497165415569683</v>
      </c>
      <c r="BJ9" s="181">
        <v>0.12997955</v>
      </c>
      <c r="BK9" s="105">
        <v>0.117491946</v>
      </c>
      <c r="BL9" s="106">
        <v>0.10725571</v>
      </c>
      <c r="BM9" s="47">
        <f t="shared" si="9"/>
        <v>0.11824240200000001</v>
      </c>
      <c r="BN9" s="105">
        <f t="shared" si="10"/>
        <v>118.24240200000001</v>
      </c>
      <c r="BO9" s="335">
        <f t="shared" si="26"/>
        <v>17736.3603</v>
      </c>
      <c r="BP9" s="105">
        <f t="shared" si="11"/>
        <v>1.1380492706484722E-2</v>
      </c>
      <c r="BQ9" s="292">
        <f>((BJ9-BL9)/((BJ9+BL9)/2))*100</f>
        <v>19.157219715146891</v>
      </c>
      <c r="BR9" s="2">
        <f t="shared" si="12"/>
        <v>9.6247137355047307</v>
      </c>
      <c r="BY9" s="254" t="s">
        <v>116</v>
      </c>
      <c r="BZ9" s="553">
        <v>0.99807170000000001</v>
      </c>
      <c r="CA9" s="247" t="s">
        <v>117</v>
      </c>
    </row>
    <row r="10" spans="2:79">
      <c r="B10" s="76" t="s">
        <v>20</v>
      </c>
      <c r="C10" s="206">
        <v>1.2502432000000001</v>
      </c>
      <c r="D10" s="207">
        <v>1.2439096999999999</v>
      </c>
      <c r="E10" s="208">
        <v>1.2615601999999999</v>
      </c>
      <c r="F10" s="206">
        <f t="shared" si="0"/>
        <v>1.2519043666666667</v>
      </c>
      <c r="G10" s="207">
        <f t="shared" si="13"/>
        <v>62.595218333333335</v>
      </c>
      <c r="H10" s="222">
        <f t="shared" si="14"/>
        <v>3129.7609166666666</v>
      </c>
      <c r="I10" s="207">
        <f t="shared" si="1"/>
        <v>8.9417360497463308E-3</v>
      </c>
      <c r="J10" s="207">
        <f>((E10-D10)/((E10+D10)/2))*100</f>
        <v>1.4089572578780545</v>
      </c>
      <c r="K10" s="209">
        <f t="shared" si="2"/>
        <v>0.7142507277576392</v>
      </c>
      <c r="L10" s="210">
        <v>0.62108326000000003</v>
      </c>
      <c r="M10" s="207">
        <v>0.69024629999999998</v>
      </c>
      <c r="N10" s="208">
        <v>0.67862904000000002</v>
      </c>
      <c r="O10" s="206">
        <f t="shared" si="27"/>
        <v>0.66331953333333338</v>
      </c>
      <c r="P10" s="207">
        <f t="shared" si="15"/>
        <v>66.331953333333331</v>
      </c>
      <c r="Q10" s="325">
        <f t="shared" si="16"/>
        <v>3316.5976666666666</v>
      </c>
      <c r="R10" s="207">
        <f t="shared" si="3"/>
        <v>3.7036026667191663E-2</v>
      </c>
      <c r="S10" s="207">
        <f>((M10-L10)/((M10+L10)/2))*100</f>
        <v>10.548536708041564</v>
      </c>
      <c r="T10" s="209">
        <f t="shared" si="17"/>
        <v>5.5834367610248261</v>
      </c>
      <c r="Z10" s="86" t="s">
        <v>182</v>
      </c>
      <c r="AA10" s="153">
        <v>0.4030378</v>
      </c>
      <c r="AB10" s="95">
        <v>0.43495262000000001</v>
      </c>
      <c r="AC10" s="96">
        <v>0.39461952</v>
      </c>
      <c r="AD10" s="17">
        <f t="shared" si="4"/>
        <v>0.41086998000000002</v>
      </c>
      <c r="AE10" s="95">
        <f t="shared" si="18"/>
        <v>20.543499000000001</v>
      </c>
      <c r="AF10" s="326">
        <f t="shared" si="19"/>
        <v>1027.1749500000001</v>
      </c>
      <c r="AG10" s="95">
        <f t="shared" si="5"/>
        <v>2.1276677879001699E-2</v>
      </c>
      <c r="AH10" s="301">
        <f>((AB10-AC10)/((AB10+AC10)/2))*100</f>
        <v>9.7238318538517969</v>
      </c>
      <c r="AI10" s="21">
        <f t="shared" si="20"/>
        <v>5.1784454729454064</v>
      </c>
      <c r="AJ10" s="153">
        <v>0.20721231000000001</v>
      </c>
      <c r="AK10" s="95">
        <v>0.2073612</v>
      </c>
      <c r="AL10" s="96">
        <v>0.18493535</v>
      </c>
      <c r="AM10" s="17">
        <f t="shared" si="28"/>
        <v>0.19983628666666667</v>
      </c>
      <c r="AN10" s="95">
        <f t="shared" si="21"/>
        <v>19.983628666666668</v>
      </c>
      <c r="AO10" s="327">
        <f t="shared" si="22"/>
        <v>999.18143333333342</v>
      </c>
      <c r="AP10" s="95">
        <f t="shared" si="6"/>
        <v>1.2904804423780836E-2</v>
      </c>
      <c r="AQ10" s="292">
        <f>((AK10-AL10)/((AK10+AL10)/2))*100</f>
        <v>11.433110997279991</v>
      </c>
      <c r="AR10" s="21">
        <f t="shared" si="23"/>
        <v>6.4576882602439785</v>
      </c>
      <c r="AZ10" s="112" t="s">
        <v>212</v>
      </c>
      <c r="BA10" s="181">
        <v>0.57856700000000005</v>
      </c>
      <c r="BB10" s="105">
        <v>0.53790490000000002</v>
      </c>
      <c r="BC10" s="106">
        <v>0.56593070000000001</v>
      </c>
      <c r="BD10" s="47">
        <f t="shared" si="7"/>
        <v>0.56080086666666673</v>
      </c>
      <c r="BE10" s="105">
        <f t="shared" ref="BE10:BE35" si="29">BD10*500</f>
        <v>280.40043333333335</v>
      </c>
      <c r="BF10" s="335">
        <f t="shared" si="24"/>
        <v>42060.065000000002</v>
      </c>
      <c r="BG10" s="105">
        <f t="shared" si="8"/>
        <v>2.0810766122931031E-2</v>
      </c>
      <c r="BH10" s="300">
        <f>((BA10-BB10)/((BA10+BB10)/2))*100</f>
        <v>7.2840346452069298</v>
      </c>
      <c r="BI10" s="2">
        <f t="shared" si="25"/>
        <v>3.710901205739523</v>
      </c>
      <c r="BJ10" s="181">
        <v>0.26642120000000002</v>
      </c>
      <c r="BK10" s="105">
        <v>0.28071705000000002</v>
      </c>
      <c r="BL10" s="106">
        <v>0.25226842999999999</v>
      </c>
      <c r="BM10" s="47">
        <f t="shared" si="9"/>
        <v>0.26646889333333335</v>
      </c>
      <c r="BN10" s="105">
        <f t="shared" si="10"/>
        <v>266.46889333333337</v>
      </c>
      <c r="BO10" s="334">
        <f t="shared" si="26"/>
        <v>39970.334000000003</v>
      </c>
      <c r="BP10" s="105">
        <f t="shared" si="11"/>
        <v>1.4224369967300268E-2</v>
      </c>
      <c r="BQ10" s="300">
        <f>((BK10-BL10)/((BK10+BL10)/2))*100</f>
        <v>10.675195129143118</v>
      </c>
      <c r="BR10" s="2">
        <f t="shared" si="12"/>
        <v>5.3380977379249321</v>
      </c>
      <c r="BY10" s="254" t="s">
        <v>110</v>
      </c>
      <c r="BZ10" s="553">
        <v>0.99628377000000001</v>
      </c>
      <c r="CA10" s="247" t="s">
        <v>117</v>
      </c>
    </row>
    <row r="11" spans="2:79" ht="17" thickBot="1">
      <c r="B11" s="76" t="s">
        <v>21</v>
      </c>
      <c r="C11" s="564">
        <v>7.9939859999999998E-3</v>
      </c>
      <c r="D11" s="207">
        <v>0.37923237999999998</v>
      </c>
      <c r="E11" s="208">
        <v>0.41844853999999998</v>
      </c>
      <c r="F11" s="206">
        <f t="shared" si="0"/>
        <v>0.26855830199999997</v>
      </c>
      <c r="G11" s="207">
        <f>F11*50</f>
        <v>13.427915099999998</v>
      </c>
      <c r="H11" s="222">
        <f t="shared" si="14"/>
        <v>671.39575499999989</v>
      </c>
      <c r="I11" s="207">
        <f t="shared" si="1"/>
        <v>0.22650562659831938</v>
      </c>
      <c r="J11" s="292">
        <f>((E11-C11)/((E11+C11)/2))*100</f>
        <v>192.50169904490247</v>
      </c>
      <c r="K11" s="211">
        <f t="shared" si="2"/>
        <v>84.3413236200456</v>
      </c>
      <c r="L11" s="210">
        <v>0.15990560000000001</v>
      </c>
      <c r="M11" s="207">
        <v>0.19054694</v>
      </c>
      <c r="N11" s="208">
        <v>0.17564462</v>
      </c>
      <c r="O11" s="206">
        <f t="shared" si="27"/>
        <v>0.17536572000000003</v>
      </c>
      <c r="P11" s="207">
        <f t="shared" si="15"/>
        <v>17.536572000000003</v>
      </c>
      <c r="Q11" s="222">
        <f t="shared" si="16"/>
        <v>876.82860000000016</v>
      </c>
      <c r="R11" s="207">
        <f t="shared" si="3"/>
        <v>1.5322573809787956E-2</v>
      </c>
      <c r="S11" s="292">
        <f>((M11-L11)/((M11+L11)/2))*100</f>
        <v>17.486727304073749</v>
      </c>
      <c r="T11" s="209">
        <f t="shared" si="17"/>
        <v>8.7374965927137609</v>
      </c>
      <c r="Z11" s="86" t="s">
        <v>183</v>
      </c>
      <c r="AA11" s="153">
        <v>0.24738045</v>
      </c>
      <c r="AB11" s="95">
        <v>0.25480372000000001</v>
      </c>
      <c r="AC11" s="96">
        <v>0.23220535</v>
      </c>
      <c r="AD11" s="17">
        <f t="shared" si="4"/>
        <v>0.24479650666666666</v>
      </c>
      <c r="AE11" s="95">
        <f t="shared" si="18"/>
        <v>12.239825333333334</v>
      </c>
      <c r="AF11" s="327">
        <f t="shared" si="19"/>
        <v>611.99126666666666</v>
      </c>
      <c r="AG11" s="95">
        <f t="shared" si="5"/>
        <v>1.1518643758126794E-2</v>
      </c>
      <c r="AH11" s="301">
        <f>((AB11-AC11)/((AB11+AC11)/2))*100</f>
        <v>9.2804719222169734</v>
      </c>
      <c r="AI11" s="14">
        <f t="shared" si="20"/>
        <v>4.7053954792792227</v>
      </c>
      <c r="AJ11" s="153">
        <v>0.14159398000000001</v>
      </c>
      <c r="AK11" s="95">
        <v>0.14683513000000001</v>
      </c>
      <c r="AL11" s="96">
        <v>0.15021898</v>
      </c>
      <c r="AM11" s="17">
        <f t="shared" si="28"/>
        <v>0.14621603000000002</v>
      </c>
      <c r="AN11" s="95">
        <f t="shared" si="21"/>
        <v>14.621603000000002</v>
      </c>
      <c r="AO11" s="327">
        <f t="shared" si="22"/>
        <v>731.08015000000012</v>
      </c>
      <c r="AP11" s="95">
        <f t="shared" si="6"/>
        <v>4.3457013079018642E-3</v>
      </c>
      <c r="AQ11" s="301">
        <f>((AL11-AJ11)/((AL11+AJ11)/2))*100</f>
        <v>5.9113207309229807</v>
      </c>
      <c r="AR11" s="14">
        <f t="shared" si="23"/>
        <v>2.972110040124782</v>
      </c>
      <c r="AZ11" s="112" t="s">
        <v>213</v>
      </c>
      <c r="BA11" s="181">
        <v>0.62070197000000005</v>
      </c>
      <c r="BB11" s="105">
        <v>0.57221580000000005</v>
      </c>
      <c r="BC11" s="106">
        <v>0.64693259999999997</v>
      </c>
      <c r="BD11" s="47">
        <f t="shared" si="7"/>
        <v>0.61328345666666673</v>
      </c>
      <c r="BE11" s="105">
        <f t="shared" si="29"/>
        <v>306.64172833333339</v>
      </c>
      <c r="BF11" s="335">
        <f t="shared" si="24"/>
        <v>45996.25925000001</v>
      </c>
      <c r="BG11" s="105">
        <f t="shared" si="8"/>
        <v>3.7906804212669135E-2</v>
      </c>
      <c r="BH11" s="292">
        <f>((BC11-BB11)/((BC11+BB11)/2))*100</f>
        <v>12.257211673328682</v>
      </c>
      <c r="BI11" s="2">
        <f t="shared" si="25"/>
        <v>6.1809598482732806</v>
      </c>
      <c r="BJ11" s="181">
        <v>0.28882423000000002</v>
      </c>
      <c r="BK11" s="105">
        <v>0.31468454000000001</v>
      </c>
      <c r="BL11" s="106">
        <v>0.30462566000000002</v>
      </c>
      <c r="BM11" s="47">
        <f t="shared" si="9"/>
        <v>0.3027114766666667</v>
      </c>
      <c r="BN11" s="105">
        <f t="shared" si="10"/>
        <v>302.71147666666673</v>
      </c>
      <c r="BO11" s="335">
        <f t="shared" si="26"/>
        <v>45406.721500000007</v>
      </c>
      <c r="BP11" s="105">
        <f t="shared" si="11"/>
        <v>1.3035987944886774E-2</v>
      </c>
      <c r="BQ11" s="300">
        <f>((BK11-BJ11)/((BK11+BJ11)/2))*100</f>
        <v>8.5699864808923962</v>
      </c>
      <c r="BR11" s="2">
        <f t="shared" si="12"/>
        <v>4.3064069087943642</v>
      </c>
      <c r="BY11" s="255" t="s">
        <v>111</v>
      </c>
      <c r="BZ11" s="554">
        <v>0.99865437000000001</v>
      </c>
      <c r="CA11" s="248" t="s">
        <v>117</v>
      </c>
    </row>
    <row r="12" spans="2:79">
      <c r="B12" s="76" t="s">
        <v>22</v>
      </c>
      <c r="C12" s="206">
        <v>0.49597380000000002</v>
      </c>
      <c r="D12" s="207">
        <v>0.45242712000000002</v>
      </c>
      <c r="E12" s="208">
        <v>0.50602155999999998</v>
      </c>
      <c r="F12" s="206">
        <f t="shared" si="0"/>
        <v>0.48480749333333334</v>
      </c>
      <c r="G12" s="207">
        <f t="shared" si="13"/>
        <v>24.240374666666668</v>
      </c>
      <c r="H12" s="222">
        <f t="shared" si="14"/>
        <v>1212.0187333333333</v>
      </c>
      <c r="I12" s="207">
        <f t="shared" si="1"/>
        <v>2.8488696059295739E-2</v>
      </c>
      <c r="J12" s="292">
        <f>((E12-D12)/((E12+D12)/2))*100</f>
        <v>11.183580533492927</v>
      </c>
      <c r="K12" s="209">
        <f t="shared" si="2"/>
        <v>5.8762903731993488</v>
      </c>
      <c r="L12" s="210">
        <v>0.29096094</v>
      </c>
      <c r="M12" s="207">
        <v>0.25368896000000002</v>
      </c>
      <c r="N12" s="208">
        <v>0.23593810000000001</v>
      </c>
      <c r="O12" s="206">
        <f t="shared" si="27"/>
        <v>0.26019600000000004</v>
      </c>
      <c r="P12" s="207">
        <f t="shared" si="15"/>
        <v>26.019600000000004</v>
      </c>
      <c r="Q12" s="325">
        <f t="shared" si="16"/>
        <v>1300.9800000000002</v>
      </c>
      <c r="R12" s="207">
        <f t="shared" si="3"/>
        <v>2.8082635339077414E-2</v>
      </c>
      <c r="S12" s="292">
        <f>((L12-N12)/((L12+N12)/2))*100</f>
        <v>20.885534352083841</v>
      </c>
      <c r="T12" s="209">
        <f t="shared" si="17"/>
        <v>10.792877422818725</v>
      </c>
      <c r="Z12" s="86" t="s">
        <v>184</v>
      </c>
      <c r="AA12" s="198">
        <v>0.24896894</v>
      </c>
      <c r="AB12" s="95">
        <v>0.18354870000000001</v>
      </c>
      <c r="AC12" s="96">
        <v>0.180884091</v>
      </c>
      <c r="AD12" s="17">
        <f t="shared" si="4"/>
        <v>0.20446724366666669</v>
      </c>
      <c r="AE12" s="95">
        <f t="shared" si="18"/>
        <v>10.223362183333334</v>
      </c>
      <c r="AF12" s="326">
        <f t="shared" si="19"/>
        <v>511.16810916666668</v>
      </c>
      <c r="AG12" s="95">
        <f t="shared" si="5"/>
        <v>3.856262137989163E-2</v>
      </c>
      <c r="AH12" s="292">
        <f>((AA12-AC12)/((AA12+AC12)/2))*100</f>
        <v>31.678198867928884</v>
      </c>
      <c r="AI12" s="193">
        <f t="shared" si="20"/>
        <v>18.860048528241744</v>
      </c>
      <c r="AJ12" s="153">
        <v>9.0345226000000001E-2</v>
      </c>
      <c r="AK12" s="95">
        <v>8.7397349999999999E-2</v>
      </c>
      <c r="AL12" s="96">
        <v>0.114195116</v>
      </c>
      <c r="AM12" s="17">
        <f t="shared" si="28"/>
        <v>9.731256399999999E-2</v>
      </c>
      <c r="AN12" s="95">
        <f t="shared" si="21"/>
        <v>9.7312563999999995</v>
      </c>
      <c r="AO12" s="327">
        <f t="shared" si="22"/>
        <v>486.56281999999999</v>
      </c>
      <c r="AP12" s="95">
        <f t="shared" si="6"/>
        <v>1.4694826121883024E-2</v>
      </c>
      <c r="AQ12" s="292">
        <f>((AL12-AK12)/((AL12+AK12)/2))*100</f>
        <v>26.586078866657648</v>
      </c>
      <c r="AR12" s="193">
        <f t="shared" si="23"/>
        <v>15.100646327521517</v>
      </c>
      <c r="AZ12" s="112" t="s">
        <v>214</v>
      </c>
      <c r="BA12" s="181">
        <v>0.24321619</v>
      </c>
      <c r="BB12" s="105">
        <v>0.21451915999999999</v>
      </c>
      <c r="BC12" s="106">
        <v>0.25697592000000002</v>
      </c>
      <c r="BD12" s="47">
        <f t="shared" si="7"/>
        <v>0.23823709000000001</v>
      </c>
      <c r="BE12" s="105">
        <f t="shared" si="29"/>
        <v>119.11854500000001</v>
      </c>
      <c r="BF12" s="335">
        <f t="shared" si="24"/>
        <v>17867.781750000002</v>
      </c>
      <c r="BG12" s="105">
        <f t="shared" si="8"/>
        <v>2.1661895000943496E-2</v>
      </c>
      <c r="BH12" s="292">
        <f>((BC12-BB12)/((BC12+BB12)/2))*100</f>
        <v>18.009418041011173</v>
      </c>
      <c r="BI12" s="2">
        <f t="shared" si="25"/>
        <v>9.0925787420185049</v>
      </c>
      <c r="BJ12" s="181">
        <v>0.12252325</v>
      </c>
      <c r="BK12" s="105">
        <v>0.12070743</v>
      </c>
      <c r="BL12" s="106">
        <v>0.12787299999999999</v>
      </c>
      <c r="BM12" s="47">
        <f t="shared" si="9"/>
        <v>0.12370122666666666</v>
      </c>
      <c r="BN12" s="105">
        <f t="shared" si="10"/>
        <v>123.70122666666667</v>
      </c>
      <c r="BO12" s="334">
        <f t="shared" si="26"/>
        <v>18555.184000000001</v>
      </c>
      <c r="BP12" s="105">
        <f t="shared" si="11"/>
        <v>3.7251939716789599E-3</v>
      </c>
      <c r="BQ12" s="300">
        <f>((BL12-BK12)/((BL12+BK12)/2))*100</f>
        <v>5.7651923765680051</v>
      </c>
      <c r="BR12" s="2">
        <f t="shared" si="12"/>
        <v>3.0114446493866294</v>
      </c>
    </row>
    <row r="13" spans="2:79">
      <c r="B13" s="76" t="s">
        <v>23</v>
      </c>
      <c r="C13" s="206">
        <v>1.2535748</v>
      </c>
      <c r="D13" s="207">
        <v>1.2026874999999999</v>
      </c>
      <c r="E13" s="208">
        <v>1.2367854</v>
      </c>
      <c r="F13" s="206">
        <f t="shared" si="0"/>
        <v>1.2310158999999998</v>
      </c>
      <c r="G13" s="207">
        <f t="shared" si="13"/>
        <v>61.550794999999994</v>
      </c>
      <c r="H13" s="222">
        <f t="shared" si="14"/>
        <v>3077.5397499999999</v>
      </c>
      <c r="I13" s="207">
        <f t="shared" si="1"/>
        <v>2.5929609966407179E-2</v>
      </c>
      <c r="J13" s="207">
        <f>((C13-D13)/((C13+D13)/2))*100</f>
        <v>4.1434744163927517</v>
      </c>
      <c r="K13" s="209">
        <f t="shared" si="2"/>
        <v>2.1063586560016963</v>
      </c>
      <c r="L13" s="210">
        <v>0.64677739999999995</v>
      </c>
      <c r="M13" s="207">
        <v>0.66194785</v>
      </c>
      <c r="N13" s="208">
        <v>0.58901669999999995</v>
      </c>
      <c r="O13" s="206">
        <f t="shared" si="27"/>
        <v>0.63258064999999997</v>
      </c>
      <c r="P13" s="207">
        <f t="shared" si="15"/>
        <v>63.258064999999995</v>
      </c>
      <c r="Q13" s="222">
        <f t="shared" si="16"/>
        <v>3162.9032499999998</v>
      </c>
      <c r="R13" s="207">
        <f t="shared" si="3"/>
        <v>3.8482449805105984E-2</v>
      </c>
      <c r="S13" s="292">
        <f>((M13-N13)/((M13+N13)/2))*100</f>
        <v>11.659986687872181</v>
      </c>
      <c r="T13" s="209">
        <f t="shared" si="17"/>
        <v>6.0834060929789722</v>
      </c>
      <c r="Z13" s="86" t="s">
        <v>185</v>
      </c>
      <c r="AA13" s="153">
        <v>0.63742109999999996</v>
      </c>
      <c r="AB13" s="95">
        <v>0.76389700000000005</v>
      </c>
      <c r="AC13" s="96">
        <v>0.71669483</v>
      </c>
      <c r="AD13" s="17">
        <f t="shared" si="4"/>
        <v>0.70600430999999997</v>
      </c>
      <c r="AE13" s="95">
        <f t="shared" si="18"/>
        <v>35.3002155</v>
      </c>
      <c r="AF13" s="327">
        <f t="shared" si="19"/>
        <v>1765.010775</v>
      </c>
      <c r="AG13" s="95">
        <f t="shared" si="5"/>
        <v>6.3912078151201632E-2</v>
      </c>
      <c r="AH13" s="292">
        <f>((AB13-AA13)/((AB13+AA13)/2))*100</f>
        <v>18.050990706535522</v>
      </c>
      <c r="AI13" s="14">
        <f t="shared" si="20"/>
        <v>9.0526470229624572</v>
      </c>
      <c r="AJ13" s="153">
        <v>0.32144662699999998</v>
      </c>
      <c r="AK13" s="95">
        <v>0.3756931</v>
      </c>
      <c r="AL13" s="96">
        <v>0.36588973000000002</v>
      </c>
      <c r="AM13" s="17">
        <f t="shared" si="28"/>
        <v>0.3543431523333333</v>
      </c>
      <c r="AN13" s="95">
        <f t="shared" si="21"/>
        <v>35.434315233333329</v>
      </c>
      <c r="AO13" s="327">
        <f t="shared" si="22"/>
        <v>1771.7157616666664</v>
      </c>
      <c r="AP13" s="95">
        <f t="shared" si="6"/>
        <v>2.8907828526096649E-2</v>
      </c>
      <c r="AQ13" s="292">
        <f>((AK13-AJ13)/((AK13+AJ13)/2))*100</f>
        <v>15.562582621259805</v>
      </c>
      <c r="AR13" s="14">
        <f t="shared" si="23"/>
        <v>8.1581451019273086</v>
      </c>
      <c r="AZ13" s="112" t="s">
        <v>215</v>
      </c>
      <c r="BA13" s="181">
        <v>0.52273259999999999</v>
      </c>
      <c r="BB13" s="105">
        <v>0.45010509999999998</v>
      </c>
      <c r="BC13" s="106">
        <v>0.49640155000000002</v>
      </c>
      <c r="BD13" s="47">
        <f t="shared" si="7"/>
        <v>0.48974641666666668</v>
      </c>
      <c r="BE13" s="105">
        <f t="shared" si="29"/>
        <v>244.87320833333334</v>
      </c>
      <c r="BF13" s="335">
        <f t="shared" si="24"/>
        <v>36730.981249999997</v>
      </c>
      <c r="BG13" s="105">
        <f t="shared" si="8"/>
        <v>3.6768281695312252E-2</v>
      </c>
      <c r="BH13" s="292">
        <f>((BA13-BB13)/((BA13+BB13)/2))*100</f>
        <v>14.931061984953917</v>
      </c>
      <c r="BI13" s="2">
        <f t="shared" si="25"/>
        <v>7.5076162773310582</v>
      </c>
      <c r="BJ13" s="181">
        <v>0.21444969</v>
      </c>
      <c r="BK13" s="105">
        <v>0.24042973000000001</v>
      </c>
      <c r="BL13" s="106">
        <v>0.24051728999999999</v>
      </c>
      <c r="BM13" s="47">
        <f t="shared" si="9"/>
        <v>0.23179890333333333</v>
      </c>
      <c r="BN13" s="105">
        <f t="shared" si="10"/>
        <v>231.79890333333333</v>
      </c>
      <c r="BO13" s="335">
        <f t="shared" si="26"/>
        <v>34769.835500000001</v>
      </c>
      <c r="BP13" s="105">
        <f t="shared" si="11"/>
        <v>1.5024923266111325E-2</v>
      </c>
      <c r="BQ13" s="292">
        <f>((BL13-BJ13)/((BL13+BJ13)/2))*100</f>
        <v>11.459117318799706</v>
      </c>
      <c r="BR13" s="2">
        <f t="shared" si="12"/>
        <v>6.4818784946989432</v>
      </c>
    </row>
    <row r="14" spans="2:79">
      <c r="B14" s="76" t="s">
        <v>24</v>
      </c>
      <c r="C14" s="206">
        <v>0.18687771</v>
      </c>
      <c r="D14" s="207">
        <v>0.16215789999999999</v>
      </c>
      <c r="E14" s="208">
        <v>0.19812667</v>
      </c>
      <c r="F14" s="206">
        <f t="shared" si="0"/>
        <v>0.18238742666666666</v>
      </c>
      <c r="G14" s="207">
        <f t="shared" si="13"/>
        <v>9.1193713333333335</v>
      </c>
      <c r="H14" s="222">
        <f t="shared" si="14"/>
        <v>455.96856666666667</v>
      </c>
      <c r="I14" s="207">
        <f t="shared" si="1"/>
        <v>1.8400002367892063E-2</v>
      </c>
      <c r="J14" s="292">
        <f>((E14-D14)/((E14+D14)/2))*100</f>
        <v>19.966866746472107</v>
      </c>
      <c r="K14" s="209">
        <f t="shared" si="2"/>
        <v>10.088416018676615</v>
      </c>
      <c r="L14" s="210">
        <v>9.7306160000000003E-2</v>
      </c>
      <c r="M14" s="207">
        <v>9.2093300000000003E-2</v>
      </c>
      <c r="N14" s="208">
        <v>9.6910969999999999E-2</v>
      </c>
      <c r="O14" s="206">
        <f t="shared" si="27"/>
        <v>9.5436809999999997E-2</v>
      </c>
      <c r="P14" s="207">
        <f t="shared" si="15"/>
        <v>9.5436809999999994</v>
      </c>
      <c r="Q14" s="325">
        <f t="shared" si="16"/>
        <v>477.18404999999996</v>
      </c>
      <c r="R14" s="207">
        <f t="shared" si="3"/>
        <v>2.9022987654788389E-3</v>
      </c>
      <c r="S14" s="207">
        <f>((L14-M14)/((L14+M14)/2))*100</f>
        <v>5.504619706941086</v>
      </c>
      <c r="T14" s="209">
        <f t="shared" si="17"/>
        <v>3.0410684991240164</v>
      </c>
      <c r="Z14" s="86" t="s">
        <v>186</v>
      </c>
      <c r="AA14" s="153">
        <v>0.89831525000000001</v>
      </c>
      <c r="AB14" s="95">
        <v>0.79408425000000005</v>
      </c>
      <c r="AC14" s="96">
        <v>0.71940815000000002</v>
      </c>
      <c r="AD14" s="17">
        <f t="shared" si="4"/>
        <v>0.80393588333333332</v>
      </c>
      <c r="AE14" s="95">
        <f t="shared" si="18"/>
        <v>40.196794166666663</v>
      </c>
      <c r="AF14" s="326">
        <f t="shared" si="19"/>
        <v>2009.8397083333332</v>
      </c>
      <c r="AG14" s="95">
        <f t="shared" si="5"/>
        <v>8.9859493750539962E-2</v>
      </c>
      <c r="AH14" s="292">
        <f>((AA14-AC14)/((AA14+AC14)/2))*100</f>
        <v>22.118379446078357</v>
      </c>
      <c r="AI14" s="21">
        <f t="shared" si="20"/>
        <v>11.177445317897549</v>
      </c>
      <c r="AJ14" s="153">
        <v>0.3782394</v>
      </c>
      <c r="AK14" s="95">
        <v>0.39171420000000001</v>
      </c>
      <c r="AL14" s="96">
        <v>0.46428233000000002</v>
      </c>
      <c r="AM14" s="17">
        <f t="shared" si="28"/>
        <v>0.41141197666666668</v>
      </c>
      <c r="AN14" s="95">
        <f t="shared" si="21"/>
        <v>41.14119766666667</v>
      </c>
      <c r="AO14" s="327">
        <f t="shared" si="22"/>
        <v>2057.0598833333333</v>
      </c>
      <c r="AP14" s="95">
        <f t="shared" si="6"/>
        <v>4.6280106470854558E-2</v>
      </c>
      <c r="AQ14" s="292">
        <f>((AL14-AJ14)/((AL14+AJ14)/2))*100</f>
        <v>20.425094555127977</v>
      </c>
      <c r="AR14" s="193">
        <f t="shared" si="23"/>
        <v>11.249090715789134</v>
      </c>
      <c r="AZ14" s="112" t="s">
        <v>216</v>
      </c>
      <c r="BA14" s="568">
        <v>0.44590797999999998</v>
      </c>
      <c r="BB14" s="105">
        <v>0.80724940000000001</v>
      </c>
      <c r="BC14" s="106">
        <v>0.85195975999999995</v>
      </c>
      <c r="BD14" s="47">
        <f t="shared" si="7"/>
        <v>0.70170571333333331</v>
      </c>
      <c r="BE14" s="105">
        <f t="shared" si="29"/>
        <v>350.85285666666664</v>
      </c>
      <c r="BF14" s="335">
        <f t="shared" si="24"/>
        <v>52627.928499999995</v>
      </c>
      <c r="BG14" s="187">
        <f t="shared" si="8"/>
        <v>0.22265245194402347</v>
      </c>
      <c r="BH14" s="292">
        <f>((BC14-BA14)/((BC14+BA14)/2))*100</f>
        <v>62.572135431920039</v>
      </c>
      <c r="BI14" s="194">
        <f t="shared" si="25"/>
        <v>31.73017515937714</v>
      </c>
      <c r="BJ14" s="181">
        <v>0.44663282999999998</v>
      </c>
      <c r="BK14" s="105">
        <v>0.44309061999999999</v>
      </c>
      <c r="BL14" s="106">
        <v>0.44000432</v>
      </c>
      <c r="BM14" s="47">
        <f t="shared" si="9"/>
        <v>0.44324258999999994</v>
      </c>
      <c r="BN14" s="105">
        <f t="shared" si="10"/>
        <v>443.24258999999995</v>
      </c>
      <c r="BO14" s="334">
        <f t="shared" si="26"/>
        <v>66486.388499999986</v>
      </c>
      <c r="BP14" s="105">
        <f t="shared" si="11"/>
        <v>3.3168671010005693E-3</v>
      </c>
      <c r="BQ14" s="300">
        <f>((BJ14-BL14)/((BJ14+BL14)/2))*100</f>
        <v>1.4952024060800917</v>
      </c>
      <c r="BR14" s="2">
        <f t="shared" si="12"/>
        <v>0.74831868052223272</v>
      </c>
    </row>
    <row r="15" spans="2:79">
      <c r="B15" s="76" t="s">
        <v>25</v>
      </c>
      <c r="C15" s="206">
        <v>0.64348393999999998</v>
      </c>
      <c r="D15" s="207">
        <v>0.67747164000000004</v>
      </c>
      <c r="E15" s="208">
        <v>0.67930749999999995</v>
      </c>
      <c r="F15" s="206">
        <f t="shared" si="0"/>
        <v>0.66675435999999999</v>
      </c>
      <c r="G15" s="207">
        <f t="shared" si="13"/>
        <v>33.337718000000002</v>
      </c>
      <c r="H15" s="222">
        <f t="shared" si="14"/>
        <v>1666.8859000000002</v>
      </c>
      <c r="I15" s="207">
        <f t="shared" si="1"/>
        <v>2.0173669242782792E-2</v>
      </c>
      <c r="J15" s="207">
        <f>((E15-C15)/((E15+C15)/2))*100</f>
        <v>5.4163580012280654</v>
      </c>
      <c r="K15" s="209">
        <f t="shared" si="2"/>
        <v>3.0256523921017617</v>
      </c>
      <c r="L15" s="210">
        <v>0.33124858000000001</v>
      </c>
      <c r="M15" s="207">
        <v>0.32591429999999999</v>
      </c>
      <c r="N15" s="208">
        <v>0.31596651999999997</v>
      </c>
      <c r="O15" s="206">
        <f t="shared" si="27"/>
        <v>0.32437646666666664</v>
      </c>
      <c r="P15" s="207">
        <f t="shared" si="15"/>
        <v>32.437646666666666</v>
      </c>
      <c r="Q15" s="222">
        <f t="shared" si="16"/>
        <v>1621.8823333333332</v>
      </c>
      <c r="R15" s="207">
        <f t="shared" si="3"/>
        <v>7.756225756238252E-3</v>
      </c>
      <c r="S15" s="207">
        <f>((L15-N15)/((L15+N15)/2))*100</f>
        <v>4.7224052714468634</v>
      </c>
      <c r="T15" s="209">
        <f t="shared" si="17"/>
        <v>2.3911185160693691</v>
      </c>
      <c r="Z15" s="86" t="s">
        <v>187</v>
      </c>
      <c r="AA15" s="153">
        <v>0.16242063000000001</v>
      </c>
      <c r="AB15" s="95">
        <v>0.17501286999999999</v>
      </c>
      <c r="AC15" s="96">
        <v>0.15616590999999999</v>
      </c>
      <c r="AD15" s="17">
        <f t="shared" si="4"/>
        <v>0.16453313666666666</v>
      </c>
      <c r="AE15" s="95">
        <f t="shared" si="18"/>
        <v>8.2266568333333332</v>
      </c>
      <c r="AF15" s="327">
        <f t="shared" si="19"/>
        <v>411.33284166666664</v>
      </c>
      <c r="AG15" s="95">
        <f t="shared" si="5"/>
        <v>9.5994264736458737E-3</v>
      </c>
      <c r="AH15" s="292">
        <f>((AB15-AC15)/((AB15+AC15)/2))*100</f>
        <v>11.381743721623709</v>
      </c>
      <c r="AI15" s="14">
        <f t="shared" si="20"/>
        <v>5.8343423508017604</v>
      </c>
      <c r="AJ15" s="153">
        <v>7.0421435000000004E-2</v>
      </c>
      <c r="AK15" s="95">
        <v>7.8828640000000005E-2</v>
      </c>
      <c r="AL15" s="96">
        <v>8.5829260000000004E-2</v>
      </c>
      <c r="AM15" s="17">
        <f t="shared" si="28"/>
        <v>7.8359778333333338E-2</v>
      </c>
      <c r="AN15" s="95">
        <f t="shared" si="21"/>
        <v>7.8359778333333336</v>
      </c>
      <c r="AO15" s="327">
        <f t="shared" si="22"/>
        <v>391.79889166666669</v>
      </c>
      <c r="AP15" s="95">
        <f t="shared" si="6"/>
        <v>7.7146057095945179E-3</v>
      </c>
      <c r="AQ15" s="292">
        <f>((AL15-AJ15)/((AL15+AJ15)/2))*100</f>
        <v>19.721928276863025</v>
      </c>
      <c r="AR15" s="14">
        <f t="shared" si="23"/>
        <v>9.8451091538027153</v>
      </c>
      <c r="AZ15" s="112" t="s">
        <v>217</v>
      </c>
      <c r="BA15" s="181">
        <v>0.61801099999999998</v>
      </c>
      <c r="BB15" s="105">
        <v>0.66508250000000002</v>
      </c>
      <c r="BC15" s="106">
        <v>0.60410209999999998</v>
      </c>
      <c r="BD15" s="47">
        <f t="shared" si="7"/>
        <v>0.62906519999999999</v>
      </c>
      <c r="BE15" s="105">
        <f t="shared" si="29"/>
        <v>314.5326</v>
      </c>
      <c r="BF15" s="335">
        <f t="shared" si="24"/>
        <v>47179.89</v>
      </c>
      <c r="BG15" s="105">
        <f t="shared" si="8"/>
        <v>3.1957765867938914E-2</v>
      </c>
      <c r="BH15" s="300">
        <f>((BB15-BC15)/((BB15+BC15)/2))*100</f>
        <v>9.6093822758328535</v>
      </c>
      <c r="BI15" s="2">
        <f t="shared" si="25"/>
        <v>5.0801992969789005</v>
      </c>
      <c r="BJ15" s="181">
        <v>0.37178105</v>
      </c>
      <c r="BK15" s="105">
        <v>0.30339146</v>
      </c>
      <c r="BL15" s="106">
        <v>0.34932580000000002</v>
      </c>
      <c r="BM15" s="47">
        <f t="shared" si="9"/>
        <v>0.34149943666666666</v>
      </c>
      <c r="BN15" s="105">
        <f t="shared" si="10"/>
        <v>341.49943666666667</v>
      </c>
      <c r="BO15" s="335">
        <f t="shared" si="26"/>
        <v>51224.915500000003</v>
      </c>
      <c r="BP15" s="105">
        <f t="shared" si="11"/>
        <v>3.4860048441748233E-2</v>
      </c>
      <c r="BQ15" s="292">
        <f>((BJ15-BK15)/((BJ15+BK15)/2))*100</f>
        <v>20.258404774210963</v>
      </c>
      <c r="BR15" s="2">
        <f t="shared" si="12"/>
        <v>10.20793731960814</v>
      </c>
    </row>
    <row r="16" spans="2:79">
      <c r="B16" s="76" t="s">
        <v>26</v>
      </c>
      <c r="C16" s="206">
        <v>0.28043692999999997</v>
      </c>
      <c r="D16" s="207">
        <v>0.32014145999999999</v>
      </c>
      <c r="E16" s="208">
        <v>0.26402490000000001</v>
      </c>
      <c r="F16" s="206">
        <f t="shared" si="0"/>
        <v>0.28820109666666666</v>
      </c>
      <c r="G16" s="207">
        <f t="shared" si="13"/>
        <v>14.410054833333334</v>
      </c>
      <c r="H16" s="222">
        <f t="shared" si="14"/>
        <v>720.50274166666668</v>
      </c>
      <c r="I16" s="207">
        <f t="shared" si="1"/>
        <v>2.8852708531076129E-2</v>
      </c>
      <c r="J16" s="292">
        <f>((D16-E16)/((D16+E16)/2))*100</f>
        <v>19.212527061640451</v>
      </c>
      <c r="K16" s="209">
        <f t="shared" si="2"/>
        <v>10.011311152104035</v>
      </c>
      <c r="L16" s="210">
        <v>0.15337507</v>
      </c>
      <c r="M16" s="207">
        <v>0.15699117000000001</v>
      </c>
      <c r="N16" s="208">
        <v>0.14760596000000001</v>
      </c>
      <c r="O16" s="206">
        <f t="shared" si="27"/>
        <v>0.15265740000000003</v>
      </c>
      <c r="P16" s="207">
        <f t="shared" si="15"/>
        <v>15.265740000000003</v>
      </c>
      <c r="Q16" s="325">
        <f t="shared" si="16"/>
        <v>763.28700000000015</v>
      </c>
      <c r="R16" s="207">
        <f t="shared" si="3"/>
        <v>4.7335852540859574E-3</v>
      </c>
      <c r="S16" s="207">
        <f>((M16-N16)/((M16+N16)/2))*100</f>
        <v>6.1623758569228837</v>
      </c>
      <c r="T16" s="209">
        <f t="shared" si="17"/>
        <v>3.100789908701417</v>
      </c>
      <c r="Z16" s="86" t="s">
        <v>188</v>
      </c>
      <c r="AA16" s="153">
        <v>0.65241223999999998</v>
      </c>
      <c r="AB16" s="95">
        <v>0.61949699999999996</v>
      </c>
      <c r="AC16" s="96">
        <v>0.56981784000000002</v>
      </c>
      <c r="AD16" s="17">
        <f t="shared" si="4"/>
        <v>0.61390902666666658</v>
      </c>
      <c r="AE16" s="95">
        <f t="shared" si="18"/>
        <v>30.695451333333327</v>
      </c>
      <c r="AF16" s="326">
        <f t="shared" si="19"/>
        <v>1534.7725666666663</v>
      </c>
      <c r="AG16" s="95">
        <f t="shared" si="5"/>
        <v>4.1579776482330098E-2</v>
      </c>
      <c r="AH16" s="292">
        <f>((AA16-AC16)/((AA16+AC16)/2))*100</f>
        <v>13.515360381246705</v>
      </c>
      <c r="AI16" s="21">
        <f t="shared" si="20"/>
        <v>6.7729540821537091</v>
      </c>
      <c r="AJ16" s="153">
        <v>0.35565752</v>
      </c>
      <c r="AK16" s="95">
        <v>0.32904765000000002</v>
      </c>
      <c r="AL16" s="96">
        <v>0.33140364</v>
      </c>
      <c r="AM16" s="17">
        <f t="shared" si="28"/>
        <v>0.33870293666666668</v>
      </c>
      <c r="AN16" s="95">
        <f t="shared" si="21"/>
        <v>33.870293666666669</v>
      </c>
      <c r="AO16" s="327">
        <f t="shared" si="22"/>
        <v>1693.5146833333333</v>
      </c>
      <c r="AP16" s="95">
        <f t="shared" si="6"/>
        <v>1.4730278144869945E-2</v>
      </c>
      <c r="AQ16" s="301">
        <f>((AJ16-AK16)/((AJ16+AK16)/2))*100</f>
        <v>7.7726505263572001</v>
      </c>
      <c r="AR16" s="21">
        <f t="shared" si="23"/>
        <v>4.3490258129549959</v>
      </c>
      <c r="AZ16" s="112" t="s">
        <v>218</v>
      </c>
      <c r="BA16" s="181">
        <v>0.48698580000000002</v>
      </c>
      <c r="BB16" s="105">
        <v>0.52168049999999999</v>
      </c>
      <c r="BC16" s="106">
        <v>0.50574403999999995</v>
      </c>
      <c r="BD16" s="47">
        <f t="shared" si="7"/>
        <v>0.50480344666666666</v>
      </c>
      <c r="BE16" s="105">
        <f t="shared" si="29"/>
        <v>252.40172333333334</v>
      </c>
      <c r="BF16" s="335">
        <f t="shared" si="24"/>
        <v>37860.258500000004</v>
      </c>
      <c r="BG16" s="105">
        <f t="shared" si="8"/>
        <v>1.7366464490118094E-2</v>
      </c>
      <c r="BH16" s="300">
        <f>((BB16-BA16)/((BB16+BA16)/2))*100</f>
        <v>6.879321734056143</v>
      </c>
      <c r="BI16" s="2">
        <f t="shared" si="25"/>
        <v>3.4402428519046091</v>
      </c>
      <c r="BJ16" s="181">
        <v>0.25743735000000001</v>
      </c>
      <c r="BK16" s="105">
        <v>0.2380159</v>
      </c>
      <c r="BL16" s="106">
        <v>0.22790323000000001</v>
      </c>
      <c r="BM16" s="47">
        <f t="shared" si="9"/>
        <v>0.2411188266666667</v>
      </c>
      <c r="BN16" s="105">
        <f t="shared" si="10"/>
        <v>241.11882666666671</v>
      </c>
      <c r="BO16" s="334">
        <f t="shared" si="26"/>
        <v>36167.824000000008</v>
      </c>
      <c r="BP16" s="105">
        <f t="shared" si="11"/>
        <v>1.5009569496412391E-2</v>
      </c>
      <c r="BQ16" s="292">
        <f>((BJ16-BL16)/((BJ16+BL16)/2))*100</f>
        <v>12.170472124956044</v>
      </c>
      <c r="BR16" s="2">
        <f t="shared" si="12"/>
        <v>6.2249678732728251</v>
      </c>
    </row>
    <row r="17" spans="2:70">
      <c r="B17" s="76" t="s">
        <v>27</v>
      </c>
      <c r="C17" s="206">
        <v>0.37133675999999999</v>
      </c>
      <c r="D17" s="207">
        <v>0.39790690000000001</v>
      </c>
      <c r="E17" s="208">
        <v>0.41690339999999998</v>
      </c>
      <c r="F17" s="206">
        <f t="shared" si="0"/>
        <v>0.39538235333333333</v>
      </c>
      <c r="G17" s="207">
        <f t="shared" si="13"/>
        <v>19.769117666666666</v>
      </c>
      <c r="H17" s="222">
        <f t="shared" si="14"/>
        <v>988.4558833333333</v>
      </c>
      <c r="I17" s="207">
        <f t="shared" si="1"/>
        <v>2.2887980953472793E-2</v>
      </c>
      <c r="J17" s="292">
        <f>((E17-C17)/((E17+C17)/2))*100</f>
        <v>11.561613404726803</v>
      </c>
      <c r="K17" s="209">
        <f t="shared" si="2"/>
        <v>5.7888220757735027</v>
      </c>
      <c r="L17" s="210">
        <v>0.20171225000000001</v>
      </c>
      <c r="M17" s="207">
        <v>0.20518439999999999</v>
      </c>
      <c r="N17" s="208">
        <v>0.23602687999999999</v>
      </c>
      <c r="O17" s="206">
        <f t="shared" si="27"/>
        <v>0.21430784333333333</v>
      </c>
      <c r="P17" s="207">
        <f t="shared" si="15"/>
        <v>21.430784333333332</v>
      </c>
      <c r="Q17" s="222">
        <f t="shared" si="16"/>
        <v>1071.5392166666666</v>
      </c>
      <c r="R17" s="207">
        <f t="shared" si="3"/>
        <v>1.8889186634199823E-2</v>
      </c>
      <c r="S17" s="292">
        <f>((N17-L17)/((N17+L17)/2))*100</f>
        <v>15.678118609135987</v>
      </c>
      <c r="T17" s="209">
        <f t="shared" si="17"/>
        <v>8.8140435461429565</v>
      </c>
      <c r="Z17" s="86" t="s">
        <v>189</v>
      </c>
      <c r="AA17" s="153">
        <v>0.15997248999999999</v>
      </c>
      <c r="AB17" s="95">
        <v>0.13796291999999999</v>
      </c>
      <c r="AC17" s="96">
        <v>0.14255066</v>
      </c>
      <c r="AD17" s="17">
        <f t="shared" si="4"/>
        <v>0.14682869000000001</v>
      </c>
      <c r="AE17" s="95">
        <f t="shared" si="18"/>
        <v>7.341434500000001</v>
      </c>
      <c r="AF17" s="327">
        <f t="shared" si="19"/>
        <v>367.07172500000007</v>
      </c>
      <c r="AG17" s="95">
        <f t="shared" si="5"/>
        <v>1.1611694467514207E-2</v>
      </c>
      <c r="AH17" s="292">
        <f>((AA17-AB17)/((AA17+AB17)/2))*100</f>
        <v>14.774725837388718</v>
      </c>
      <c r="AI17" s="14">
        <f t="shared" si="20"/>
        <v>7.9083280437319203</v>
      </c>
      <c r="AJ17" s="153">
        <v>7.6301419999999995E-2</v>
      </c>
      <c r="AK17" s="95">
        <v>8.4341970000000002E-2</v>
      </c>
      <c r="AL17" s="96">
        <v>9.3222305000000005E-2</v>
      </c>
      <c r="AM17" s="17">
        <f t="shared" si="28"/>
        <v>8.4621898333333334E-2</v>
      </c>
      <c r="AN17" s="95">
        <f t="shared" si="21"/>
        <v>8.4621898333333334</v>
      </c>
      <c r="AO17" s="327">
        <f t="shared" si="22"/>
        <v>423.10949166666666</v>
      </c>
      <c r="AP17" s="95">
        <f t="shared" si="6"/>
        <v>8.4639150042789546E-3</v>
      </c>
      <c r="AQ17" s="292">
        <f>((AL17-AJ17)/((AL17+AJ17)/2))*100</f>
        <v>19.962851807320785</v>
      </c>
      <c r="AR17" s="14">
        <f t="shared" si="23"/>
        <v>10.002038681451964</v>
      </c>
      <c r="AZ17" s="112" t="s">
        <v>219</v>
      </c>
      <c r="BA17" s="181">
        <v>0.60524975999999997</v>
      </c>
      <c r="BB17" s="105">
        <v>0.60664180000000001</v>
      </c>
      <c r="BC17" s="106">
        <v>0.58360389999999995</v>
      </c>
      <c r="BD17" s="47">
        <f t="shared" si="7"/>
        <v>0.59849848666666661</v>
      </c>
      <c r="BE17" s="105">
        <f t="shared" si="29"/>
        <v>299.24924333333331</v>
      </c>
      <c r="BF17" s="335">
        <f t="shared" si="24"/>
        <v>44887.386499999993</v>
      </c>
      <c r="BG17" s="105">
        <f t="shared" si="8"/>
        <v>1.2917855000677702E-2</v>
      </c>
      <c r="BH17" s="300">
        <f>((BB17-BC17)/((BB17+BC17)/2))*100</f>
        <v>3.8711166946454934</v>
      </c>
      <c r="BI17" s="2">
        <f t="shared" si="25"/>
        <v>2.1583772204042839</v>
      </c>
      <c r="BJ17" s="181">
        <v>0.30028215000000003</v>
      </c>
      <c r="BK17" s="105">
        <v>0.27952983999999997</v>
      </c>
      <c r="BL17" s="106">
        <v>0.30643789999999999</v>
      </c>
      <c r="BM17" s="47">
        <f t="shared" si="9"/>
        <v>0.29541663000000001</v>
      </c>
      <c r="BN17" s="105">
        <f t="shared" si="10"/>
        <v>295.41663</v>
      </c>
      <c r="BO17" s="335">
        <f t="shared" si="26"/>
        <v>44312.494500000001</v>
      </c>
      <c r="BP17" s="105">
        <f t="shared" si="11"/>
        <v>1.4098435618667072E-2</v>
      </c>
      <c r="BQ17" s="300">
        <f>((BL17-BK17)/((BL17+BK17)/2))*100</f>
        <v>9.1841438233442716</v>
      </c>
      <c r="BR17" s="2">
        <f t="shared" si="12"/>
        <v>4.7723906466156194</v>
      </c>
    </row>
    <row r="18" spans="2:70">
      <c r="B18" s="76" t="s">
        <v>28</v>
      </c>
      <c r="C18" s="206">
        <v>0.62861420000000001</v>
      </c>
      <c r="D18" s="207">
        <v>0.61377466000000003</v>
      </c>
      <c r="E18" s="208">
        <v>0.62817710000000004</v>
      </c>
      <c r="F18" s="206">
        <f t="shared" si="0"/>
        <v>0.62352198666666669</v>
      </c>
      <c r="G18" s="207">
        <f t="shared" si="13"/>
        <v>31.176099333333333</v>
      </c>
      <c r="H18" s="222">
        <f t="shared" si="14"/>
        <v>1558.8049666666666</v>
      </c>
      <c r="I18" s="207">
        <f t="shared" si="1"/>
        <v>8.4442611851205385E-3</v>
      </c>
      <c r="J18" s="207">
        <f>((C18-D18)/((C18+D18)/2))*100</f>
        <v>2.3888720315795462</v>
      </c>
      <c r="K18" s="209">
        <f t="shared" si="2"/>
        <v>1.3542844303315351</v>
      </c>
      <c r="L18" s="210">
        <v>0.32603179999999998</v>
      </c>
      <c r="M18" s="207">
        <v>0.32077104000000001</v>
      </c>
      <c r="N18" s="208">
        <v>0.35077340000000001</v>
      </c>
      <c r="O18" s="206">
        <f t="shared" si="27"/>
        <v>0.33252541333333335</v>
      </c>
      <c r="P18" s="207">
        <f t="shared" si="15"/>
        <v>33.252541333333333</v>
      </c>
      <c r="Q18" s="325">
        <f t="shared" si="16"/>
        <v>1662.6270666666667</v>
      </c>
      <c r="R18" s="207">
        <f t="shared" si="3"/>
        <v>1.6020632384039453E-2</v>
      </c>
      <c r="S18" s="207">
        <f>((N18-M18)/((N18+M18)/2))*100</f>
        <v>8.9353312194796839</v>
      </c>
      <c r="T18" s="209">
        <f t="shared" si="17"/>
        <v>4.8178670686982636</v>
      </c>
      <c r="Z18" s="86" t="s">
        <v>190</v>
      </c>
      <c r="AA18" s="153">
        <v>0.39562055000000002</v>
      </c>
      <c r="AB18" s="95">
        <v>0.45852417000000001</v>
      </c>
      <c r="AC18" s="96">
        <v>0.40915780000000002</v>
      </c>
      <c r="AD18" s="17">
        <f t="shared" si="4"/>
        <v>0.42110084000000003</v>
      </c>
      <c r="AE18" s="95">
        <f t="shared" si="18"/>
        <v>21.055042</v>
      </c>
      <c r="AF18" s="326">
        <f t="shared" si="19"/>
        <v>1052.7520999999999</v>
      </c>
      <c r="AG18" s="95">
        <f t="shared" si="5"/>
        <v>3.3108813110821415E-2</v>
      </c>
      <c r="AH18" s="292">
        <f>((AB18-AA18)/((AB18+AA18)/2))*100</f>
        <v>14.72903093049618</v>
      </c>
      <c r="AI18" s="21">
        <f t="shared" si="20"/>
        <v>7.8624429034198586</v>
      </c>
      <c r="AJ18" s="153">
        <v>0.19934703000000001</v>
      </c>
      <c r="AK18" s="95">
        <v>0.21940525</v>
      </c>
      <c r="AL18" s="96">
        <v>0.23291375</v>
      </c>
      <c r="AM18" s="17">
        <f t="shared" si="28"/>
        <v>0.21722200999999999</v>
      </c>
      <c r="AN18" s="95">
        <f t="shared" si="21"/>
        <v>21.722200999999998</v>
      </c>
      <c r="AO18" s="327">
        <f t="shared" si="22"/>
        <v>1086.11005</v>
      </c>
      <c r="AP18" s="95">
        <f t="shared" si="6"/>
        <v>1.68895256168668E-2</v>
      </c>
      <c r="AQ18" s="292">
        <f>((AL18-AJ18)/((AL18+AJ18)/2))*100</f>
        <v>15.53077288205513</v>
      </c>
      <c r="AR18" s="21">
        <f t="shared" si="23"/>
        <v>7.7752367805024907</v>
      </c>
      <c r="AZ18" s="112" t="s">
        <v>220</v>
      </c>
      <c r="BA18" s="181">
        <v>0.81350089999999997</v>
      </c>
      <c r="BB18" s="105">
        <v>0.73155519999999996</v>
      </c>
      <c r="BC18" s="106">
        <v>0.74018589999999995</v>
      </c>
      <c r="BD18" s="47">
        <f t="shared" si="7"/>
        <v>0.76174733333333344</v>
      </c>
      <c r="BE18" s="105">
        <f t="shared" si="29"/>
        <v>380.87366666666674</v>
      </c>
      <c r="BF18" s="335">
        <f t="shared" si="24"/>
        <v>57131.05000000001</v>
      </c>
      <c r="BG18" s="105">
        <f t="shared" si="8"/>
        <v>4.502716949424352E-2</v>
      </c>
      <c r="BH18" s="300">
        <f>((BA18-BB18)/((BA18+BB18)/2))*100</f>
        <v>10.607472440644713</v>
      </c>
      <c r="BI18" s="2">
        <f t="shared" si="25"/>
        <v>5.9110373642148417</v>
      </c>
      <c r="BJ18" s="181">
        <v>0.42135159999999999</v>
      </c>
      <c r="BK18" s="105">
        <v>0.37105833999999999</v>
      </c>
      <c r="BL18" s="106">
        <v>0.39540619999999999</v>
      </c>
      <c r="BM18" s="47">
        <f t="shared" si="9"/>
        <v>0.39593871333333336</v>
      </c>
      <c r="BN18" s="105">
        <f t="shared" si="10"/>
        <v>395.93871333333334</v>
      </c>
      <c r="BO18" s="334">
        <f t="shared" si="26"/>
        <v>59390.807000000001</v>
      </c>
      <c r="BP18" s="105">
        <f t="shared" si="11"/>
        <v>2.5150858398761133E-2</v>
      </c>
      <c r="BQ18" s="292">
        <f>((BJ18-BK18)/((BJ18+BK18)/2))*100</f>
        <v>12.693747885090891</v>
      </c>
      <c r="BR18" s="2">
        <f t="shared" si="12"/>
        <v>6.3522099637645439</v>
      </c>
    </row>
    <row r="19" spans="2:70">
      <c r="B19" s="76" t="s">
        <v>29</v>
      </c>
      <c r="C19" s="206">
        <v>0.16130017999999999</v>
      </c>
      <c r="D19" s="207">
        <v>0.17592745000000001</v>
      </c>
      <c r="E19" s="208">
        <v>0.19995567</v>
      </c>
      <c r="F19" s="206">
        <f t="shared" si="0"/>
        <v>0.1790611</v>
      </c>
      <c r="G19" s="207">
        <f t="shared" si="13"/>
        <v>8.9530550000000009</v>
      </c>
      <c r="H19" s="222">
        <f t="shared" si="14"/>
        <v>447.65275000000003</v>
      </c>
      <c r="I19" s="207">
        <f t="shared" si="1"/>
        <v>1.9517339688771628E-2</v>
      </c>
      <c r="J19" s="292">
        <f>((E19-C19)/((E19+C19)/2))*100</f>
        <v>21.400616765098761</v>
      </c>
      <c r="K19" s="209">
        <f t="shared" si="2"/>
        <v>10.899821172086863</v>
      </c>
      <c r="L19" s="210">
        <v>0.11045399</v>
      </c>
      <c r="M19" s="207">
        <v>9.7628999999999994E-2</v>
      </c>
      <c r="N19" s="208">
        <v>0.102032594</v>
      </c>
      <c r="O19" s="206">
        <f t="shared" si="27"/>
        <v>0.10337186133333333</v>
      </c>
      <c r="P19" s="207">
        <f t="shared" si="15"/>
        <v>10.337186133333333</v>
      </c>
      <c r="Q19" s="222">
        <f t="shared" si="16"/>
        <v>516.85930666666661</v>
      </c>
      <c r="R19" s="207">
        <f t="shared" si="3"/>
        <v>6.5165420176367603E-3</v>
      </c>
      <c r="S19" s="292">
        <f>((L19-M19)/((L19+M19)/2))*100</f>
        <v>12.326802878024781</v>
      </c>
      <c r="T19" s="209">
        <f t="shared" si="17"/>
        <v>6.303980535499397</v>
      </c>
      <c r="Z19" s="86" t="s">
        <v>191</v>
      </c>
      <c r="AA19" s="153">
        <v>0.13596849</v>
      </c>
      <c r="AB19" s="95">
        <v>0.12717916000000001</v>
      </c>
      <c r="AC19" s="96">
        <v>0.12560968</v>
      </c>
      <c r="AD19" s="17">
        <f t="shared" si="4"/>
        <v>0.12958577666666668</v>
      </c>
      <c r="AE19" s="95">
        <f t="shared" si="18"/>
        <v>6.4792888333333343</v>
      </c>
      <c r="AF19" s="327">
        <f t="shared" si="19"/>
        <v>323.96444166666669</v>
      </c>
      <c r="AG19" s="95">
        <f t="shared" si="5"/>
        <v>5.5830179105241353E-3</v>
      </c>
      <c r="AH19" s="301">
        <f>((AA19-AC19)/((AA19+AC19)/2))*100</f>
        <v>7.9202404390244006</v>
      </c>
      <c r="AI19" s="14">
        <f t="shared" si="20"/>
        <v>4.3083570235376412</v>
      </c>
      <c r="AJ19" s="153">
        <v>6.3524369999999997E-2</v>
      </c>
      <c r="AK19" s="95">
        <v>5.9378806999999999E-2</v>
      </c>
      <c r="AL19" s="96">
        <v>6.7512829999999996E-2</v>
      </c>
      <c r="AM19" s="17">
        <f t="shared" si="28"/>
        <v>6.3472002333333333E-2</v>
      </c>
      <c r="AN19" s="95">
        <f t="shared" si="21"/>
        <v>6.3472002333333331</v>
      </c>
      <c r="AO19" s="327">
        <f t="shared" si="22"/>
        <v>317.36001166666665</v>
      </c>
      <c r="AP19" s="95">
        <f t="shared" si="6"/>
        <v>4.067264353409589E-3</v>
      </c>
      <c r="AQ19" s="292">
        <f>((AL19-AK19)/((AL19+AK19)/2))*100</f>
        <v>12.82042409146317</v>
      </c>
      <c r="AR19" s="14">
        <f t="shared" si="23"/>
        <v>6.4079660383954833</v>
      </c>
      <c r="AZ19" s="112" t="s">
        <v>221</v>
      </c>
      <c r="BA19" s="181">
        <v>0.6309399</v>
      </c>
      <c r="BB19" s="105">
        <v>0.64330860000000001</v>
      </c>
      <c r="BC19" s="106">
        <v>0.61348760000000002</v>
      </c>
      <c r="BD19" s="47">
        <f t="shared" si="7"/>
        <v>0.62924536666666675</v>
      </c>
      <c r="BE19" s="105">
        <f t="shared" si="29"/>
        <v>314.62268333333338</v>
      </c>
      <c r="BF19" s="335">
        <f t="shared" si="24"/>
        <v>47193.402500000011</v>
      </c>
      <c r="BG19" s="105">
        <f t="shared" si="8"/>
        <v>1.4982542930468549E-2</v>
      </c>
      <c r="BH19" s="300">
        <f>((BB19-BC19)/((BB19+BC19)/2))*100</f>
        <v>4.7455585877805779</v>
      </c>
      <c r="BI19" s="2">
        <f t="shared" si="25"/>
        <v>2.3810334925207841</v>
      </c>
      <c r="BJ19" s="181">
        <v>0.32301235</v>
      </c>
      <c r="BK19" s="105">
        <v>0.31660354000000002</v>
      </c>
      <c r="BL19" s="106">
        <v>0.31124726000000003</v>
      </c>
      <c r="BM19" s="47">
        <f t="shared" si="9"/>
        <v>0.31695438333333331</v>
      </c>
      <c r="BN19" s="105">
        <f t="shared" si="10"/>
        <v>316.95438333333334</v>
      </c>
      <c r="BO19" s="335">
        <f t="shared" si="26"/>
        <v>47543.157500000001</v>
      </c>
      <c r="BP19" s="105">
        <f t="shared" si="11"/>
        <v>5.8903865713918306E-3</v>
      </c>
      <c r="BQ19" s="300">
        <f>((BJ19-BL19)/((BJ19+BL19)/2))*100</f>
        <v>3.7098657440917537</v>
      </c>
      <c r="BR19" s="2">
        <f t="shared" si="12"/>
        <v>1.8584335415853999</v>
      </c>
    </row>
    <row r="20" spans="2:70">
      <c r="B20" s="76" t="s">
        <v>30</v>
      </c>
      <c r="C20" s="206">
        <v>0.3342677</v>
      </c>
      <c r="D20" s="207">
        <v>0.35042815999999999</v>
      </c>
      <c r="E20" s="208">
        <v>0.38040679999999999</v>
      </c>
      <c r="F20" s="206">
        <f t="shared" si="0"/>
        <v>0.35503422000000001</v>
      </c>
      <c r="G20" s="207">
        <f t="shared" si="13"/>
        <v>17.751711</v>
      </c>
      <c r="H20" s="222">
        <f t="shared" si="14"/>
        <v>887.58555000000001</v>
      </c>
      <c r="I20" s="207">
        <f t="shared" si="1"/>
        <v>2.341187687361267E-2</v>
      </c>
      <c r="J20" s="292">
        <f>((E20-C20)/((E20+C20)/2))*100</f>
        <v>12.91192004192118</v>
      </c>
      <c r="K20" s="209">
        <f t="shared" si="2"/>
        <v>6.5942592445349835</v>
      </c>
      <c r="L20" s="210">
        <v>0.1719667</v>
      </c>
      <c r="M20" s="207">
        <v>0.15277046999999999</v>
      </c>
      <c r="N20" s="208">
        <v>0.17732742000000001</v>
      </c>
      <c r="O20" s="206">
        <f t="shared" si="27"/>
        <v>0.16735486333333335</v>
      </c>
      <c r="P20" s="207">
        <f t="shared" si="15"/>
        <v>16.735486333333334</v>
      </c>
      <c r="Q20" s="325">
        <f t="shared" si="16"/>
        <v>836.77431666666666</v>
      </c>
      <c r="R20" s="207">
        <f t="shared" si="3"/>
        <v>1.2911728250146592E-2</v>
      </c>
      <c r="S20" s="292">
        <f>((N20-M20)/((N20+M20)/2))*100</f>
        <v>14.87858647021344</v>
      </c>
      <c r="T20" s="209">
        <f t="shared" si="17"/>
        <v>7.7151795848497837</v>
      </c>
      <c r="Z20" s="86" t="s">
        <v>192</v>
      </c>
      <c r="AA20" s="153">
        <v>0.31690479999999999</v>
      </c>
      <c r="AB20" s="95">
        <v>0.33127603</v>
      </c>
      <c r="AC20" s="96">
        <v>0.30853303999999998</v>
      </c>
      <c r="AD20" s="17">
        <f t="shared" si="4"/>
        <v>0.3189046233333333</v>
      </c>
      <c r="AE20" s="95">
        <f t="shared" si="18"/>
        <v>15.945231166666666</v>
      </c>
      <c r="AF20" s="326">
        <f t="shared" si="19"/>
        <v>797.26155833333326</v>
      </c>
      <c r="AG20" s="95">
        <f t="shared" si="5"/>
        <v>1.1502624420471771E-2</v>
      </c>
      <c r="AH20" s="301">
        <f>((AB20-AC20)/((AB20+AC20)/2))*100</f>
        <v>7.1093052807144534</v>
      </c>
      <c r="AI20" s="21">
        <f t="shared" si="20"/>
        <v>3.6069167954484991</v>
      </c>
      <c r="AJ20" s="153">
        <v>0.16659326999999999</v>
      </c>
      <c r="AK20" s="95">
        <v>0.16420736999999999</v>
      </c>
      <c r="AL20" s="96">
        <v>0.14850298000000001</v>
      </c>
      <c r="AM20" s="17">
        <f t="shared" si="28"/>
        <v>0.15976787333333334</v>
      </c>
      <c r="AN20" s="95">
        <f t="shared" si="21"/>
        <v>15.976787333333334</v>
      </c>
      <c r="AO20" s="327">
        <f t="shared" si="22"/>
        <v>798.83936666666671</v>
      </c>
      <c r="AP20" s="95">
        <f t="shared" si="6"/>
        <v>9.8283516451657914E-3</v>
      </c>
      <c r="AQ20" s="292">
        <f>((AJ20-AL20)/((AJ20+AL20)/2))*100</f>
        <v>11.482389904671974</v>
      </c>
      <c r="AR20" s="21">
        <f t="shared" si="23"/>
        <v>6.1516445328531777</v>
      </c>
      <c r="AZ20" s="112" t="s">
        <v>222</v>
      </c>
      <c r="BA20" s="181">
        <v>0.78577220000000003</v>
      </c>
      <c r="BB20" s="105">
        <v>0.72151642999999999</v>
      </c>
      <c r="BC20" s="106">
        <v>0.72626453999999996</v>
      </c>
      <c r="BD20" s="47">
        <f t="shared" si="7"/>
        <v>0.74451772333333333</v>
      </c>
      <c r="BE20" s="105">
        <f t="shared" si="29"/>
        <v>372.25886166666669</v>
      </c>
      <c r="BF20" s="335">
        <f t="shared" si="24"/>
        <v>55838.829250000003</v>
      </c>
      <c r="BG20" s="105">
        <f t="shared" si="8"/>
        <v>3.5806214836581592E-2</v>
      </c>
      <c r="BH20" s="300">
        <f>((BA20-BB20)/((BA20+BB20)/2))*100</f>
        <v>8.5260073911656917</v>
      </c>
      <c r="BI20" s="2">
        <f t="shared" si="25"/>
        <v>4.8093166508207537</v>
      </c>
      <c r="BJ20" s="181">
        <v>0.36035593999999999</v>
      </c>
      <c r="BK20" s="105">
        <v>0.39711639999999998</v>
      </c>
      <c r="BL20" s="106">
        <v>0.34275012999999999</v>
      </c>
      <c r="BM20" s="47">
        <f t="shared" si="9"/>
        <v>0.3667408233333333</v>
      </c>
      <c r="BN20" s="105">
        <f t="shared" si="10"/>
        <v>366.74082333333331</v>
      </c>
      <c r="BO20" s="334">
        <f t="shared" si="26"/>
        <v>55011.123499999994</v>
      </c>
      <c r="BP20" s="105">
        <f t="shared" si="11"/>
        <v>2.77398247978143E-2</v>
      </c>
      <c r="BQ20" s="292">
        <f>((BK20-BL20)/((BK20+BL20)/2))*100</f>
        <v>14.696237171317911</v>
      </c>
      <c r="BR20" s="2">
        <f t="shared" si="12"/>
        <v>7.5638770032976064</v>
      </c>
    </row>
    <row r="21" spans="2:70" ht="17" thickBot="1">
      <c r="B21" s="77" t="s">
        <v>31</v>
      </c>
      <c r="C21" s="565">
        <v>0.64607049999999999</v>
      </c>
      <c r="D21" s="212">
        <v>1.1898685</v>
      </c>
      <c r="E21" s="213">
        <v>1.1484221999999999</v>
      </c>
      <c r="F21" s="219">
        <f t="shared" si="0"/>
        <v>0.99478706666666661</v>
      </c>
      <c r="G21" s="212">
        <f t="shared" si="13"/>
        <v>49.739353333333334</v>
      </c>
      <c r="H21" s="223">
        <f t="shared" si="14"/>
        <v>2486.9676666666669</v>
      </c>
      <c r="I21" s="212">
        <f t="shared" si="1"/>
        <v>0.30270758471958242</v>
      </c>
      <c r="J21" s="293">
        <f>((D21-C21)/((D21+C21)/2))*100</f>
        <v>59.239223089656036</v>
      </c>
      <c r="K21" s="302">
        <f t="shared" si="2"/>
        <v>30.429384826432781</v>
      </c>
      <c r="L21" s="214">
        <v>0.50785093999999997</v>
      </c>
      <c r="M21" s="212">
        <v>0.5416472</v>
      </c>
      <c r="N21" s="213">
        <v>0.60780080000000003</v>
      </c>
      <c r="O21" s="219">
        <f t="shared" si="27"/>
        <v>0.55243297999999996</v>
      </c>
      <c r="P21" s="212">
        <f t="shared" si="15"/>
        <v>55.243297999999996</v>
      </c>
      <c r="Q21" s="223">
        <f t="shared" si="16"/>
        <v>2762.1648999999998</v>
      </c>
      <c r="R21" s="212">
        <f t="shared" si="3"/>
        <v>5.0840371912105477E-2</v>
      </c>
      <c r="S21" s="293">
        <f>((N21-L21)/((N21+L21)/2))*100</f>
        <v>17.917752720934232</v>
      </c>
      <c r="T21" s="220">
        <f t="shared" si="17"/>
        <v>9.2029936214353967</v>
      </c>
      <c r="Z21" s="86" t="s">
        <v>193</v>
      </c>
      <c r="AA21" s="566">
        <v>0.20250314</v>
      </c>
      <c r="AB21" s="99">
        <v>0.33375004000000003</v>
      </c>
      <c r="AC21" s="100">
        <v>0.31680793000000002</v>
      </c>
      <c r="AD21" s="18">
        <f t="shared" si="4"/>
        <v>0.28435370333333337</v>
      </c>
      <c r="AE21" s="99">
        <f t="shared" si="18"/>
        <v>14.217685166666669</v>
      </c>
      <c r="AF21" s="329">
        <f t="shared" si="19"/>
        <v>710.88425833333349</v>
      </c>
      <c r="AG21" s="99">
        <f t="shared" si="5"/>
        <v>7.1389038453399944E-2</v>
      </c>
      <c r="AH21" s="293">
        <f>((AB21-AA21)/((AB21+AA21)/2))*100</f>
        <v>48.949602499326915</v>
      </c>
      <c r="AI21" s="330">
        <f t="shared" si="20"/>
        <v>25.105717849475027</v>
      </c>
      <c r="AJ21" s="154">
        <v>0.18951444000000001</v>
      </c>
      <c r="AK21" s="99">
        <v>0.17886572000000001</v>
      </c>
      <c r="AL21" s="100">
        <v>0.20084726999999999</v>
      </c>
      <c r="AM21" s="18">
        <f t="shared" si="28"/>
        <v>0.18974247666666666</v>
      </c>
      <c r="AN21" s="99">
        <f t="shared" si="21"/>
        <v>18.974247666666667</v>
      </c>
      <c r="AO21" s="329">
        <f t="shared" si="22"/>
        <v>948.71238333333338</v>
      </c>
      <c r="AP21" s="99">
        <f t="shared" si="6"/>
        <v>1.0992549096621456E-2</v>
      </c>
      <c r="AQ21" s="293">
        <f>((AL21-AK21)/((AL21+AK21)/2))*100</f>
        <v>11.577981569711369</v>
      </c>
      <c r="AR21" s="15">
        <f t="shared" si="23"/>
        <v>5.7934044552042003</v>
      </c>
      <c r="AZ21" s="112" t="s">
        <v>223</v>
      </c>
      <c r="BA21" s="569">
        <v>0.30390297999999999</v>
      </c>
      <c r="BB21" s="109">
        <v>0.47822025000000001</v>
      </c>
      <c r="BC21" s="110">
        <v>0.54546779999999995</v>
      </c>
      <c r="BD21" s="49">
        <f t="shared" si="7"/>
        <v>0.44253034333333335</v>
      </c>
      <c r="BE21" s="109">
        <f t="shared" si="29"/>
        <v>221.26517166666667</v>
      </c>
      <c r="BF21" s="337">
        <f t="shared" si="24"/>
        <v>33189.775750000001</v>
      </c>
      <c r="BG21" s="188">
        <f t="shared" si="8"/>
        <v>0.12467444663528517</v>
      </c>
      <c r="BH21" s="293">
        <f>((BC21-BA21)/((BC21+BA21)/2))*100</f>
        <v>56.880887755521805</v>
      </c>
      <c r="BI21" s="195">
        <f t="shared" si="25"/>
        <v>28.173084289809903</v>
      </c>
      <c r="BJ21" s="182">
        <v>0.25478524000000002</v>
      </c>
      <c r="BK21" s="109">
        <v>0.25524655000000002</v>
      </c>
      <c r="BL21" s="110">
        <v>0.2325111</v>
      </c>
      <c r="BM21" s="49">
        <f t="shared" si="9"/>
        <v>0.24751429666666666</v>
      </c>
      <c r="BN21" s="109">
        <f t="shared" si="10"/>
        <v>247.51429666666667</v>
      </c>
      <c r="BO21" s="337">
        <f t="shared" si="26"/>
        <v>37127.144500000002</v>
      </c>
      <c r="BP21" s="109">
        <f t="shared" si="11"/>
        <v>1.2995196589241491E-2</v>
      </c>
      <c r="BQ21" s="303">
        <f>((BK21-BL21)/((BK21+BL21)/2))*100</f>
        <v>9.3224370750515213</v>
      </c>
      <c r="BR21" s="4">
        <f t="shared" si="12"/>
        <v>5.2502812016319318</v>
      </c>
    </row>
    <row r="22" spans="2:70">
      <c r="B22" s="78" t="s">
        <v>32</v>
      </c>
      <c r="C22" s="204">
        <v>0.39638614999999999</v>
      </c>
      <c r="D22" s="205">
        <v>0.33883002000000001</v>
      </c>
      <c r="E22" s="215">
        <v>0.32832453</v>
      </c>
      <c r="F22" s="199">
        <f t="shared" si="0"/>
        <v>0.35451356666666661</v>
      </c>
      <c r="G22" s="200">
        <f t="shared" si="13"/>
        <v>17.725678333333331</v>
      </c>
      <c r="H22" s="279">
        <f t="shared" si="14"/>
        <v>886.28391666666653</v>
      </c>
      <c r="I22" s="200">
        <f t="shared" si="1"/>
        <v>3.6641182517629434E-2</v>
      </c>
      <c r="J22" s="294">
        <f>((C22-E22)/((C22+E22)/2))*100</f>
        <v>18.78311493905402</v>
      </c>
      <c r="K22" s="202">
        <f t="shared" si="2"/>
        <v>10.335622092590187</v>
      </c>
      <c r="L22" s="216">
        <v>0.17469860000000001</v>
      </c>
      <c r="M22" s="205">
        <v>0.17097535999999999</v>
      </c>
      <c r="N22" s="215">
        <v>0.16101304999999999</v>
      </c>
      <c r="O22" s="199">
        <f t="shared" si="27"/>
        <v>0.16889567000000003</v>
      </c>
      <c r="P22" s="200">
        <f t="shared" si="15"/>
        <v>16.889567000000003</v>
      </c>
      <c r="Q22" s="279">
        <f t="shared" si="16"/>
        <v>844.47835000000021</v>
      </c>
      <c r="R22" s="200">
        <f t="shared" si="3"/>
        <v>7.0758322883389567E-3</v>
      </c>
      <c r="S22" s="200">
        <f>((L22-N22)/((L22+N22)/2))*100</f>
        <v>8.1531576279822389</v>
      </c>
      <c r="T22" s="202">
        <f t="shared" si="17"/>
        <v>4.1894693264421496</v>
      </c>
      <c r="Z22" s="86" t="s">
        <v>194</v>
      </c>
      <c r="AA22" s="152">
        <v>0.36020213000000001</v>
      </c>
      <c r="AB22" s="98">
        <v>0.42014237999999998</v>
      </c>
      <c r="AC22" s="97">
        <v>0.40001007999999999</v>
      </c>
      <c r="AD22" s="20">
        <f t="shared" si="4"/>
        <v>0.39345152999999994</v>
      </c>
      <c r="AE22" s="98">
        <f t="shared" si="18"/>
        <v>19.672576499999998</v>
      </c>
      <c r="AF22" s="326">
        <f t="shared" si="19"/>
        <v>983.62882499999989</v>
      </c>
      <c r="AG22" s="98">
        <f t="shared" si="5"/>
        <v>3.0503595297808734E-2</v>
      </c>
      <c r="AH22" s="304">
        <f>((AB22-AA22)/((AB22+AA22)/2))*100</f>
        <v>15.362509566447768</v>
      </c>
      <c r="AI22" s="21">
        <f t="shared" si="20"/>
        <v>7.7528216240025136</v>
      </c>
      <c r="AJ22" s="152">
        <v>0.22263869999999999</v>
      </c>
      <c r="AK22" s="98">
        <v>0.19463702999999999</v>
      </c>
      <c r="AL22" s="97">
        <v>0.22454341</v>
      </c>
      <c r="AM22" s="93">
        <f t="shared" si="28"/>
        <v>0.21393971333333331</v>
      </c>
      <c r="AN22" s="298">
        <f t="shared" si="21"/>
        <v>21.393971333333329</v>
      </c>
      <c r="AO22" s="328">
        <f t="shared" si="22"/>
        <v>1069.6985666666665</v>
      </c>
      <c r="AP22" s="298">
        <f t="shared" si="6"/>
        <v>1.6743720254060433E-2</v>
      </c>
      <c r="AQ22" s="294">
        <f>((AL22-AK22)/((AL22+AK22)/2))*100</f>
        <v>14.268976863519686</v>
      </c>
      <c r="AR22" s="94">
        <f t="shared" si="23"/>
        <v>7.8263731371709016</v>
      </c>
      <c r="AZ22" s="112" t="s">
        <v>224</v>
      </c>
      <c r="BA22" s="183">
        <v>0.47296854999999999</v>
      </c>
      <c r="BB22" s="108">
        <v>0.42464772000000001</v>
      </c>
      <c r="BC22" s="197">
        <v>0.37808167999999998</v>
      </c>
      <c r="BD22" s="101">
        <f t="shared" si="7"/>
        <v>0.42523265000000005</v>
      </c>
      <c r="BE22" s="102">
        <f t="shared" si="29"/>
        <v>212.61632500000002</v>
      </c>
      <c r="BF22" s="336">
        <f t="shared" si="24"/>
        <v>31892.448750000003</v>
      </c>
      <c r="BG22" s="102">
        <f t="shared" si="8"/>
        <v>4.7446139273157939E-2</v>
      </c>
      <c r="BH22" s="294">
        <f>((BA22-BC22)/((BA22+BC22)/2))*100</f>
        <v>22.298770778782355</v>
      </c>
      <c r="BI22" s="196">
        <f t="shared" si="25"/>
        <v>11.157689625469242</v>
      </c>
      <c r="BJ22" s="183">
        <v>0.18657188</v>
      </c>
      <c r="BK22" s="108">
        <v>0.19528766</v>
      </c>
      <c r="BL22" s="107">
        <v>0.20439515</v>
      </c>
      <c r="BM22" s="101">
        <f t="shared" si="9"/>
        <v>0.19541823</v>
      </c>
      <c r="BN22" s="102">
        <f t="shared" si="10"/>
        <v>195.41822999999999</v>
      </c>
      <c r="BO22" s="336">
        <f t="shared" si="26"/>
        <v>29312.734499999999</v>
      </c>
      <c r="BP22" s="102">
        <f t="shared" si="11"/>
        <v>8.9123523699918879E-3</v>
      </c>
      <c r="BQ22" s="338">
        <f>((BL22-BJ22)/((BL22+BJ22)/2))*100</f>
        <v>9.1175309590683398</v>
      </c>
      <c r="BR22" s="104">
        <f t="shared" si="12"/>
        <v>4.5606555591010558</v>
      </c>
    </row>
    <row r="23" spans="2:70">
      <c r="B23" s="76" t="s">
        <v>33</v>
      </c>
      <c r="C23" s="206">
        <v>0.71027653999999996</v>
      </c>
      <c r="D23" s="207">
        <v>0.65544720000000001</v>
      </c>
      <c r="E23" s="208">
        <v>0.72694605999999995</v>
      </c>
      <c r="F23" s="206">
        <f t="shared" si="0"/>
        <v>0.69755659999999997</v>
      </c>
      <c r="G23" s="207">
        <f t="shared" si="13"/>
        <v>34.877829999999996</v>
      </c>
      <c r="H23" s="222">
        <f t="shared" si="14"/>
        <v>1743.8914999999997</v>
      </c>
      <c r="I23" s="207">
        <f t="shared" si="1"/>
        <v>3.7408146178708156E-2</v>
      </c>
      <c r="J23" s="207">
        <f>((E23-D23)/((E23+D23)/2))*100</f>
        <v>10.344214207178636</v>
      </c>
      <c r="K23" s="209">
        <f t="shared" si="2"/>
        <v>5.3627399093791324</v>
      </c>
      <c r="L23" s="210">
        <v>0.33812123999999999</v>
      </c>
      <c r="M23" s="207">
        <v>0.29335951999999998</v>
      </c>
      <c r="N23" s="208">
        <v>0.27581834999999999</v>
      </c>
      <c r="O23" s="206">
        <f t="shared" si="27"/>
        <v>0.30243303666666665</v>
      </c>
      <c r="P23" s="207">
        <f t="shared" si="15"/>
        <v>30.243303666666666</v>
      </c>
      <c r="Q23" s="222">
        <f t="shared" si="16"/>
        <v>1512.1651833333333</v>
      </c>
      <c r="R23" s="207">
        <f t="shared" si="3"/>
        <v>3.2127232282181319E-2</v>
      </c>
      <c r="S23" s="292">
        <f>((L23-N23)/((L23+N23)/2))*100</f>
        <v>20.29609786200626</v>
      </c>
      <c r="T23" s="209">
        <f t="shared" si="17"/>
        <v>10.622924213663557</v>
      </c>
      <c r="Z23" s="86" t="s">
        <v>195</v>
      </c>
      <c r="AA23" s="153">
        <v>0.65345629999999999</v>
      </c>
      <c r="AB23" s="95">
        <v>0.60564905000000002</v>
      </c>
      <c r="AC23" s="96">
        <v>0.55166459999999995</v>
      </c>
      <c r="AD23" s="17">
        <f t="shared" si="4"/>
        <v>0.60358998333333336</v>
      </c>
      <c r="AE23" s="95">
        <f t="shared" si="18"/>
        <v>30.179499166666666</v>
      </c>
      <c r="AF23" s="327">
        <f t="shared" si="19"/>
        <v>1508.9749583333332</v>
      </c>
      <c r="AG23" s="95">
        <f t="shared" si="5"/>
        <v>5.0927078886146962E-2</v>
      </c>
      <c r="AH23" s="292">
        <f>((AA23-AC23)/((AA23+AC23)/2))*100</f>
        <v>16.893193039802075</v>
      </c>
      <c r="AI23" s="14">
        <f t="shared" si="20"/>
        <v>8.4373631591600518</v>
      </c>
      <c r="AJ23" s="153">
        <v>0.31751212000000001</v>
      </c>
      <c r="AK23" s="95">
        <v>0.28311637000000001</v>
      </c>
      <c r="AL23" s="96">
        <v>0.31642777</v>
      </c>
      <c r="AM23" s="17">
        <f t="shared" si="28"/>
        <v>0.30568542000000004</v>
      </c>
      <c r="AN23" s="95">
        <f t="shared" si="21"/>
        <v>30.568542000000004</v>
      </c>
      <c r="AO23" s="327">
        <f t="shared" si="22"/>
        <v>1528.4271000000001</v>
      </c>
      <c r="AP23" s="95">
        <f t="shared" si="6"/>
        <v>1.9552888972157029E-2</v>
      </c>
      <c r="AQ23" s="292">
        <f>((AJ23-AK23)/((AJ23+AK23)/2))*100</f>
        <v>11.453252908465931</v>
      </c>
      <c r="AR23" s="14">
        <f t="shared" si="23"/>
        <v>6.3964087564781558</v>
      </c>
      <c r="AZ23" s="112" t="s">
        <v>225</v>
      </c>
      <c r="BA23" s="181">
        <v>0.84934783000000003</v>
      </c>
      <c r="BB23" s="105">
        <v>0.77916070000000004</v>
      </c>
      <c r="BC23" s="106">
        <v>0.88686069999999995</v>
      </c>
      <c r="BD23" s="47">
        <f t="shared" si="7"/>
        <v>0.83845641000000004</v>
      </c>
      <c r="BE23" s="105">
        <f t="shared" si="29"/>
        <v>419.228205</v>
      </c>
      <c r="BF23" s="335">
        <f t="shared" si="24"/>
        <v>62884.230750000002</v>
      </c>
      <c r="BG23" s="105">
        <f t="shared" si="8"/>
        <v>5.466982506110931E-2</v>
      </c>
      <c r="BH23" s="292">
        <f t="shared" ref="BH23:BH28" si="30">((BC23-BB23)/((BC23+BB23)/2))*100</f>
        <v>12.929005593805687</v>
      </c>
      <c r="BI23" s="2">
        <f t="shared" si="25"/>
        <v>6.5202942465559186</v>
      </c>
      <c r="BJ23" s="181">
        <v>0.38645790000000002</v>
      </c>
      <c r="BK23" s="105">
        <v>0.37434689999999998</v>
      </c>
      <c r="BL23" s="106">
        <v>0.39281547</v>
      </c>
      <c r="BM23" s="47">
        <f t="shared" si="9"/>
        <v>0.38454009</v>
      </c>
      <c r="BN23" s="105">
        <f t="shared" si="10"/>
        <v>384.54009000000002</v>
      </c>
      <c r="BO23" s="335">
        <f t="shared" si="26"/>
        <v>57681.013500000001</v>
      </c>
      <c r="BP23" s="105">
        <f t="shared" si="11"/>
        <v>9.3824578793778885E-3</v>
      </c>
      <c r="BQ23" s="300">
        <f>((BL23-BK23)/((BL23+BK23)/2))*100</f>
        <v>4.8147747392771674</v>
      </c>
      <c r="BR23" s="2">
        <f t="shared" si="12"/>
        <v>2.439916701371212</v>
      </c>
    </row>
    <row r="24" spans="2:70">
      <c r="B24" s="76" t="s">
        <v>34</v>
      </c>
      <c r="C24" s="206">
        <v>0.49716672000000001</v>
      </c>
      <c r="D24" s="207">
        <v>0.48190107999999998</v>
      </c>
      <c r="E24" s="208">
        <v>0.56124879999999999</v>
      </c>
      <c r="F24" s="206">
        <f t="shared" si="0"/>
        <v>0.5134388666666666</v>
      </c>
      <c r="G24" s="207">
        <f t="shared" si="13"/>
        <v>25.671943333333331</v>
      </c>
      <c r="H24" s="222">
        <f t="shared" si="14"/>
        <v>1283.5971666666665</v>
      </c>
      <c r="I24" s="207">
        <f t="shared" si="1"/>
        <v>4.2102283015956907E-2</v>
      </c>
      <c r="J24" s="292">
        <f>((E24-D24)/((E24+D24)/2))*100</f>
        <v>15.213100537383948</v>
      </c>
      <c r="K24" s="209">
        <f t="shared" si="2"/>
        <v>8.2000576406091277</v>
      </c>
      <c r="L24" s="210">
        <v>0.25374654000000002</v>
      </c>
      <c r="M24" s="207">
        <v>0.25503108000000002</v>
      </c>
      <c r="N24" s="208">
        <v>0.2581367</v>
      </c>
      <c r="O24" s="206">
        <f t="shared" si="27"/>
        <v>0.2556381066666667</v>
      </c>
      <c r="P24" s="207">
        <f t="shared" si="15"/>
        <v>25.563810666666669</v>
      </c>
      <c r="Q24" s="325">
        <f t="shared" si="16"/>
        <v>1278.1905333333334</v>
      </c>
      <c r="R24" s="207">
        <f t="shared" si="3"/>
        <v>2.2571524620488698E-3</v>
      </c>
      <c r="S24" s="207">
        <f>((N24-L24)/((N24+L24)/2))*100</f>
        <v>1.7152974182159104</v>
      </c>
      <c r="T24" s="209">
        <f>(R24/O24)*100</f>
        <v>0.88294835675341266</v>
      </c>
      <c r="Z24" s="86" t="s">
        <v>196</v>
      </c>
      <c r="AA24" s="153">
        <v>0.27754985999999998</v>
      </c>
      <c r="AB24" s="95">
        <v>0.29538663999999998</v>
      </c>
      <c r="AC24" s="96">
        <v>0.31361990000000001</v>
      </c>
      <c r="AD24" s="17">
        <f t="shared" si="4"/>
        <v>0.29551879999999997</v>
      </c>
      <c r="AE24" s="95">
        <f t="shared" si="18"/>
        <v>14.775939999999999</v>
      </c>
      <c r="AF24" s="326">
        <f t="shared" si="19"/>
        <v>738.79699999999991</v>
      </c>
      <c r="AG24" s="95">
        <f t="shared" si="5"/>
        <v>1.8035383170301664E-2</v>
      </c>
      <c r="AH24" s="292">
        <f>((AC24-AA24)/((AC24+AA24)/2))*100</f>
        <v>12.20293812051551</v>
      </c>
      <c r="AI24" s="21">
        <f t="shared" si="20"/>
        <v>6.1029562824096688</v>
      </c>
      <c r="AJ24" s="153">
        <v>0.14951268000000001</v>
      </c>
      <c r="AK24" s="95">
        <v>0.13984483</v>
      </c>
      <c r="AL24" s="96">
        <v>0.15031913999999999</v>
      </c>
      <c r="AM24" s="17">
        <f t="shared" si="28"/>
        <v>0.14655888333333333</v>
      </c>
      <c r="AN24" s="95">
        <f t="shared" si="21"/>
        <v>14.655888333333333</v>
      </c>
      <c r="AO24" s="327">
        <f t="shared" si="22"/>
        <v>732.79441666666662</v>
      </c>
      <c r="AP24" s="95">
        <f t="shared" si="6"/>
        <v>5.8285056879987087E-3</v>
      </c>
      <c r="AQ24" s="301">
        <f>((AL24-AK24)/((AL24+AK24)/2))*100</f>
        <v>7.2195800188424402</v>
      </c>
      <c r="AR24" s="21">
        <f t="shared" si="23"/>
        <v>3.9769037232239026</v>
      </c>
      <c r="AZ24" s="112" t="s">
        <v>226</v>
      </c>
      <c r="BA24" s="181">
        <v>0.29513212999999999</v>
      </c>
      <c r="BB24" s="105">
        <v>0.2881418</v>
      </c>
      <c r="BC24" s="106">
        <v>0.3157027</v>
      </c>
      <c r="BD24" s="47">
        <f t="shared" si="7"/>
        <v>0.29965887666666668</v>
      </c>
      <c r="BE24" s="105">
        <f t="shared" si="29"/>
        <v>149.82943833333334</v>
      </c>
      <c r="BF24" s="335">
        <f t="shared" si="24"/>
        <v>22474.41575</v>
      </c>
      <c r="BG24" s="105">
        <f t="shared" si="8"/>
        <v>1.4327225088642719E-2</v>
      </c>
      <c r="BH24" s="300">
        <f t="shared" si="30"/>
        <v>9.1284759569723661</v>
      </c>
      <c r="BI24" s="2">
        <f t="shared" si="25"/>
        <v>4.781178267774119</v>
      </c>
      <c r="BJ24" s="181">
        <v>0.14937665999999999</v>
      </c>
      <c r="BK24" s="105">
        <v>0.17643619999999999</v>
      </c>
      <c r="BL24" s="106">
        <v>0.16662149000000001</v>
      </c>
      <c r="BM24" s="47">
        <f t="shared" si="9"/>
        <v>0.16414478333333335</v>
      </c>
      <c r="BN24" s="105">
        <f t="shared" si="10"/>
        <v>164.14478333333335</v>
      </c>
      <c r="BO24" s="334">
        <f t="shared" si="26"/>
        <v>24621.717500000002</v>
      </c>
      <c r="BP24" s="105">
        <f t="shared" si="11"/>
        <v>1.3698731079462553E-2</v>
      </c>
      <c r="BQ24" s="292">
        <f>((BK24-BJ24)/((BK24+BJ24)/2))*100</f>
        <v>16.610480016043564</v>
      </c>
      <c r="BR24" s="2">
        <f t="shared" si="12"/>
        <v>8.3455171716570256</v>
      </c>
    </row>
    <row r="25" spans="2:70">
      <c r="B25" s="76" t="s">
        <v>35</v>
      </c>
      <c r="C25" s="206">
        <v>0.23940386</v>
      </c>
      <c r="D25" s="207">
        <v>0.24519937</v>
      </c>
      <c r="E25" s="208">
        <v>0.25565695999999999</v>
      </c>
      <c r="F25" s="206">
        <f t="shared" si="0"/>
        <v>0.24675339666666665</v>
      </c>
      <c r="G25" s="207">
        <f t="shared" si="13"/>
        <v>12.337669833333333</v>
      </c>
      <c r="H25" s="222">
        <f t="shared" si="14"/>
        <v>616.8834916666666</v>
      </c>
      <c r="I25" s="207">
        <f t="shared" si="1"/>
        <v>8.2372364336003642E-3</v>
      </c>
      <c r="J25" s="207">
        <f>((E25-C25)/((E25+C25)/2))*100</f>
        <v>6.5661023225388719</v>
      </c>
      <c r="K25" s="209">
        <f t="shared" si="2"/>
        <v>3.3382464212753482</v>
      </c>
      <c r="L25" s="210">
        <v>0.11604754</v>
      </c>
      <c r="M25" s="207">
        <v>0.13683329999999999</v>
      </c>
      <c r="N25" s="208">
        <v>0.116750665</v>
      </c>
      <c r="O25" s="206">
        <f t="shared" si="27"/>
        <v>0.12321050166666665</v>
      </c>
      <c r="P25" s="207">
        <f t="shared" si="15"/>
        <v>12.321050166666666</v>
      </c>
      <c r="Q25" s="222">
        <f t="shared" si="16"/>
        <v>616.05250833333332</v>
      </c>
      <c r="R25" s="207">
        <f t="shared" si="3"/>
        <v>1.180292641739362E-2</v>
      </c>
      <c r="S25" s="292">
        <f>((M25-L25)/((M25+L25)/2))*100</f>
        <v>16.439173485820426</v>
      </c>
      <c r="T25" s="209">
        <f t="shared" si="17"/>
        <v>9.5794808540957206</v>
      </c>
      <c r="Z25" s="86" t="s">
        <v>197</v>
      </c>
      <c r="AA25" s="153">
        <v>0.39557984000000002</v>
      </c>
      <c r="AB25" s="95">
        <v>0.33516020000000002</v>
      </c>
      <c r="AC25" s="96">
        <v>0.39262432000000003</v>
      </c>
      <c r="AD25" s="17">
        <f t="shared" si="4"/>
        <v>0.37445478666666671</v>
      </c>
      <c r="AE25" s="95">
        <f t="shared" si="18"/>
        <v>18.722739333333337</v>
      </c>
      <c r="AF25" s="327">
        <f t="shared" si="19"/>
        <v>936.13696666666681</v>
      </c>
      <c r="AG25" s="95">
        <f t="shared" si="5"/>
        <v>3.406218108982062E-2</v>
      </c>
      <c r="AH25" s="292">
        <f>((AA25-AB25)/((AA25+AB25)/2))*100</f>
        <v>16.536562031006262</v>
      </c>
      <c r="AI25" s="14">
        <f t="shared" si="20"/>
        <v>9.0964736739077114</v>
      </c>
      <c r="AJ25" s="153">
        <v>0.19345271999999999</v>
      </c>
      <c r="AK25" s="95">
        <v>0.15558659999999999</v>
      </c>
      <c r="AL25" s="96">
        <v>0.17809062000000001</v>
      </c>
      <c r="AM25" s="17">
        <f t="shared" si="28"/>
        <v>0.17570998000000002</v>
      </c>
      <c r="AN25" s="95">
        <f t="shared" si="21"/>
        <v>17.570998000000003</v>
      </c>
      <c r="AO25" s="327">
        <f t="shared" si="22"/>
        <v>878.54990000000021</v>
      </c>
      <c r="AP25" s="95">
        <f t="shared" si="6"/>
        <v>1.9044982175649313E-2</v>
      </c>
      <c r="AQ25" s="292">
        <f>((AJ25-AK25)/((AJ25+AK25)/2))*100</f>
        <v>21.697337709688412</v>
      </c>
      <c r="AR25" s="14">
        <f t="shared" si="23"/>
        <v>10.838873338696704</v>
      </c>
      <c r="AZ25" s="112" t="s">
        <v>227</v>
      </c>
      <c r="BA25" s="181">
        <v>0.19441827</v>
      </c>
      <c r="BB25" s="105">
        <v>0.18652595999999999</v>
      </c>
      <c r="BC25" s="106">
        <v>0.19973489999999999</v>
      </c>
      <c r="BD25" s="47">
        <f t="shared" si="7"/>
        <v>0.19355971000000002</v>
      </c>
      <c r="BE25" s="105">
        <f t="shared" si="29"/>
        <v>96.779855000000012</v>
      </c>
      <c r="BF25" s="335">
        <f t="shared" si="24"/>
        <v>14516.978250000002</v>
      </c>
      <c r="BG25" s="105">
        <f t="shared" si="8"/>
        <v>6.6461919876046336E-3</v>
      </c>
      <c r="BH25" s="300">
        <f t="shared" si="30"/>
        <v>6.8393882828304182</v>
      </c>
      <c r="BI25" s="2">
        <f t="shared" si="25"/>
        <v>3.4336649851379879</v>
      </c>
      <c r="BJ25" s="181">
        <v>9.4352104000000006E-2</v>
      </c>
      <c r="BK25" s="105">
        <v>9.7062979999999993E-2</v>
      </c>
      <c r="BL25" s="106">
        <v>9.5008134999999994E-2</v>
      </c>
      <c r="BM25" s="47">
        <f t="shared" si="9"/>
        <v>9.5474406333333331E-2</v>
      </c>
      <c r="BN25" s="105">
        <f t="shared" si="10"/>
        <v>95.474406333333334</v>
      </c>
      <c r="BO25" s="335">
        <f t="shared" si="26"/>
        <v>14321.16095</v>
      </c>
      <c r="BP25" s="105">
        <f t="shared" si="11"/>
        <v>1.4143086258169815E-3</v>
      </c>
      <c r="BQ25" s="300">
        <f>((BK25-BJ25)/((BK25+BJ25)/2))*100</f>
        <v>2.8324580731578992</v>
      </c>
      <c r="BR25" s="2">
        <f t="shared" si="12"/>
        <v>1.481348436856631</v>
      </c>
    </row>
    <row r="26" spans="2:70">
      <c r="B26" s="76" t="s">
        <v>36</v>
      </c>
      <c r="C26" s="206">
        <v>0.40372372000000001</v>
      </c>
      <c r="D26" s="207">
        <v>0.4158037</v>
      </c>
      <c r="E26" s="208">
        <v>0.37250086999999998</v>
      </c>
      <c r="F26" s="206">
        <f t="shared" si="0"/>
        <v>0.39734276333333335</v>
      </c>
      <c r="G26" s="207">
        <f t="shared" si="13"/>
        <v>19.867138166666667</v>
      </c>
      <c r="H26" s="222">
        <f t="shared" si="14"/>
        <v>993.35690833333331</v>
      </c>
      <c r="I26" s="207">
        <f t="shared" si="1"/>
        <v>2.2345496805590021E-2</v>
      </c>
      <c r="J26" s="207">
        <f>((D26-E26)/((D26+E26)/2))*100</f>
        <v>10.986319665760663</v>
      </c>
      <c r="K26" s="209">
        <f t="shared" si="2"/>
        <v>5.6237331763971863</v>
      </c>
      <c r="L26" s="210">
        <v>0.21089606999999999</v>
      </c>
      <c r="M26" s="207">
        <v>0.18794811</v>
      </c>
      <c r="N26" s="208">
        <v>0.18605298000000001</v>
      </c>
      <c r="O26" s="206">
        <f t="shared" si="27"/>
        <v>0.19496572000000001</v>
      </c>
      <c r="P26" s="207">
        <f t="shared" si="15"/>
        <v>19.496572</v>
      </c>
      <c r="Q26" s="325">
        <f t="shared" si="16"/>
        <v>974.82860000000005</v>
      </c>
      <c r="R26" s="207">
        <f t="shared" si="3"/>
        <v>1.3828590592359722E-2</v>
      </c>
      <c r="S26" s="292">
        <f>((L26-N26)/((L26+N26)/2))*100</f>
        <v>12.517016982406171</v>
      </c>
      <c r="T26" s="209">
        <f t="shared" si="17"/>
        <v>7.0928318026162351</v>
      </c>
      <c r="Z26" s="86" t="s">
        <v>198</v>
      </c>
      <c r="AA26" s="153">
        <v>0.38924365999999999</v>
      </c>
      <c r="AB26" s="95">
        <v>0.33583784</v>
      </c>
      <c r="AC26" s="96">
        <v>0.36671478000000002</v>
      </c>
      <c r="AD26" s="17">
        <f t="shared" si="4"/>
        <v>0.36393209333333337</v>
      </c>
      <c r="AE26" s="95">
        <f t="shared" si="18"/>
        <v>18.196604666666669</v>
      </c>
      <c r="AF26" s="326">
        <f t="shared" si="19"/>
        <v>909.83023333333347</v>
      </c>
      <c r="AG26" s="95">
        <f t="shared" si="5"/>
        <v>2.6811432473512736E-2</v>
      </c>
      <c r="AH26" s="292">
        <f>((AA26-AB26)/((AA26+AB26)/2))*100</f>
        <v>14.730984034208566</v>
      </c>
      <c r="AI26" s="21">
        <f t="shared" si="20"/>
        <v>7.3671525442950037</v>
      </c>
      <c r="AJ26" s="153">
        <v>0.18358766000000001</v>
      </c>
      <c r="AK26" s="95">
        <v>0.1937247</v>
      </c>
      <c r="AL26" s="96">
        <v>0.19728860000000001</v>
      </c>
      <c r="AM26" s="17">
        <f t="shared" si="28"/>
        <v>0.19153365333333336</v>
      </c>
      <c r="AN26" s="95">
        <f t="shared" si="21"/>
        <v>19.153365333333337</v>
      </c>
      <c r="AO26" s="327">
        <f t="shared" si="22"/>
        <v>957.6682666666668</v>
      </c>
      <c r="AP26" s="95">
        <f t="shared" si="6"/>
        <v>7.1084072296494997E-3</v>
      </c>
      <c r="AQ26" s="301">
        <f>((AL26-AJ26)/((AL26+AJ26)/2))*100</f>
        <v>7.1944310732309722</v>
      </c>
      <c r="AR26" s="21">
        <f t="shared" si="23"/>
        <v>3.7113097912242434</v>
      </c>
      <c r="AZ26" s="112" t="s">
        <v>228</v>
      </c>
      <c r="BA26" s="181">
        <v>0.63848210000000005</v>
      </c>
      <c r="BB26" s="105">
        <v>0.63118529999999995</v>
      </c>
      <c r="BC26" s="106">
        <v>0.67440252999999994</v>
      </c>
      <c r="BD26" s="47">
        <f t="shared" si="7"/>
        <v>0.64802331000000002</v>
      </c>
      <c r="BE26" s="105">
        <f t="shared" si="29"/>
        <v>324.01165500000002</v>
      </c>
      <c r="BF26" s="335">
        <f t="shared" si="24"/>
        <v>48601.748250000004</v>
      </c>
      <c r="BG26" s="105">
        <f t="shared" si="8"/>
        <v>2.3134568472662265E-2</v>
      </c>
      <c r="BH26" s="300">
        <f t="shared" si="30"/>
        <v>6.6203481691461539</v>
      </c>
      <c r="BI26" s="2">
        <f t="shared" si="25"/>
        <v>3.5700210340677816</v>
      </c>
      <c r="BJ26" s="181">
        <v>0.33009230000000001</v>
      </c>
      <c r="BK26" s="105">
        <v>0.28017318000000002</v>
      </c>
      <c r="BL26" s="106">
        <v>0.31421909999999997</v>
      </c>
      <c r="BM26" s="47">
        <f t="shared" si="9"/>
        <v>0.30816152666666669</v>
      </c>
      <c r="BN26" s="105">
        <f t="shared" si="10"/>
        <v>308.1615266666667</v>
      </c>
      <c r="BO26" s="334">
        <f t="shared" si="26"/>
        <v>46224.229000000007</v>
      </c>
      <c r="BP26" s="105">
        <f t="shared" si="11"/>
        <v>2.5504907006498431E-2</v>
      </c>
      <c r="BQ26" s="292">
        <f>((BJ26-BK26)/((BJ26+BK26)/2))*100</f>
        <v>16.359804588652132</v>
      </c>
      <c r="BR26" s="2">
        <f t="shared" si="12"/>
        <v>8.2764734723314994</v>
      </c>
    </row>
    <row r="27" spans="2:70">
      <c r="B27" s="76" t="s">
        <v>37</v>
      </c>
      <c r="C27" s="206">
        <v>0.75950620000000002</v>
      </c>
      <c r="D27" s="207">
        <v>0.7754046</v>
      </c>
      <c r="E27" s="208">
        <v>0.72796620000000001</v>
      </c>
      <c r="F27" s="206">
        <f t="shared" si="0"/>
        <v>0.75429233333333334</v>
      </c>
      <c r="G27" s="207">
        <f t="shared" si="13"/>
        <v>37.714616666666664</v>
      </c>
      <c r="H27" s="222">
        <f t="shared" si="14"/>
        <v>1885.7308333333333</v>
      </c>
      <c r="I27" s="207">
        <f t="shared" si="1"/>
        <v>2.414516002956562E-2</v>
      </c>
      <c r="J27" s="207">
        <f>((D27-E27)/((D27+E27)/2))*100</f>
        <v>6.3109380599915861</v>
      </c>
      <c r="K27" s="209">
        <f t="shared" si="2"/>
        <v>3.201034792818914</v>
      </c>
      <c r="L27" s="210">
        <v>0.36961406000000002</v>
      </c>
      <c r="M27" s="207">
        <v>0.40227922999999999</v>
      </c>
      <c r="N27" s="208">
        <v>0.37511480000000003</v>
      </c>
      <c r="O27" s="206">
        <f t="shared" si="27"/>
        <v>0.38233602999999999</v>
      </c>
      <c r="P27" s="207">
        <f t="shared" si="15"/>
        <v>38.233603000000002</v>
      </c>
      <c r="Q27" s="222">
        <f t="shared" si="16"/>
        <v>1911.6801500000001</v>
      </c>
      <c r="R27" s="207">
        <f t="shared" si="3"/>
        <v>1.7488938070017269E-2</v>
      </c>
      <c r="S27" s="207">
        <f>((M27-L27)/((M27+L27)/2))*100</f>
        <v>8.4636491658063164</v>
      </c>
      <c r="T27" s="209">
        <f t="shared" si="17"/>
        <v>4.5742322715484773</v>
      </c>
      <c r="Z27" s="86" t="s">
        <v>199</v>
      </c>
      <c r="AA27" s="153">
        <v>0.49095997000000002</v>
      </c>
      <c r="AB27" s="95">
        <v>0.50600460000000003</v>
      </c>
      <c r="AC27" s="96">
        <v>0.5056119</v>
      </c>
      <c r="AD27" s="17">
        <f t="shared" si="4"/>
        <v>0.50085882333333342</v>
      </c>
      <c r="AE27" s="95">
        <f t="shared" si="18"/>
        <v>25.042941166666672</v>
      </c>
      <c r="AF27" s="327">
        <f t="shared" si="19"/>
        <v>1252.1470583333337</v>
      </c>
      <c r="AG27" s="95">
        <f t="shared" si="5"/>
        <v>8.5749067813378141E-3</v>
      </c>
      <c r="AH27" s="301">
        <f>((AB27-AA27)/((AB27+AA27)/2))*100</f>
        <v>3.0180871924064467</v>
      </c>
      <c r="AI27" s="14">
        <f t="shared" si="20"/>
        <v>1.7120406753084212</v>
      </c>
      <c r="AJ27" s="153">
        <v>0.21761642</v>
      </c>
      <c r="AK27" s="95">
        <v>0.23633767999999999</v>
      </c>
      <c r="AL27" s="96">
        <v>0.24890504999999999</v>
      </c>
      <c r="AM27" s="17">
        <f t="shared" si="28"/>
        <v>0.23428638333333332</v>
      </c>
      <c r="AN27" s="95">
        <f t="shared" si="21"/>
        <v>23.428638333333332</v>
      </c>
      <c r="AO27" s="327">
        <f t="shared" si="22"/>
        <v>1171.4319166666667</v>
      </c>
      <c r="AP27" s="95">
        <f t="shared" si="6"/>
        <v>1.5744854884381536E-2</v>
      </c>
      <c r="AQ27" s="292">
        <f>((AL27-AJ27)/((AL27+AJ27)/2))*100</f>
        <v>13.413586302898336</v>
      </c>
      <c r="AR27" s="14">
        <f t="shared" si="23"/>
        <v>6.7203456984439356</v>
      </c>
      <c r="AZ27" s="112" t="s">
        <v>229</v>
      </c>
      <c r="BA27" s="181">
        <v>0.70946989999999999</v>
      </c>
      <c r="BB27" s="105">
        <v>0.64343375000000003</v>
      </c>
      <c r="BC27" s="189">
        <v>0.84310733999999998</v>
      </c>
      <c r="BD27" s="47">
        <f t="shared" si="7"/>
        <v>0.73200366333333333</v>
      </c>
      <c r="BE27" s="105">
        <f t="shared" si="29"/>
        <v>366.00183166666665</v>
      </c>
      <c r="BF27" s="335">
        <f t="shared" si="24"/>
        <v>54900.274749999997</v>
      </c>
      <c r="BG27" s="187">
        <f t="shared" si="8"/>
        <v>0.10172616921591091</v>
      </c>
      <c r="BH27" s="292">
        <f t="shared" si="30"/>
        <v>26.864187117760729</v>
      </c>
      <c r="BI27" s="194">
        <f t="shared" si="25"/>
        <v>13.896948104423318</v>
      </c>
      <c r="BJ27" s="181">
        <v>0.34929702000000001</v>
      </c>
      <c r="BK27" s="105">
        <v>0.30058065</v>
      </c>
      <c r="BL27" s="106">
        <v>0.32720234999999998</v>
      </c>
      <c r="BM27" s="47">
        <f t="shared" si="9"/>
        <v>0.32569334</v>
      </c>
      <c r="BN27" s="105">
        <f t="shared" si="10"/>
        <v>325.69333999999998</v>
      </c>
      <c r="BO27" s="335">
        <f t="shared" si="26"/>
        <v>48854.000999999997</v>
      </c>
      <c r="BP27" s="105">
        <f t="shared" si="11"/>
        <v>2.4393216472603611E-2</v>
      </c>
      <c r="BQ27" s="292">
        <f>((BJ27-BK27)/((BJ27+BK27)/2))*100</f>
        <v>14.992473891278649</v>
      </c>
      <c r="BR27" s="2">
        <f t="shared" si="12"/>
        <v>7.4896270438331998</v>
      </c>
    </row>
    <row r="28" spans="2:70">
      <c r="B28" s="76" t="s">
        <v>38</v>
      </c>
      <c r="C28" s="206">
        <v>6.4149819999999996E-2</v>
      </c>
      <c r="D28" s="207">
        <v>5.8529972999999999E-2</v>
      </c>
      <c r="E28" s="217">
        <v>8.0528359999999993E-2</v>
      </c>
      <c r="F28" s="206">
        <f t="shared" si="0"/>
        <v>6.7736051000000005E-2</v>
      </c>
      <c r="G28" s="207">
        <f t="shared" si="13"/>
        <v>3.3868025500000001</v>
      </c>
      <c r="H28" s="222">
        <f t="shared" si="14"/>
        <v>169.34012749999999</v>
      </c>
      <c r="I28" s="207">
        <f t="shared" si="1"/>
        <v>1.142926276010234E-2</v>
      </c>
      <c r="J28" s="292">
        <f>((E28-D28)/((E28+D28)/2))*100</f>
        <v>31.639077681162764</v>
      </c>
      <c r="K28" s="211">
        <f t="shared" si="2"/>
        <v>16.873234549947913</v>
      </c>
      <c r="L28" s="210">
        <v>2.9936733E-2</v>
      </c>
      <c r="M28" s="207">
        <v>2.7217354999999999E-2</v>
      </c>
      <c r="N28" s="217">
        <v>3.8998004000000003E-2</v>
      </c>
      <c r="O28" s="206">
        <f t="shared" si="27"/>
        <v>3.2050697333333329E-2</v>
      </c>
      <c r="P28" s="207">
        <f t="shared" si="15"/>
        <v>3.2050697333333331</v>
      </c>
      <c r="Q28" s="325">
        <f t="shared" si="16"/>
        <v>160.25348666666665</v>
      </c>
      <c r="R28" s="207">
        <f t="shared" si="3"/>
        <v>6.1682701478821839E-3</v>
      </c>
      <c r="S28" s="292">
        <f>((N28-M28)/((N28+M28)/2))*100</f>
        <v>35.58282905330168</v>
      </c>
      <c r="T28" s="211">
        <f t="shared" si="17"/>
        <v>19.245353958233746</v>
      </c>
      <c r="Z28" s="86" t="s">
        <v>200</v>
      </c>
      <c r="AA28" s="153">
        <v>0.22712668999999999</v>
      </c>
      <c r="AB28" s="95">
        <v>0.27232390000000001</v>
      </c>
      <c r="AC28" s="96">
        <v>0.24331216999999999</v>
      </c>
      <c r="AD28" s="17">
        <f t="shared" si="4"/>
        <v>0.24758758666666666</v>
      </c>
      <c r="AE28" s="95">
        <f t="shared" si="18"/>
        <v>12.379379333333333</v>
      </c>
      <c r="AF28" s="326">
        <f t="shared" si="19"/>
        <v>618.96896666666657</v>
      </c>
      <c r="AG28" s="95">
        <f t="shared" si="5"/>
        <v>2.2899920058839368E-2</v>
      </c>
      <c r="AH28" s="292">
        <f>((AB28-AA28)/((AB28+AA28)/2))*100</f>
        <v>18.098771291870939</v>
      </c>
      <c r="AI28" s="21">
        <f t="shared" si="20"/>
        <v>9.2492197880946669</v>
      </c>
      <c r="AJ28" s="153">
        <v>0.13405334999999999</v>
      </c>
      <c r="AK28" s="95">
        <v>0.11215723</v>
      </c>
      <c r="AL28" s="96">
        <v>0.10394784</v>
      </c>
      <c r="AM28" s="17">
        <f t="shared" si="28"/>
        <v>0.11671947333333332</v>
      </c>
      <c r="AN28" s="95">
        <f t="shared" si="21"/>
        <v>11.671947333333332</v>
      </c>
      <c r="AO28" s="327">
        <f t="shared" si="22"/>
        <v>583.59736666666663</v>
      </c>
      <c r="AP28" s="95">
        <f t="shared" si="6"/>
        <v>1.556264698772143E-2</v>
      </c>
      <c r="AQ28" s="292">
        <f>((AJ28-AL28)/((AJ28+AL28)/2))*100</f>
        <v>25.298621406052625</v>
      </c>
      <c r="AR28" s="193">
        <f t="shared" si="23"/>
        <v>13.33337663654191</v>
      </c>
      <c r="AZ28" s="112" t="s">
        <v>230</v>
      </c>
      <c r="BA28" s="181">
        <v>0.45968360000000003</v>
      </c>
      <c r="BB28" s="105">
        <v>0.44534816999999999</v>
      </c>
      <c r="BC28" s="106">
        <v>0.51422939999999995</v>
      </c>
      <c r="BD28" s="47">
        <f t="shared" si="7"/>
        <v>0.47308705666666667</v>
      </c>
      <c r="BE28" s="105">
        <f t="shared" si="29"/>
        <v>236.54352833333334</v>
      </c>
      <c r="BF28" s="335">
        <f t="shared" si="24"/>
        <v>35481.52925</v>
      </c>
      <c r="BG28" s="105">
        <f t="shared" si="8"/>
        <v>3.6344125378658255E-2</v>
      </c>
      <c r="BH28" s="292">
        <f t="shared" si="30"/>
        <v>14.356573591022967</v>
      </c>
      <c r="BI28" s="2">
        <f t="shared" si="25"/>
        <v>7.6823334873577052</v>
      </c>
      <c r="BJ28" s="181">
        <v>0.23059901999999999</v>
      </c>
      <c r="BK28" s="105">
        <v>0.22386706000000001</v>
      </c>
      <c r="BL28" s="106">
        <v>0.23065872000000001</v>
      </c>
      <c r="BM28" s="47">
        <f t="shared" si="9"/>
        <v>0.22837493333333334</v>
      </c>
      <c r="BN28" s="105">
        <f t="shared" si="10"/>
        <v>228.37493333333333</v>
      </c>
      <c r="BO28" s="334">
        <f t="shared" si="26"/>
        <v>34256.239999999998</v>
      </c>
      <c r="BP28" s="105">
        <f t="shared" si="11"/>
        <v>3.9040469406160195E-3</v>
      </c>
      <c r="BQ28" s="300">
        <f>((BL28-BK28)/((BL28+BK28)/2))*100</f>
        <v>2.988459752491929</v>
      </c>
      <c r="BR28" s="2">
        <f t="shared" si="12"/>
        <v>1.7094901281997175</v>
      </c>
    </row>
    <row r="29" spans="2:70">
      <c r="B29" s="76" t="s">
        <v>39</v>
      </c>
      <c r="C29" s="206">
        <v>0.27854826999999999</v>
      </c>
      <c r="D29" s="207">
        <v>0.24645739999999999</v>
      </c>
      <c r="E29" s="208">
        <v>0.23966202</v>
      </c>
      <c r="F29" s="206">
        <f t="shared" si="0"/>
        <v>0.25488923000000002</v>
      </c>
      <c r="G29" s="207">
        <f t="shared" si="13"/>
        <v>12.744461500000002</v>
      </c>
      <c r="H29" s="222">
        <f t="shared" si="14"/>
        <v>637.22307500000011</v>
      </c>
      <c r="I29" s="207">
        <f t="shared" si="1"/>
        <v>2.0769134012454629E-2</v>
      </c>
      <c r="J29" s="292">
        <f>((C29-E29)/((C29+E29)/2))*100</f>
        <v>15.007903451704898</v>
      </c>
      <c r="K29" s="209">
        <f t="shared" si="2"/>
        <v>8.148297992996655</v>
      </c>
      <c r="L29" s="210">
        <v>0.108553424</v>
      </c>
      <c r="M29" s="207">
        <v>0.122963905</v>
      </c>
      <c r="N29" s="208">
        <v>0.11634947</v>
      </c>
      <c r="O29" s="206">
        <f t="shared" si="27"/>
        <v>0.11595559966666667</v>
      </c>
      <c r="P29" s="207">
        <f t="shared" si="15"/>
        <v>11.595559966666666</v>
      </c>
      <c r="Q29" s="222">
        <f t="shared" si="16"/>
        <v>579.77799833333336</v>
      </c>
      <c r="R29" s="207">
        <f t="shared" si="3"/>
        <v>7.2133099921222266E-3</v>
      </c>
      <c r="S29" s="292">
        <f>((M29-L29)/((M29+L29)/2))*100</f>
        <v>12.448727758085013</v>
      </c>
      <c r="T29" s="209">
        <f t="shared" si="17"/>
        <v>6.2207517470980838</v>
      </c>
      <c r="Z29" s="86" t="s">
        <v>201</v>
      </c>
      <c r="AA29" s="153">
        <v>0.36656096999999999</v>
      </c>
      <c r="AB29" s="95">
        <v>0.37904269000000002</v>
      </c>
      <c r="AC29" s="96">
        <v>0.40589895999999998</v>
      </c>
      <c r="AD29" s="17">
        <f t="shared" si="4"/>
        <v>0.38383420666666668</v>
      </c>
      <c r="AE29" s="95">
        <f t="shared" si="18"/>
        <v>19.191710333333333</v>
      </c>
      <c r="AF29" s="327">
        <f t="shared" si="19"/>
        <v>959.58551666666665</v>
      </c>
      <c r="AG29" s="95">
        <f t="shared" si="5"/>
        <v>2.0101948619107378E-2</v>
      </c>
      <c r="AH29" s="301">
        <f>((AC29-AA29)/((AC29+AA29)/2))*100</f>
        <v>10.185121188098389</v>
      </c>
      <c r="AI29" s="14">
        <f t="shared" si="20"/>
        <v>5.2371436078297524</v>
      </c>
      <c r="AJ29" s="153">
        <v>0.19244641000000001</v>
      </c>
      <c r="AK29" s="95">
        <v>0.15668087</v>
      </c>
      <c r="AL29" s="96">
        <v>0.18128221999999999</v>
      </c>
      <c r="AM29" s="17">
        <f t="shared" si="28"/>
        <v>0.17680316666666665</v>
      </c>
      <c r="AN29" s="95">
        <f t="shared" si="21"/>
        <v>17.680316666666666</v>
      </c>
      <c r="AO29" s="327">
        <f t="shared" si="22"/>
        <v>884.01583333333326</v>
      </c>
      <c r="AP29" s="95">
        <f t="shared" si="6"/>
        <v>1.8298631149488574E-2</v>
      </c>
      <c r="AQ29" s="292">
        <f>((AJ29-AK29)/((AJ29+AK29)/2))*100</f>
        <v>20.488539308644118</v>
      </c>
      <c r="AR29" s="14">
        <f t="shared" si="23"/>
        <v>10.349719122388592</v>
      </c>
      <c r="AZ29" s="112" t="s">
        <v>231</v>
      </c>
      <c r="BA29" s="181">
        <v>0.54117440000000006</v>
      </c>
      <c r="BB29" s="105">
        <v>0.64414983999999997</v>
      </c>
      <c r="BC29" s="106">
        <v>0.64439800000000003</v>
      </c>
      <c r="BD29" s="47">
        <f t="shared" si="7"/>
        <v>0.60990741333333331</v>
      </c>
      <c r="BE29" s="105">
        <f t="shared" si="29"/>
        <v>304.95370666666668</v>
      </c>
      <c r="BF29" s="335">
        <f t="shared" si="24"/>
        <v>45743.056000000004</v>
      </c>
      <c r="BG29" s="105">
        <f t="shared" si="8"/>
        <v>5.9524664948712898E-2</v>
      </c>
      <c r="BH29" s="292">
        <f>((BC29-BA29)/((BC29+BA29)/2))*100</f>
        <v>17.413293359393315</v>
      </c>
      <c r="BI29" s="2">
        <f t="shared" si="25"/>
        <v>9.7596231243349099</v>
      </c>
      <c r="BJ29" s="181">
        <v>0.28148076</v>
      </c>
      <c r="BK29" s="105">
        <v>0.27918130000000002</v>
      </c>
      <c r="BL29" s="106">
        <v>0.31682953000000003</v>
      </c>
      <c r="BM29" s="47">
        <f t="shared" si="9"/>
        <v>0.29249719666666668</v>
      </c>
      <c r="BN29" s="105">
        <f t="shared" si="10"/>
        <v>292.4971966666667</v>
      </c>
      <c r="BO29" s="335">
        <f t="shared" si="26"/>
        <v>43874.579500000007</v>
      </c>
      <c r="BP29" s="105">
        <f t="shared" si="11"/>
        <v>2.1103760640137904E-2</v>
      </c>
      <c r="BQ29" s="292">
        <f>((BL29-BK29)/((BL29+BK29)/2))*100</f>
        <v>12.633404664811209</v>
      </c>
      <c r="BR29" s="2">
        <f t="shared" si="12"/>
        <v>7.2150300517881556</v>
      </c>
    </row>
    <row r="30" spans="2:70">
      <c r="B30" s="76" t="s">
        <v>40</v>
      </c>
      <c r="C30" s="206">
        <v>0.33477839999999998</v>
      </c>
      <c r="D30" s="207">
        <v>0.32514194000000002</v>
      </c>
      <c r="E30" s="208">
        <v>0.28905330000000001</v>
      </c>
      <c r="F30" s="206">
        <f t="shared" si="0"/>
        <v>0.31632454666666665</v>
      </c>
      <c r="G30" s="207">
        <f t="shared" si="13"/>
        <v>15.816227333333332</v>
      </c>
      <c r="H30" s="222">
        <f t="shared" si="14"/>
        <v>790.81136666666657</v>
      </c>
      <c r="I30" s="207">
        <f t="shared" si="1"/>
        <v>2.4104066283482807E-2</v>
      </c>
      <c r="J30" s="292">
        <f>((C30-E30)/((C30+E30)/2))*100</f>
        <v>14.659434587886434</v>
      </c>
      <c r="K30" s="209">
        <f t="shared" si="2"/>
        <v>7.6200429392800011</v>
      </c>
      <c r="L30" s="210">
        <v>0.1622749</v>
      </c>
      <c r="M30" s="207">
        <v>0.16970581000000001</v>
      </c>
      <c r="N30" s="208">
        <v>0.14803778000000001</v>
      </c>
      <c r="O30" s="206">
        <f t="shared" si="27"/>
        <v>0.16000616333333334</v>
      </c>
      <c r="P30" s="207">
        <f t="shared" si="15"/>
        <v>16.000616333333333</v>
      </c>
      <c r="Q30" s="325">
        <f t="shared" si="16"/>
        <v>800.03081666666662</v>
      </c>
      <c r="R30" s="207">
        <f t="shared" si="3"/>
        <v>1.1010733652542567E-2</v>
      </c>
      <c r="S30" s="292">
        <f>((M30-N30)/((M30+N30)/2))*100</f>
        <v>13.638688981892603</v>
      </c>
      <c r="T30" s="209">
        <f t="shared" si="17"/>
        <v>6.8814434539027234</v>
      </c>
      <c r="Z30" s="86" t="s">
        <v>202</v>
      </c>
      <c r="AA30" s="153">
        <v>0.11325678</v>
      </c>
      <c r="AB30" s="95">
        <v>9.6481785E-2</v>
      </c>
      <c r="AC30" s="96">
        <v>0.10522275</v>
      </c>
      <c r="AD30" s="17">
        <f t="shared" si="4"/>
        <v>0.10498710500000001</v>
      </c>
      <c r="AE30" s="95">
        <f t="shared" si="18"/>
        <v>5.2493552500000007</v>
      </c>
      <c r="AF30" s="326">
        <f t="shared" si="19"/>
        <v>262.46776250000005</v>
      </c>
      <c r="AG30" s="95">
        <f t="shared" si="5"/>
        <v>8.3899797816815395E-3</v>
      </c>
      <c r="AH30" s="292">
        <f>((AA30-AB30)/((AA30+AB30)/2))*100</f>
        <v>15.996099715853401</v>
      </c>
      <c r="AI30" s="21">
        <f t="shared" si="20"/>
        <v>7.9914383596743033</v>
      </c>
      <c r="AJ30" s="153">
        <v>7.3258920000000005E-2</v>
      </c>
      <c r="AK30" s="95">
        <v>7.0430989999999999E-2</v>
      </c>
      <c r="AL30" s="174">
        <v>5.3656887E-2</v>
      </c>
      <c r="AM30" s="17">
        <f t="shared" si="28"/>
        <v>6.5782265666666673E-2</v>
      </c>
      <c r="AN30" s="95">
        <f t="shared" si="21"/>
        <v>6.5782265666666673</v>
      </c>
      <c r="AO30" s="327">
        <f t="shared" si="22"/>
        <v>328.91132833333336</v>
      </c>
      <c r="AP30" s="95">
        <f t="shared" si="6"/>
        <v>1.0595654905609417E-2</v>
      </c>
      <c r="AQ30" s="292">
        <f>((AJ30-AL30)/((AJ30+AL30)/2))*100</f>
        <v>30.889821312801498</v>
      </c>
      <c r="AR30" s="193">
        <f t="shared" si="23"/>
        <v>16.107160187063105</v>
      </c>
      <c r="AZ30" s="112" t="s">
        <v>232</v>
      </c>
      <c r="BA30" s="181">
        <v>0.26204959999999999</v>
      </c>
      <c r="BB30" s="105">
        <v>0.24323307</v>
      </c>
      <c r="BC30" s="106">
        <v>0.26644665000000001</v>
      </c>
      <c r="BD30" s="47">
        <f t="shared" si="7"/>
        <v>0.25724310666666667</v>
      </c>
      <c r="BE30" s="105">
        <f t="shared" si="29"/>
        <v>128.62155333333334</v>
      </c>
      <c r="BF30" s="335">
        <f t="shared" si="24"/>
        <v>19293.233</v>
      </c>
      <c r="BG30" s="105">
        <f t="shared" si="8"/>
        <v>1.2330626818075122E-2</v>
      </c>
      <c r="BH30" s="300">
        <f>((BC30-BB30)/((BC30+BB30)/2))*100</f>
        <v>9.1090852113951133</v>
      </c>
      <c r="BI30" s="2">
        <f t="shared" si="25"/>
        <v>4.7933750209497505</v>
      </c>
      <c r="BJ30" s="181">
        <v>0.11375831</v>
      </c>
      <c r="BK30" s="105">
        <v>0.1170894</v>
      </c>
      <c r="BL30" s="106">
        <v>0.13104104</v>
      </c>
      <c r="BM30" s="47">
        <f t="shared" si="9"/>
        <v>0.12062958333333333</v>
      </c>
      <c r="BN30" s="105">
        <f t="shared" si="10"/>
        <v>120.62958333333333</v>
      </c>
      <c r="BO30" s="334">
        <f t="shared" si="26"/>
        <v>18094.4375</v>
      </c>
      <c r="BP30" s="105">
        <f t="shared" si="11"/>
        <v>9.1691255083804647E-3</v>
      </c>
      <c r="BQ30" s="292">
        <f>((BL30-BJ30)/((BJ30+BL30)/2))*100</f>
        <v>14.119914942584607</v>
      </c>
      <c r="BR30" s="2">
        <f t="shared" si="12"/>
        <v>7.6010587577373974</v>
      </c>
    </row>
    <row r="31" spans="2:70">
      <c r="B31" s="76" t="s">
        <v>41</v>
      </c>
      <c r="C31" s="206">
        <v>0.15233424000000001</v>
      </c>
      <c r="D31" s="207">
        <v>0.18887535</v>
      </c>
      <c r="E31" s="208">
        <v>0.16541252000000001</v>
      </c>
      <c r="F31" s="206">
        <f t="shared" si="0"/>
        <v>0.16887403666666667</v>
      </c>
      <c r="G31" s="207">
        <f t="shared" si="13"/>
        <v>8.4437018333333338</v>
      </c>
      <c r="H31" s="222">
        <f t="shared" si="14"/>
        <v>422.18509166666666</v>
      </c>
      <c r="I31" s="207">
        <f t="shared" si="1"/>
        <v>1.851485223363214E-2</v>
      </c>
      <c r="J31" s="292">
        <f>((D31-C31)/((D31+C31)/2))*100</f>
        <v>21.418571500291058</v>
      </c>
      <c r="K31" s="209">
        <f t="shared" si="2"/>
        <v>10.963705611051285</v>
      </c>
      <c r="L31" s="210">
        <v>8.9322600000000002E-2</v>
      </c>
      <c r="M31" s="218">
        <v>5.9509616000000001E-2</v>
      </c>
      <c r="N31" s="208">
        <v>7.9474719999999999E-2</v>
      </c>
      <c r="O31" s="206">
        <f t="shared" si="27"/>
        <v>7.6102312000000005E-2</v>
      </c>
      <c r="P31" s="207">
        <f t="shared" si="15"/>
        <v>7.6102312000000003</v>
      </c>
      <c r="Q31" s="222">
        <f t="shared" si="16"/>
        <v>380.51156000000003</v>
      </c>
      <c r="R31" s="207">
        <f t="shared" si="3"/>
        <v>1.5189909661841668E-2</v>
      </c>
      <c r="S31" s="292">
        <f>((L31-M31)/((L31+M31)/2))*100</f>
        <v>40.062541298182374</v>
      </c>
      <c r="T31" s="211">
        <f t="shared" si="17"/>
        <v>19.959853074952132</v>
      </c>
      <c r="Z31" s="86" t="s">
        <v>203</v>
      </c>
      <c r="AA31" s="153">
        <v>0.21260435999999999</v>
      </c>
      <c r="AB31" s="95">
        <v>0.20352344</v>
      </c>
      <c r="AC31" s="96">
        <v>0.23721796000000001</v>
      </c>
      <c r="AD31" s="17">
        <f t="shared" si="4"/>
        <v>0.21778191999999999</v>
      </c>
      <c r="AE31" s="95">
        <f t="shared" si="18"/>
        <v>10.889096</v>
      </c>
      <c r="AF31" s="327">
        <f t="shared" si="19"/>
        <v>544.45479999999998</v>
      </c>
      <c r="AG31" s="95">
        <f t="shared" si="5"/>
        <v>1.7433746446842691E-2</v>
      </c>
      <c r="AH31" s="292">
        <f>((AC31-AB31)/((AC31+AB31)/2))*100</f>
        <v>15.289927381453165</v>
      </c>
      <c r="AI31" s="14">
        <f t="shared" si="20"/>
        <v>8.0051394747749001</v>
      </c>
      <c r="AJ31" s="153">
        <v>0.13438882999999999</v>
      </c>
      <c r="AK31" s="129">
        <v>9.7175344999999996E-2</v>
      </c>
      <c r="AL31" s="96">
        <v>0.11102789</v>
      </c>
      <c r="AM31" s="17">
        <f t="shared" si="28"/>
        <v>0.114197355</v>
      </c>
      <c r="AN31" s="95">
        <f t="shared" si="21"/>
        <v>11.4197355</v>
      </c>
      <c r="AO31" s="327">
        <f t="shared" si="22"/>
        <v>570.98677499999997</v>
      </c>
      <c r="AP31" s="95">
        <f t="shared" si="6"/>
        <v>1.8808109893101305E-2</v>
      </c>
      <c r="AQ31" s="292">
        <f>((AJ31-AK31)/((AJ31+AK31)/2))*100</f>
        <v>32.140969128752317</v>
      </c>
      <c r="AR31" s="168">
        <f t="shared" si="23"/>
        <v>16.469829702361586</v>
      </c>
      <c r="AZ31" s="112" t="s">
        <v>233</v>
      </c>
      <c r="BA31" s="181">
        <v>0.36339828000000002</v>
      </c>
      <c r="BB31" s="105">
        <v>0.34721600000000002</v>
      </c>
      <c r="BC31" s="106">
        <v>0.34702929999999999</v>
      </c>
      <c r="BD31" s="47">
        <f t="shared" si="7"/>
        <v>0.35254786000000005</v>
      </c>
      <c r="BE31" s="105">
        <f t="shared" si="29"/>
        <v>176.27393000000004</v>
      </c>
      <c r="BF31" s="335">
        <f t="shared" si="24"/>
        <v>26441.089500000006</v>
      </c>
      <c r="BG31" s="105">
        <f t="shared" si="8"/>
        <v>9.3972030336052729E-3</v>
      </c>
      <c r="BH31" s="300">
        <f>((BA31-BC31)/((BA31+BC31)/2))*100</f>
        <v>4.6082051037489382</v>
      </c>
      <c r="BI31" s="2">
        <f t="shared" si="25"/>
        <v>2.6655112964251924</v>
      </c>
      <c r="BJ31" s="181">
        <v>0.16311632000000001</v>
      </c>
      <c r="BK31" s="105">
        <v>0.15755032999999999</v>
      </c>
      <c r="BL31" s="106">
        <v>0.17698459999999999</v>
      </c>
      <c r="BM31" s="47">
        <f t="shared" si="9"/>
        <v>0.16588375</v>
      </c>
      <c r="BN31" s="105">
        <f t="shared" si="10"/>
        <v>165.88374999999999</v>
      </c>
      <c r="BO31" s="335">
        <f t="shared" si="26"/>
        <v>24882.5625</v>
      </c>
      <c r="BP31" s="105">
        <f t="shared" si="11"/>
        <v>1.0008332239284426E-2</v>
      </c>
      <c r="BQ31" s="292">
        <f>((BL31-BK31)/((BL31+BK31)/2))*100</f>
        <v>11.618679101760767</v>
      </c>
      <c r="BR31" s="2">
        <f t="shared" si="12"/>
        <v>6.033340962743142</v>
      </c>
    </row>
    <row r="32" spans="2:70">
      <c r="B32" s="76" t="s">
        <v>42</v>
      </c>
      <c r="C32" s="206">
        <v>0.18939246000000001</v>
      </c>
      <c r="D32" s="207">
        <v>0.17796693999999999</v>
      </c>
      <c r="E32" s="208">
        <v>0.186141</v>
      </c>
      <c r="F32" s="206">
        <f t="shared" si="0"/>
        <v>0.18450013333333334</v>
      </c>
      <c r="G32" s="207">
        <f t="shared" si="13"/>
        <v>9.2250066666666672</v>
      </c>
      <c r="H32" s="222">
        <f t="shared" si="14"/>
        <v>461.25033333333334</v>
      </c>
      <c r="I32" s="207">
        <f t="shared" si="1"/>
        <v>5.8868463017929615E-3</v>
      </c>
      <c r="J32" s="207">
        <f>((C32-D32)/((C32+D32)/2))*100</f>
        <v>6.2203498807979445</v>
      </c>
      <c r="K32" s="209">
        <f t="shared" si="2"/>
        <v>3.1907002967620048</v>
      </c>
      <c r="L32" s="210">
        <v>7.7599489999999993E-2</v>
      </c>
      <c r="M32" s="207">
        <v>9.5287559999999993E-2</v>
      </c>
      <c r="N32" s="208">
        <v>8.0035229999999999E-2</v>
      </c>
      <c r="O32" s="206">
        <f t="shared" si="27"/>
        <v>8.4307426666666671E-2</v>
      </c>
      <c r="P32" s="207">
        <f t="shared" si="15"/>
        <v>8.4307426666666672</v>
      </c>
      <c r="Q32" s="325">
        <f t="shared" si="16"/>
        <v>421.53713333333337</v>
      </c>
      <c r="R32" s="207">
        <f t="shared" si="3"/>
        <v>9.5867462337454884E-3</v>
      </c>
      <c r="S32" s="292">
        <f>((M32-L32)/((M32+L32)/2))*100</f>
        <v>20.461995273792922</v>
      </c>
      <c r="T32" s="211">
        <f t="shared" si="17"/>
        <v>11.371176434609266</v>
      </c>
      <c r="Z32" s="86" t="s">
        <v>204</v>
      </c>
      <c r="AA32" s="153">
        <v>0.19637124</v>
      </c>
      <c r="AB32" s="95">
        <v>0.23831241</v>
      </c>
      <c r="AC32" s="96">
        <v>0.21134353</v>
      </c>
      <c r="AD32" s="17">
        <f t="shared" si="4"/>
        <v>0.2153423933333333</v>
      </c>
      <c r="AE32" s="95">
        <f t="shared" si="18"/>
        <v>10.767119666666664</v>
      </c>
      <c r="AF32" s="326">
        <f t="shared" si="19"/>
        <v>538.35598333333326</v>
      </c>
      <c r="AG32" s="95">
        <f t="shared" si="5"/>
        <v>2.1254613998170687E-2</v>
      </c>
      <c r="AH32" s="292">
        <f>((AB32-AA32)/((AB32+AA32)/2))*100</f>
        <v>19.297330368878608</v>
      </c>
      <c r="AI32" s="21">
        <f t="shared" si="20"/>
        <v>9.8701484966177553</v>
      </c>
      <c r="AJ32" s="153">
        <v>0.13712962000000001</v>
      </c>
      <c r="AK32" s="95">
        <v>0.12582982000000001</v>
      </c>
      <c r="AL32" s="96">
        <v>0.10756706000000001</v>
      </c>
      <c r="AM32" s="17">
        <f t="shared" si="28"/>
        <v>0.12350883333333335</v>
      </c>
      <c r="AN32" s="95">
        <f t="shared" si="21"/>
        <v>12.350883333333334</v>
      </c>
      <c r="AO32" s="327">
        <f t="shared" si="22"/>
        <v>617.54416666666668</v>
      </c>
      <c r="AP32" s="95">
        <f t="shared" si="6"/>
        <v>1.4917321233000694E-2</v>
      </c>
      <c r="AQ32" s="292">
        <f>((AJ32-AL32)/((AJ32+AL32)/2))*100</f>
        <v>24.162616346082018</v>
      </c>
      <c r="AR32" s="193">
        <f t="shared" si="23"/>
        <v>12.077938743653174</v>
      </c>
      <c r="AZ32" s="112" t="s">
        <v>234</v>
      </c>
      <c r="BA32" s="181">
        <v>0.52751459999999994</v>
      </c>
      <c r="BB32" s="105">
        <v>0.52240396</v>
      </c>
      <c r="BC32" s="106">
        <v>0.51914930000000004</v>
      </c>
      <c r="BD32" s="47">
        <f t="shared" si="7"/>
        <v>0.52302261999999999</v>
      </c>
      <c r="BE32" s="105">
        <f t="shared" si="29"/>
        <v>261.51130999999998</v>
      </c>
      <c r="BF32" s="335">
        <f t="shared" si="24"/>
        <v>39226.696499999998</v>
      </c>
      <c r="BG32" s="105">
        <f t="shared" si="8"/>
        <v>4.2168253662203765E-3</v>
      </c>
      <c r="BH32" s="300">
        <f>((BA32-BC32)/((BA32+BC32)/2))*100</f>
        <v>1.5984691934058124</v>
      </c>
      <c r="BI32" s="2">
        <f t="shared" si="25"/>
        <v>0.8062414903241425</v>
      </c>
      <c r="BJ32" s="181">
        <v>0.22690668999999999</v>
      </c>
      <c r="BK32" s="105">
        <v>0.19797222</v>
      </c>
      <c r="BL32" s="106">
        <v>0.20359287000000001</v>
      </c>
      <c r="BM32" s="47">
        <f t="shared" si="9"/>
        <v>0.20949059333333334</v>
      </c>
      <c r="BN32" s="105">
        <f t="shared" si="10"/>
        <v>209.49059333333332</v>
      </c>
      <c r="BO32" s="334">
        <f t="shared" si="26"/>
        <v>31423.589</v>
      </c>
      <c r="BP32" s="105">
        <f t="shared" si="11"/>
        <v>1.5342367611702996E-2</v>
      </c>
      <c r="BQ32" s="292">
        <f>((BJ32-BK32)/((BJ32+BK32)/2))*100</f>
        <v>13.620101783823532</v>
      </c>
      <c r="BR32" s="2">
        <f t="shared" si="12"/>
        <v>7.3236546651480499</v>
      </c>
    </row>
    <row r="33" spans="2:73">
      <c r="B33" s="76" t="s">
        <v>43</v>
      </c>
      <c r="C33" s="206">
        <v>0.25354012999999997</v>
      </c>
      <c r="D33" s="207">
        <v>0.26740205</v>
      </c>
      <c r="E33" s="208">
        <v>0.24064484</v>
      </c>
      <c r="F33" s="206">
        <f t="shared" si="0"/>
        <v>0.25386234000000002</v>
      </c>
      <c r="G33" s="207">
        <f t="shared" si="13"/>
        <v>12.693117000000001</v>
      </c>
      <c r="H33" s="222">
        <f t="shared" si="14"/>
        <v>634.6558500000001</v>
      </c>
      <c r="I33" s="207">
        <f t="shared" si="1"/>
        <v>1.3381514720281111E-2</v>
      </c>
      <c r="J33" s="207">
        <f>((D33-E33)/((D33+E33)/2))*100</f>
        <v>10.533362383145384</v>
      </c>
      <c r="K33" s="209">
        <f t="shared" si="2"/>
        <v>5.2711696899512983</v>
      </c>
      <c r="L33" s="210">
        <v>0.117391594</v>
      </c>
      <c r="M33" s="207">
        <v>0.12422485</v>
      </c>
      <c r="N33" s="208">
        <v>0.13728905</v>
      </c>
      <c r="O33" s="206">
        <f t="shared" si="27"/>
        <v>0.12630183133333331</v>
      </c>
      <c r="P33" s="207">
        <f t="shared" si="15"/>
        <v>12.630183133333331</v>
      </c>
      <c r="Q33" s="222">
        <f t="shared" si="16"/>
        <v>631.50915666666651</v>
      </c>
      <c r="R33" s="207">
        <f t="shared" si="3"/>
        <v>1.0110023610864877E-2</v>
      </c>
      <c r="S33" s="292">
        <f>((N33-L33)/((N33+L33)/2))*100</f>
        <v>15.625416747414848</v>
      </c>
      <c r="T33" s="209">
        <f t="shared" si="17"/>
        <v>8.0046532216802948</v>
      </c>
      <c r="Z33" s="86" t="s">
        <v>205</v>
      </c>
      <c r="AA33" s="198">
        <v>0.13274459999999999</v>
      </c>
      <c r="AB33" s="95">
        <v>0.16775884999999999</v>
      </c>
      <c r="AC33" s="96">
        <v>0.15248913</v>
      </c>
      <c r="AD33" s="17">
        <f t="shared" si="4"/>
        <v>0.15099752666666666</v>
      </c>
      <c r="AE33" s="95">
        <f t="shared" si="18"/>
        <v>7.5498763333333327</v>
      </c>
      <c r="AF33" s="327">
        <f t="shared" si="19"/>
        <v>377.49381666666665</v>
      </c>
      <c r="AG33" s="95">
        <f t="shared" si="5"/>
        <v>1.755471692006548E-2</v>
      </c>
      <c r="AH33" s="292">
        <f>((AB33-AA33)/((AB33+AA33)/2))*100</f>
        <v>23.303725797490841</v>
      </c>
      <c r="AI33" s="168">
        <f t="shared" si="20"/>
        <v>11.625830771929298</v>
      </c>
      <c r="AJ33" s="153">
        <v>6.6057004000000002E-2</v>
      </c>
      <c r="AK33" s="95">
        <v>7.8723100000000004E-2</v>
      </c>
      <c r="AL33" s="96">
        <v>8.5281049999999997E-2</v>
      </c>
      <c r="AM33" s="17">
        <f t="shared" si="28"/>
        <v>7.6687051333333339E-2</v>
      </c>
      <c r="AN33" s="95">
        <f t="shared" si="21"/>
        <v>7.6687051333333338</v>
      </c>
      <c r="AO33" s="327">
        <f t="shared" si="22"/>
        <v>383.4352566666667</v>
      </c>
      <c r="AP33" s="95">
        <f t="shared" si="6"/>
        <v>9.7724156063024453E-3</v>
      </c>
      <c r="AQ33" s="292">
        <f>((AL33-AJ33)/((AL33+AJ33)/2))*100</f>
        <v>25.40543570092423</v>
      </c>
      <c r="AR33" s="168">
        <f t="shared" si="23"/>
        <v>12.743240790188914</v>
      </c>
      <c r="AZ33" s="112" t="s">
        <v>235</v>
      </c>
      <c r="BA33" s="181">
        <v>0.37809264999999997</v>
      </c>
      <c r="BB33" s="105">
        <v>0.35660392000000002</v>
      </c>
      <c r="BC33" s="106">
        <v>0.32691369999999997</v>
      </c>
      <c r="BD33" s="47">
        <f t="shared" si="7"/>
        <v>0.35387009000000003</v>
      </c>
      <c r="BE33" s="105">
        <f t="shared" si="29"/>
        <v>176.935045</v>
      </c>
      <c r="BF33" s="335">
        <f t="shared" si="24"/>
        <v>26540.25675</v>
      </c>
      <c r="BG33" s="105">
        <f t="shared" si="8"/>
        <v>2.5698766519568601E-2</v>
      </c>
      <c r="BH33" s="292">
        <f>((BA33-BC33)/((BA33+BC33)/2))*100</f>
        <v>14.518720292377511</v>
      </c>
      <c r="BI33" s="2">
        <f t="shared" si="25"/>
        <v>7.2622036294643051</v>
      </c>
      <c r="BJ33" s="181">
        <v>0.17419118</v>
      </c>
      <c r="BK33" s="105">
        <v>0.15019777000000001</v>
      </c>
      <c r="BL33" s="106">
        <v>0.18221261999999999</v>
      </c>
      <c r="BM33" s="47">
        <f t="shared" si="9"/>
        <v>0.16886718999999997</v>
      </c>
      <c r="BN33" s="105">
        <f t="shared" si="10"/>
        <v>168.86718999999997</v>
      </c>
      <c r="BO33" s="335">
        <f t="shared" si="26"/>
        <v>25330.078499999996</v>
      </c>
      <c r="BP33" s="105">
        <f t="shared" si="11"/>
        <v>1.6658220411277423E-2</v>
      </c>
      <c r="BQ33" s="292">
        <f>((BL33-BK33)/((BL33+BK33)/2))*100</f>
        <v>19.262243878718703</v>
      </c>
      <c r="BR33" s="2">
        <f t="shared" si="12"/>
        <v>9.8646873979944978</v>
      </c>
    </row>
    <row r="34" spans="2:73">
      <c r="B34" s="76" t="s">
        <v>44</v>
      </c>
      <c r="C34" s="206">
        <v>0.48110172000000001</v>
      </c>
      <c r="D34" s="207">
        <v>0.53580070000000002</v>
      </c>
      <c r="E34" s="208">
        <v>0.45996165</v>
      </c>
      <c r="F34" s="206">
        <f t="shared" si="0"/>
        <v>0.49228802333333332</v>
      </c>
      <c r="G34" s="207">
        <f t="shared" si="13"/>
        <v>24.614401166666667</v>
      </c>
      <c r="H34" s="222">
        <f t="shared" si="14"/>
        <v>1230.7200583333333</v>
      </c>
      <c r="I34" s="207">
        <f t="shared" si="1"/>
        <v>3.9137455371097314E-2</v>
      </c>
      <c r="J34" s="292">
        <f>((D34-E34)/((D34+E34)/2))*100</f>
        <v>15.232359407844656</v>
      </c>
      <c r="K34" s="209">
        <f t="shared" si="2"/>
        <v>7.9501132499818992</v>
      </c>
      <c r="L34" s="210">
        <v>0.25468874000000002</v>
      </c>
      <c r="M34" s="207">
        <v>0.24479698</v>
      </c>
      <c r="N34" s="208">
        <v>0.28886866999999999</v>
      </c>
      <c r="O34" s="206">
        <f t="shared" si="27"/>
        <v>0.26278479666666671</v>
      </c>
      <c r="P34" s="207">
        <f t="shared" si="15"/>
        <v>26.278479666666669</v>
      </c>
      <c r="Q34" s="325">
        <f t="shared" si="16"/>
        <v>1313.9239833333336</v>
      </c>
      <c r="R34" s="207">
        <f t="shared" si="3"/>
        <v>2.3124404101001889E-2</v>
      </c>
      <c r="S34" s="292">
        <f>((N34-M34)/((N34+M34)/2))*100</f>
        <v>16.516592364526364</v>
      </c>
      <c r="T34" s="209">
        <f t="shared" si="17"/>
        <v>8.7997496028411355</v>
      </c>
      <c r="Z34" s="86" t="s">
        <v>206</v>
      </c>
      <c r="AA34" s="153">
        <v>0.25940236</v>
      </c>
      <c r="AB34" s="95">
        <v>0.27931089999999997</v>
      </c>
      <c r="AC34" s="96">
        <v>0.27948477999999999</v>
      </c>
      <c r="AD34" s="17">
        <f t="shared" si="4"/>
        <v>0.27273268000000001</v>
      </c>
      <c r="AE34" s="95">
        <f t="shared" si="18"/>
        <v>13.636634000000001</v>
      </c>
      <c r="AF34" s="326">
        <f t="shared" si="19"/>
        <v>681.83170000000007</v>
      </c>
      <c r="AG34" s="95">
        <f t="shared" si="5"/>
        <v>1.154472312532439E-2</v>
      </c>
      <c r="AH34" s="301">
        <f>((AC34-AA34)/((AC34+AA34)/2))*100</f>
        <v>7.4532934669771453</v>
      </c>
      <c r="AI34" s="21">
        <f t="shared" si="20"/>
        <v>4.2329812200446204</v>
      </c>
      <c r="AJ34" s="153">
        <v>0.10459349</v>
      </c>
      <c r="AK34" s="95">
        <v>0.12645310000000001</v>
      </c>
      <c r="AL34" s="96">
        <v>0.11250227</v>
      </c>
      <c r="AM34" s="17">
        <f t="shared" si="28"/>
        <v>0.11451628666666668</v>
      </c>
      <c r="AN34" s="95">
        <f t="shared" si="21"/>
        <v>11.451628666666668</v>
      </c>
      <c r="AO34" s="327">
        <f t="shared" si="22"/>
        <v>572.58143333333339</v>
      </c>
      <c r="AP34" s="95">
        <f t="shared" si="6"/>
        <v>1.1068099868009572E-2</v>
      </c>
      <c r="AQ34" s="292">
        <f>((AK34-AJ34)/((AK34+AJ34)/2))*100</f>
        <v>18.922252866835226</v>
      </c>
      <c r="AR34" s="21">
        <f t="shared" si="23"/>
        <v>9.6650879889482724</v>
      </c>
      <c r="AZ34" s="112" t="s">
        <v>236</v>
      </c>
      <c r="BA34" s="181">
        <v>1.2303078999999999</v>
      </c>
      <c r="BB34" s="105">
        <v>1.2500108000000001</v>
      </c>
      <c r="BC34" s="106">
        <v>1.2030281</v>
      </c>
      <c r="BD34" s="47">
        <f t="shared" si="7"/>
        <v>1.2277822666666667</v>
      </c>
      <c r="BE34" s="105">
        <f t="shared" si="29"/>
        <v>613.8911333333333</v>
      </c>
      <c r="BF34" s="335">
        <f t="shared" si="24"/>
        <v>92083.67</v>
      </c>
      <c r="BG34" s="105">
        <f t="shared" si="8"/>
        <v>2.3592957479369431E-2</v>
      </c>
      <c r="BH34" s="300">
        <f>((BB34-BC34)/((BB34+BC34)/2))*100</f>
        <v>3.8305711336253196</v>
      </c>
      <c r="BI34" s="2">
        <f t="shared" si="25"/>
        <v>1.9215913211894218</v>
      </c>
      <c r="BJ34" s="181">
        <v>0.64728370000000002</v>
      </c>
      <c r="BK34" s="105">
        <v>0.57419394999999995</v>
      </c>
      <c r="BL34" s="106">
        <v>0.58859570000000005</v>
      </c>
      <c r="BM34" s="47">
        <f t="shared" si="9"/>
        <v>0.60335778333333334</v>
      </c>
      <c r="BN34" s="105">
        <f t="shared" si="10"/>
        <v>603.35778333333337</v>
      </c>
      <c r="BO34" s="334">
        <f t="shared" si="26"/>
        <v>90503.66750000001</v>
      </c>
      <c r="BP34" s="105">
        <f t="shared" si="11"/>
        <v>3.8716497995309886E-2</v>
      </c>
      <c r="BQ34" s="292">
        <f>((BJ34-BK34)/((BJ34+BK34)/2))*100</f>
        <v>11.967431413910859</v>
      </c>
      <c r="BR34" s="2">
        <f t="shared" si="12"/>
        <v>6.4168390737275729</v>
      </c>
    </row>
    <row r="35" spans="2:73" ht="17" thickBot="1">
      <c r="B35" s="77" t="s">
        <v>45</v>
      </c>
      <c r="C35" s="219">
        <v>0.92520535000000004</v>
      </c>
      <c r="D35" s="212">
        <v>0.94647490000000001</v>
      </c>
      <c r="E35" s="213">
        <v>0.97366019999999998</v>
      </c>
      <c r="F35" s="219">
        <f t="shared" si="0"/>
        <v>0.94844681666666675</v>
      </c>
      <c r="G35" s="212">
        <f>F35*50</f>
        <v>47.422340833333337</v>
      </c>
      <c r="H35" s="223">
        <f t="shared" si="14"/>
        <v>2371.1170416666669</v>
      </c>
      <c r="I35" s="212">
        <f t="shared" si="1"/>
        <v>2.4287537208120377E-2</v>
      </c>
      <c r="J35" s="212">
        <f>((E35-C35)/((E35+C35)/2))*100</f>
        <v>5.1035577532069016</v>
      </c>
      <c r="K35" s="220">
        <f t="shared" si="2"/>
        <v>2.5607695425115518</v>
      </c>
      <c r="L35" s="214">
        <v>0.52920144999999996</v>
      </c>
      <c r="M35" s="212">
        <v>0.4941875</v>
      </c>
      <c r="N35" s="213">
        <v>0.49654870000000001</v>
      </c>
      <c r="O35" s="219">
        <f t="shared" si="27"/>
        <v>0.50664588333333327</v>
      </c>
      <c r="P35" s="212">
        <f t="shared" si="15"/>
        <v>50.664588333333327</v>
      </c>
      <c r="Q35" s="223">
        <f t="shared" si="16"/>
        <v>2533.2294166666666</v>
      </c>
      <c r="R35" s="212">
        <f t="shared" si="3"/>
        <v>1.9569338443106151E-2</v>
      </c>
      <c r="S35" s="212">
        <f>((L35-M35)/((L35+M35)/2))*100</f>
        <v>6.8427453706628283</v>
      </c>
      <c r="T35" s="220">
        <f t="shared" si="17"/>
        <v>3.8625278694371747</v>
      </c>
      <c r="Z35" s="87" t="s">
        <v>207</v>
      </c>
      <c r="AA35" s="154">
        <v>0.20550044000000001</v>
      </c>
      <c r="AB35" s="99">
        <v>0.20078979999999999</v>
      </c>
      <c r="AC35" s="100">
        <v>0.2136556</v>
      </c>
      <c r="AD35" s="18">
        <f t="shared" si="4"/>
        <v>0.20664861333333331</v>
      </c>
      <c r="AE35" s="99">
        <f>AD35*50</f>
        <v>10.332430666666665</v>
      </c>
      <c r="AF35" s="326">
        <f>AE35*50</f>
        <v>516.62153333333322</v>
      </c>
      <c r="AG35" s="99">
        <f t="shared" si="5"/>
        <v>6.5092955772904793E-3</v>
      </c>
      <c r="AH35" s="305">
        <f>((AC35-AB35)/((AC35+AB35)/2))*100</f>
        <v>6.2086827360130004</v>
      </c>
      <c r="AI35" s="15">
        <f t="shared" si="20"/>
        <v>3.1499343123056427</v>
      </c>
      <c r="AJ35" s="154">
        <v>0.10501936000000001</v>
      </c>
      <c r="AK35" s="99">
        <v>0.11767052</v>
      </c>
      <c r="AL35" s="100">
        <v>0.1114639</v>
      </c>
      <c r="AM35" s="18">
        <f t="shared" si="28"/>
        <v>0.11138459333333334</v>
      </c>
      <c r="AN35" s="99">
        <f t="shared" si="21"/>
        <v>11.138459333333333</v>
      </c>
      <c r="AO35" s="329">
        <f t="shared" si="22"/>
        <v>556.92296666666664</v>
      </c>
      <c r="AP35" s="99">
        <f t="shared" si="6"/>
        <v>6.3259528528857457E-3</v>
      </c>
      <c r="AQ35" s="293">
        <f>((AK35-AJ35)/((AK35+AJ35)/2))*100</f>
        <v>11.362132845911088</v>
      </c>
      <c r="AR35" s="15">
        <f t="shared" si="23"/>
        <v>5.6793786856630009</v>
      </c>
      <c r="AZ35" s="113" t="s">
        <v>237</v>
      </c>
      <c r="BA35" s="182">
        <v>0.47545137999999998</v>
      </c>
      <c r="BB35" s="109">
        <v>0.44124463000000003</v>
      </c>
      <c r="BC35" s="110">
        <v>0.45041977999999999</v>
      </c>
      <c r="BD35" s="49">
        <f t="shared" si="7"/>
        <v>0.45570526333333333</v>
      </c>
      <c r="BE35" s="109">
        <f t="shared" si="29"/>
        <v>227.85263166666667</v>
      </c>
      <c r="BF35" s="337">
        <f t="shared" si="24"/>
        <v>34177.894749999999</v>
      </c>
      <c r="BG35" s="109">
        <f t="shared" si="8"/>
        <v>1.7705301097152588E-2</v>
      </c>
      <c r="BH35" s="303">
        <f>((BA35-BB35)/((BA35+BB35)/2))*100</f>
        <v>7.4630520100114657</v>
      </c>
      <c r="BI35" s="4">
        <f t="shared" si="25"/>
        <v>3.8852527108517823</v>
      </c>
      <c r="BJ35" s="182">
        <v>0.24031949</v>
      </c>
      <c r="BK35" s="109">
        <v>0.21236706</v>
      </c>
      <c r="BL35" s="110">
        <v>0.21232818000000001</v>
      </c>
      <c r="BM35" s="49">
        <f t="shared" si="9"/>
        <v>0.22167157666666668</v>
      </c>
      <c r="BN35" s="109">
        <f t="shared" si="10"/>
        <v>221.67157666666668</v>
      </c>
      <c r="BO35" s="337">
        <f t="shared" si="26"/>
        <v>33250.736499999999</v>
      </c>
      <c r="BP35" s="109">
        <f t="shared" si="11"/>
        <v>1.6149578374658368E-2</v>
      </c>
      <c r="BQ35" s="293">
        <f>((BJ35-BL35)/((BJ35+BL35)/2))*100</f>
        <v>12.367813580041179</v>
      </c>
      <c r="BR35" s="4">
        <f t="shared" si="12"/>
        <v>7.2853627052704688</v>
      </c>
    </row>
    <row r="39" spans="2:73" ht="17" thickBot="1"/>
    <row r="40" spans="2:73" ht="17" thickBot="1">
      <c r="B40" s="121" t="s">
        <v>137</v>
      </c>
      <c r="C40" s="339" t="s">
        <v>3</v>
      </c>
      <c r="D40" s="340" t="s">
        <v>4</v>
      </c>
      <c r="E40" s="167" t="s">
        <v>10</v>
      </c>
      <c r="G40" s="121" t="s">
        <v>137</v>
      </c>
      <c r="H40" s="80" t="s">
        <v>128</v>
      </c>
      <c r="J40" s="121" t="s">
        <v>136</v>
      </c>
      <c r="K40" s="339" t="s">
        <v>3</v>
      </c>
      <c r="L40" s="340" t="s">
        <v>4</v>
      </c>
      <c r="M40" s="80" t="s">
        <v>10</v>
      </c>
      <c r="O40" s="121" t="s">
        <v>136</v>
      </c>
      <c r="P40" s="167" t="s">
        <v>127</v>
      </c>
      <c r="R40" t="s">
        <v>46</v>
      </c>
      <c r="Z40" s="124" t="s">
        <v>135</v>
      </c>
      <c r="AA40" s="125" t="s">
        <v>3</v>
      </c>
      <c r="AB40" s="126" t="s">
        <v>4</v>
      </c>
      <c r="AC40" s="333" t="s">
        <v>10</v>
      </c>
      <c r="AE40" s="124" t="s">
        <v>135</v>
      </c>
      <c r="AF40" s="127" t="s">
        <v>128</v>
      </c>
      <c r="AH40" s="124" t="s">
        <v>119</v>
      </c>
      <c r="AI40" s="125" t="s">
        <v>3</v>
      </c>
      <c r="AJ40" s="126" t="s">
        <v>4</v>
      </c>
      <c r="AK40" s="127" t="s">
        <v>10</v>
      </c>
      <c r="AM40" s="124" t="s">
        <v>119</v>
      </c>
      <c r="AN40" s="333" t="s">
        <v>127</v>
      </c>
      <c r="AP40" t="s">
        <v>46</v>
      </c>
      <c r="AZ40" s="143" t="s">
        <v>138</v>
      </c>
      <c r="BA40" s="468" t="s">
        <v>3</v>
      </c>
      <c r="BB40" s="469" t="s">
        <v>4</v>
      </c>
      <c r="BC40" s="471" t="s">
        <v>10</v>
      </c>
      <c r="BE40" s="143" t="s">
        <v>138</v>
      </c>
      <c r="BF40" s="471" t="s">
        <v>128</v>
      </c>
      <c r="BH40" s="143" t="s">
        <v>120</v>
      </c>
      <c r="BI40" s="468" t="s">
        <v>3</v>
      </c>
      <c r="BJ40" s="469" t="s">
        <v>4</v>
      </c>
      <c r="BK40" s="471" t="s">
        <v>10</v>
      </c>
      <c r="BM40" s="143" t="s">
        <v>120</v>
      </c>
      <c r="BN40" s="470" t="s">
        <v>127</v>
      </c>
      <c r="BP40" t="s">
        <v>46</v>
      </c>
    </row>
    <row r="41" spans="2:73">
      <c r="B41" s="164">
        <v>1</v>
      </c>
      <c r="C41" s="71">
        <f>G6</f>
        <v>56.741323333333327</v>
      </c>
      <c r="D41" s="72">
        <f>P6</f>
        <v>55.986203999999994</v>
      </c>
      <c r="E41" s="162">
        <f>AVERAGE(C41:D41)</f>
        <v>56.363763666666657</v>
      </c>
      <c r="G41" s="78">
        <v>1</v>
      </c>
      <c r="H41" s="122">
        <v>56.36</v>
      </c>
      <c r="J41" s="75">
        <v>1</v>
      </c>
      <c r="K41" s="139">
        <f t="shared" ref="K41:K70" si="31">G6*50</f>
        <v>2837.0661666666665</v>
      </c>
      <c r="L41" s="72">
        <f t="shared" ref="L41:L70" si="32">P6*50</f>
        <v>2799.3101999999999</v>
      </c>
      <c r="M41" s="162">
        <f>AVERAGE(K41:L41)</f>
        <v>2818.1881833333332</v>
      </c>
      <c r="O41" s="164">
        <v>1</v>
      </c>
      <c r="P41" s="156">
        <f>2818.19</f>
        <v>2818.19</v>
      </c>
      <c r="T41" t="s">
        <v>47</v>
      </c>
      <c r="Z41" s="88">
        <v>1</v>
      </c>
      <c r="AA41" s="148">
        <f>AE6</f>
        <v>15.034399166666667</v>
      </c>
      <c r="AB41" s="149">
        <f>AN6</f>
        <v>16.330737333333335</v>
      </c>
      <c r="AC41" s="146">
        <f>AVERAGE(AA41:AB41)</f>
        <v>15.682568250000001</v>
      </c>
      <c r="AE41" s="85">
        <v>1</v>
      </c>
      <c r="AF41" s="146">
        <v>15.68</v>
      </c>
      <c r="AH41" s="342">
        <v>1</v>
      </c>
      <c r="AI41" s="345">
        <f t="shared" ref="AI41:AI70" si="33">AE6*50</f>
        <v>751.71995833333335</v>
      </c>
      <c r="AJ41" s="149">
        <f t="shared" ref="AJ41:AJ70" si="34">AN6*50</f>
        <v>816.53686666666681</v>
      </c>
      <c r="AK41" s="146">
        <f>AVERAGE(AI41:AJ41)</f>
        <v>784.12841250000008</v>
      </c>
      <c r="AM41" s="348">
        <v>1</v>
      </c>
      <c r="AN41" s="349">
        <v>784.12</v>
      </c>
      <c r="AZ41" s="132">
        <v>1</v>
      </c>
      <c r="BA41" s="134">
        <f>BE6</f>
        <v>202.78299833333335</v>
      </c>
      <c r="BB41" s="134">
        <f t="shared" ref="BB41:BB69" si="35">BN6</f>
        <v>159.35341666666667</v>
      </c>
      <c r="BC41" s="135">
        <f>AVERAGE(BA41:BB41)</f>
        <v>181.06820750000003</v>
      </c>
      <c r="BE41" s="111">
        <v>1</v>
      </c>
      <c r="BF41" s="306">
        <v>181.07</v>
      </c>
      <c r="BH41" s="132">
        <v>1</v>
      </c>
      <c r="BI41" s="358">
        <f>BE6*150</f>
        <v>30417.449750000003</v>
      </c>
      <c r="BJ41" s="359">
        <f>BN6*150</f>
        <v>23903.012500000001</v>
      </c>
      <c r="BK41" s="360">
        <f>AVERAGE(BI41:BJ41)</f>
        <v>27160.231125000002</v>
      </c>
      <c r="BM41" s="352">
        <v>1</v>
      </c>
      <c r="BN41" s="355">
        <f>27160.23</f>
        <v>27160.23</v>
      </c>
    </row>
    <row r="42" spans="2:73">
      <c r="B42" s="165">
        <v>2</v>
      </c>
      <c r="C42" s="13">
        <f>G7</f>
        <v>59.695664999999998</v>
      </c>
      <c r="D42" s="73">
        <f>P7</f>
        <v>55.513548999999998</v>
      </c>
      <c r="E42" s="123">
        <f>AVERAGE(C42:D42)</f>
        <v>57.604607000000001</v>
      </c>
      <c r="G42" s="76">
        <v>2</v>
      </c>
      <c r="H42" s="123">
        <v>57.6</v>
      </c>
      <c r="J42" s="76">
        <v>2</v>
      </c>
      <c r="K42" s="140">
        <f t="shared" si="31"/>
        <v>2984.78325</v>
      </c>
      <c r="L42" s="73">
        <f t="shared" si="32"/>
        <v>2775.6774499999997</v>
      </c>
      <c r="M42" s="123">
        <f>AVERAGE(K42:L42)</f>
        <v>2880.2303499999998</v>
      </c>
      <c r="O42" s="165">
        <v>2</v>
      </c>
      <c r="P42" s="155">
        <v>2880.23</v>
      </c>
      <c r="R42" s="160" t="s">
        <v>3</v>
      </c>
      <c r="T42" t="s">
        <v>48</v>
      </c>
      <c r="Z42" s="86">
        <v>2</v>
      </c>
      <c r="AA42" s="119">
        <f>AE7</f>
        <v>9.2155655000000003</v>
      </c>
      <c r="AB42" s="129">
        <f>AN7</f>
        <v>10.365350666666666</v>
      </c>
      <c r="AC42" s="130">
        <f>AVERAGE(AA42:AB42)</f>
        <v>9.7904580833333341</v>
      </c>
      <c r="AE42" s="86">
        <v>2</v>
      </c>
      <c r="AF42" s="130">
        <v>9.7899999999999991</v>
      </c>
      <c r="AH42" s="343">
        <v>2</v>
      </c>
      <c r="AI42" s="346">
        <f t="shared" si="33"/>
        <v>460.77827500000001</v>
      </c>
      <c r="AJ42" s="129">
        <f t="shared" si="34"/>
        <v>518.26753333333329</v>
      </c>
      <c r="AK42" s="130">
        <f>AVERAGE(AI42:AJ42)</f>
        <v>489.52290416666665</v>
      </c>
      <c r="AM42" s="343">
        <v>2</v>
      </c>
      <c r="AN42" s="350">
        <v>489.52</v>
      </c>
      <c r="AP42" s="160" t="s">
        <v>3</v>
      </c>
      <c r="AR42" t="s">
        <v>49</v>
      </c>
      <c r="AS42">
        <v>0.98</v>
      </c>
      <c r="AZ42" s="132">
        <v>2</v>
      </c>
      <c r="BA42" s="134">
        <f>BE7</f>
        <v>291.27965166666667</v>
      </c>
      <c r="BB42" s="134">
        <f t="shared" si="35"/>
        <v>287.95175</v>
      </c>
      <c r="BC42" s="135">
        <f>AVERAGE(BA42:BB42)</f>
        <v>289.61570083333334</v>
      </c>
      <c r="BE42" s="112">
        <v>2</v>
      </c>
      <c r="BF42" s="307">
        <v>289.62</v>
      </c>
      <c r="BH42" s="132">
        <v>2</v>
      </c>
      <c r="BI42" s="361">
        <f>BE7*150</f>
        <v>43691.947749999999</v>
      </c>
      <c r="BJ42" s="134">
        <f>BN7*150</f>
        <v>43192.762499999997</v>
      </c>
      <c r="BK42" s="135">
        <f>AVERAGE(BI42:BJ42)</f>
        <v>43442.355125000002</v>
      </c>
      <c r="BM42" s="353">
        <v>2</v>
      </c>
      <c r="BN42" s="356">
        <f>43442.36</f>
        <v>43442.36</v>
      </c>
      <c r="BP42" s="160" t="s">
        <v>5</v>
      </c>
      <c r="BR42" t="s">
        <v>50</v>
      </c>
      <c r="BS42">
        <v>0.98</v>
      </c>
    </row>
    <row r="43" spans="2:73">
      <c r="B43" s="165">
        <v>3</v>
      </c>
      <c r="C43" s="13">
        <f>G8</f>
        <v>39.421104499999998</v>
      </c>
      <c r="D43" s="73">
        <f>P8</f>
        <v>39.963811666666665</v>
      </c>
      <c r="E43" s="122">
        <f t="shared" ref="E43:E70" si="36">AVERAGE(C43:D43)</f>
        <v>39.692458083333335</v>
      </c>
      <c r="G43" s="76">
        <v>3</v>
      </c>
      <c r="H43" s="122">
        <v>39.69</v>
      </c>
      <c r="J43" s="76">
        <v>3</v>
      </c>
      <c r="K43" s="140">
        <f t="shared" si="31"/>
        <v>1971.0552249999998</v>
      </c>
      <c r="L43" s="73">
        <f t="shared" si="32"/>
        <v>1998.1905833333333</v>
      </c>
      <c r="M43" s="123">
        <f t="shared" ref="M43:M70" si="37">AVERAGE(K43:L43)</f>
        <v>1984.6229041666666</v>
      </c>
      <c r="O43" s="165">
        <v>3</v>
      </c>
      <c r="P43" s="155">
        <v>1984.62</v>
      </c>
      <c r="Z43" s="86">
        <v>3</v>
      </c>
      <c r="AA43" s="119">
        <f>AE8</f>
        <v>10.184873333333332</v>
      </c>
      <c r="AB43" s="129">
        <f>AN8</f>
        <v>10.692288666666668</v>
      </c>
      <c r="AC43" s="128">
        <f t="shared" ref="AC43:AC70" si="38">AVERAGE(AA43:AB43)</f>
        <v>10.438580999999999</v>
      </c>
      <c r="AE43" s="86">
        <v>3</v>
      </c>
      <c r="AF43" s="128">
        <v>10.44</v>
      </c>
      <c r="AH43" s="343">
        <v>3</v>
      </c>
      <c r="AI43" s="346">
        <f t="shared" si="33"/>
        <v>509.24366666666663</v>
      </c>
      <c r="AJ43" s="129">
        <f t="shared" si="34"/>
        <v>534.61443333333341</v>
      </c>
      <c r="AK43" s="128">
        <f t="shared" ref="AK43:AK70" si="39">AVERAGE(AI43:AJ43)</f>
        <v>521.92904999999996</v>
      </c>
      <c r="AM43" s="343">
        <v>3</v>
      </c>
      <c r="AN43" s="350">
        <v>521.92999999999995</v>
      </c>
      <c r="AZ43" s="132">
        <v>3</v>
      </c>
      <c r="BA43" s="134">
        <f t="shared" ref="BA43:BA69" si="40">BE8</f>
        <v>533.91766666666661</v>
      </c>
      <c r="BB43" s="134">
        <f t="shared" si="35"/>
        <v>529.10545333333334</v>
      </c>
      <c r="BC43" s="135">
        <f>AVERAGE(BA43:BB43)</f>
        <v>531.51155999999992</v>
      </c>
      <c r="BE43" s="112">
        <v>3</v>
      </c>
      <c r="BF43" s="308">
        <v>531.51</v>
      </c>
      <c r="BH43" s="132">
        <v>3</v>
      </c>
      <c r="BI43" s="361">
        <f>BE8*150</f>
        <v>80087.649999999994</v>
      </c>
      <c r="BJ43" s="134">
        <f>BN8*150</f>
        <v>79365.817999999999</v>
      </c>
      <c r="BK43" s="135">
        <f>AVERAGE(BI43:BJ43)</f>
        <v>79726.733999999997</v>
      </c>
      <c r="BM43" s="353">
        <v>3</v>
      </c>
      <c r="BN43" s="356">
        <v>79726.73</v>
      </c>
    </row>
    <row r="44" spans="2:73">
      <c r="B44" s="165">
        <v>4</v>
      </c>
      <c r="C44" s="13">
        <f t="shared" ref="C44:C69" si="41">G9</f>
        <v>29.082950999999994</v>
      </c>
      <c r="D44" s="73">
        <f t="shared" ref="D44:D70" si="42">P9</f>
        <v>29.035004000000004</v>
      </c>
      <c r="E44" s="123">
        <f t="shared" si="36"/>
        <v>29.058977499999997</v>
      </c>
      <c r="G44" s="76">
        <v>4</v>
      </c>
      <c r="H44" s="123">
        <v>29.06</v>
      </c>
      <c r="J44" s="76">
        <v>4</v>
      </c>
      <c r="K44" s="140">
        <f t="shared" si="31"/>
        <v>1454.1475499999997</v>
      </c>
      <c r="L44" s="73">
        <f t="shared" si="32"/>
        <v>1451.7502000000002</v>
      </c>
      <c r="M44" s="123">
        <f t="shared" si="37"/>
        <v>1452.948875</v>
      </c>
      <c r="O44" s="165">
        <v>4</v>
      </c>
      <c r="P44" s="155">
        <v>1452.95</v>
      </c>
      <c r="R44" t="s">
        <v>51</v>
      </c>
      <c r="S44" t="s">
        <v>52</v>
      </c>
      <c r="T44">
        <f>(ABS(C11-D11)/(E11-C11))</f>
        <v>0.90445675503456591</v>
      </c>
      <c r="U44" s="221" t="s">
        <v>53</v>
      </c>
      <c r="V44" t="s">
        <v>54</v>
      </c>
      <c r="Z44" s="86">
        <v>4</v>
      </c>
      <c r="AA44" s="119">
        <f t="shared" ref="AA44:AA69" si="43">AE9</f>
        <v>15.755295666666665</v>
      </c>
      <c r="AB44" s="129">
        <f t="shared" ref="AB44:AB69" si="44">AN9</f>
        <v>20.382341333333333</v>
      </c>
      <c r="AC44" s="130">
        <f t="shared" si="38"/>
        <v>18.068818499999999</v>
      </c>
      <c r="AE44" s="86">
        <v>4</v>
      </c>
      <c r="AF44" s="130">
        <v>18.07</v>
      </c>
      <c r="AH44" s="343">
        <v>4</v>
      </c>
      <c r="AI44" s="346">
        <f t="shared" si="33"/>
        <v>787.7647833333333</v>
      </c>
      <c r="AJ44" s="129">
        <f t="shared" si="34"/>
        <v>1019.1170666666667</v>
      </c>
      <c r="AK44" s="130">
        <f t="shared" si="39"/>
        <v>903.44092499999999</v>
      </c>
      <c r="AM44" s="343">
        <v>4</v>
      </c>
      <c r="AN44" s="350">
        <v>903.44</v>
      </c>
      <c r="AP44" t="s">
        <v>55</v>
      </c>
      <c r="AQ44" t="s">
        <v>56</v>
      </c>
      <c r="AR44">
        <f>(ABS(AC7-AB7)/(AC7-AA7))</f>
        <v>0.56706326113682126</v>
      </c>
      <c r="AS44" s="160" t="s">
        <v>53</v>
      </c>
      <c r="AT44" s="160"/>
      <c r="AU44" t="s">
        <v>54</v>
      </c>
      <c r="AZ44" s="132">
        <v>4</v>
      </c>
      <c r="BA44" s="134">
        <f t="shared" si="40"/>
        <v>121.24142500000002</v>
      </c>
      <c r="BB44" s="134">
        <f t="shared" si="35"/>
        <v>118.24240200000001</v>
      </c>
      <c r="BC44" s="135">
        <f t="shared" ref="BC44:BC70" si="45">AVERAGE(BA44:BB44)</f>
        <v>119.74191350000001</v>
      </c>
      <c r="BE44" s="112">
        <v>4</v>
      </c>
      <c r="BF44" s="307">
        <v>119.74</v>
      </c>
      <c r="BH44" s="132">
        <v>4</v>
      </c>
      <c r="BI44" s="361">
        <f t="shared" ref="BI44:BI70" si="46">BE9*150</f>
        <v>18186.213750000003</v>
      </c>
      <c r="BJ44" s="134">
        <f t="shared" ref="BJ44:BJ70" si="47">BN9*150</f>
        <v>17736.3603</v>
      </c>
      <c r="BK44" s="135">
        <f t="shared" ref="BK44:BK70" si="48">AVERAGE(BI44:BJ44)</f>
        <v>17961.287025000001</v>
      </c>
      <c r="BM44" s="353">
        <v>4</v>
      </c>
      <c r="BN44" s="356">
        <v>17961.29</v>
      </c>
      <c r="BP44" t="s">
        <v>57</v>
      </c>
      <c r="BQ44" t="s">
        <v>56</v>
      </c>
      <c r="BR44">
        <f>(ABS(BA14-BB14)/(BC14-BA14))</f>
        <v>0.88989000368376681</v>
      </c>
      <c r="BS44" s="160" t="s">
        <v>53</v>
      </c>
      <c r="BT44" s="160"/>
      <c r="BU44" t="s">
        <v>54</v>
      </c>
    </row>
    <row r="45" spans="2:73">
      <c r="B45" s="165">
        <v>5</v>
      </c>
      <c r="C45" s="13">
        <f t="shared" si="41"/>
        <v>62.595218333333335</v>
      </c>
      <c r="D45" s="73">
        <f t="shared" si="42"/>
        <v>66.331953333333331</v>
      </c>
      <c r="E45" s="122">
        <f t="shared" si="36"/>
        <v>64.463585833333326</v>
      </c>
      <c r="G45" s="76">
        <v>5</v>
      </c>
      <c r="H45" s="122">
        <v>64.459999999999994</v>
      </c>
      <c r="J45" s="76">
        <v>5</v>
      </c>
      <c r="K45" s="140">
        <f t="shared" si="31"/>
        <v>3129.7609166666666</v>
      </c>
      <c r="L45" s="73">
        <f t="shared" si="32"/>
        <v>3316.5976666666666</v>
      </c>
      <c r="M45" s="123">
        <f t="shared" si="37"/>
        <v>3223.1792916666664</v>
      </c>
      <c r="O45" s="165">
        <v>5</v>
      </c>
      <c r="P45" s="155">
        <v>3223.18</v>
      </c>
      <c r="R45" t="s">
        <v>58</v>
      </c>
      <c r="S45" t="s">
        <v>52</v>
      </c>
      <c r="T45">
        <f>(ABS(C21-E21)/(D21-C21))</f>
        <v>0.92378364760444132</v>
      </c>
      <c r="U45" s="221" t="s">
        <v>53</v>
      </c>
      <c r="V45" t="s">
        <v>54</v>
      </c>
      <c r="Z45" s="86">
        <v>5</v>
      </c>
      <c r="AA45" s="119">
        <f t="shared" si="43"/>
        <v>20.543499000000001</v>
      </c>
      <c r="AB45" s="129">
        <f t="shared" si="44"/>
        <v>19.983628666666668</v>
      </c>
      <c r="AC45" s="128">
        <f t="shared" si="38"/>
        <v>20.263563833333336</v>
      </c>
      <c r="AE45" s="86">
        <v>5</v>
      </c>
      <c r="AF45" s="128">
        <v>20.260000000000002</v>
      </c>
      <c r="AH45" s="343">
        <v>5</v>
      </c>
      <c r="AI45" s="346">
        <f t="shared" si="33"/>
        <v>1027.1749500000001</v>
      </c>
      <c r="AJ45" s="129">
        <f t="shared" si="34"/>
        <v>999.18143333333342</v>
      </c>
      <c r="AK45" s="128">
        <f t="shared" si="39"/>
        <v>1013.1781916666667</v>
      </c>
      <c r="AM45" s="343">
        <v>5</v>
      </c>
      <c r="AN45" s="350">
        <v>1031.18</v>
      </c>
      <c r="AP45" t="s">
        <v>59</v>
      </c>
      <c r="AQ45" t="s">
        <v>56</v>
      </c>
      <c r="AR45">
        <f>(ABS(AA9-AB9)/(AC9-AA9))</f>
        <v>0.92433460346397589</v>
      </c>
      <c r="AS45" s="160" t="s">
        <v>53</v>
      </c>
      <c r="AT45" s="160"/>
      <c r="AU45" t="s">
        <v>54</v>
      </c>
      <c r="AZ45" s="132">
        <v>5</v>
      </c>
      <c r="BA45" s="134">
        <f t="shared" si="40"/>
        <v>280.40043333333335</v>
      </c>
      <c r="BB45" s="134">
        <f t="shared" si="35"/>
        <v>266.46889333333337</v>
      </c>
      <c r="BC45" s="135">
        <f t="shared" si="45"/>
        <v>273.43466333333333</v>
      </c>
      <c r="BE45" s="112">
        <v>5</v>
      </c>
      <c r="BF45" s="308">
        <v>273.43</v>
      </c>
      <c r="BH45" s="132">
        <v>5</v>
      </c>
      <c r="BI45" s="361">
        <f t="shared" si="46"/>
        <v>42060.065000000002</v>
      </c>
      <c r="BJ45" s="134">
        <f t="shared" si="47"/>
        <v>39970.334000000003</v>
      </c>
      <c r="BK45" s="135">
        <f t="shared" si="48"/>
        <v>41015.199500000002</v>
      </c>
      <c r="BM45" s="353">
        <v>5</v>
      </c>
      <c r="BN45" s="356">
        <v>41015.199999999997</v>
      </c>
      <c r="BP45" t="s">
        <v>58</v>
      </c>
      <c r="BQ45" t="s">
        <v>56</v>
      </c>
      <c r="BR45">
        <f>(ABS(BA21-BB21)/(BC21-BA21))</f>
        <v>0.72161695564776385</v>
      </c>
      <c r="BS45" s="160" t="s">
        <v>53</v>
      </c>
      <c r="BT45" s="160"/>
      <c r="BU45" t="s">
        <v>54</v>
      </c>
    </row>
    <row r="46" spans="2:73">
      <c r="B46" s="165">
        <v>6</v>
      </c>
      <c r="C46" s="13">
        <f t="shared" si="41"/>
        <v>13.427915099999998</v>
      </c>
      <c r="D46" s="73">
        <f t="shared" si="42"/>
        <v>17.536572000000003</v>
      </c>
      <c r="E46" s="123">
        <f t="shared" si="36"/>
        <v>15.48224355</v>
      </c>
      <c r="G46" s="76">
        <v>6</v>
      </c>
      <c r="H46" s="123">
        <v>15.48</v>
      </c>
      <c r="J46" s="76">
        <v>6</v>
      </c>
      <c r="K46" s="140">
        <f t="shared" si="31"/>
        <v>671.39575499999989</v>
      </c>
      <c r="L46" s="73">
        <f t="shared" si="32"/>
        <v>876.82860000000016</v>
      </c>
      <c r="M46" s="123">
        <f t="shared" si="37"/>
        <v>774.11217750000003</v>
      </c>
      <c r="O46" s="165">
        <v>6</v>
      </c>
      <c r="P46" s="155">
        <v>774.11</v>
      </c>
      <c r="R46" t="s">
        <v>60</v>
      </c>
      <c r="S46" t="s">
        <v>52</v>
      </c>
      <c r="T46">
        <f>(ABS(E28-C28)/(E28-D28))</f>
        <v>0.74453367876472043</v>
      </c>
      <c r="U46" s="221" t="s">
        <v>53</v>
      </c>
      <c r="V46" t="s">
        <v>54</v>
      </c>
      <c r="Z46" s="86">
        <v>6</v>
      </c>
      <c r="AA46" s="119">
        <f t="shared" si="43"/>
        <v>12.239825333333334</v>
      </c>
      <c r="AB46" s="129">
        <f t="shared" si="44"/>
        <v>14.621603000000002</v>
      </c>
      <c r="AC46" s="130">
        <f t="shared" si="38"/>
        <v>13.430714166666668</v>
      </c>
      <c r="AE46" s="86">
        <v>6</v>
      </c>
      <c r="AF46" s="130">
        <v>13.43</v>
      </c>
      <c r="AH46" s="343">
        <v>6</v>
      </c>
      <c r="AI46" s="346">
        <f t="shared" si="33"/>
        <v>611.99126666666666</v>
      </c>
      <c r="AJ46" s="129">
        <f t="shared" si="34"/>
        <v>731.08015000000012</v>
      </c>
      <c r="AK46" s="130">
        <f t="shared" si="39"/>
        <v>671.53570833333333</v>
      </c>
      <c r="AM46" s="343">
        <v>6</v>
      </c>
      <c r="AN46" s="350">
        <v>671.54</v>
      </c>
      <c r="AP46" t="s">
        <v>61</v>
      </c>
      <c r="AQ46" t="s">
        <v>56</v>
      </c>
      <c r="AR46">
        <f>(ABS(AA12-AB12)/(AA12-AC12))</f>
        <v>0.96086340736394948</v>
      </c>
      <c r="AS46" s="160" t="s">
        <v>53</v>
      </c>
      <c r="AT46" s="160"/>
      <c r="AU46" t="s">
        <v>54</v>
      </c>
      <c r="AZ46" s="132">
        <v>6</v>
      </c>
      <c r="BA46" s="134">
        <f t="shared" si="40"/>
        <v>306.64172833333339</v>
      </c>
      <c r="BB46" s="134">
        <f t="shared" si="35"/>
        <v>302.71147666666673</v>
      </c>
      <c r="BC46" s="135">
        <f t="shared" si="45"/>
        <v>304.67660250000006</v>
      </c>
      <c r="BE46" s="112">
        <v>6</v>
      </c>
      <c r="BF46" s="307">
        <v>304.68</v>
      </c>
      <c r="BH46" s="132">
        <v>6</v>
      </c>
      <c r="BI46" s="361">
        <f t="shared" si="46"/>
        <v>45996.25925000001</v>
      </c>
      <c r="BJ46" s="134">
        <f t="shared" si="47"/>
        <v>45406.721500000007</v>
      </c>
      <c r="BK46" s="135">
        <f t="shared" si="48"/>
        <v>45701.490375000008</v>
      </c>
      <c r="BM46" s="353">
        <v>6</v>
      </c>
      <c r="BN46" s="356">
        <v>45701.49</v>
      </c>
      <c r="BP46" t="s">
        <v>62</v>
      </c>
      <c r="BQ46" t="s">
        <v>56</v>
      </c>
      <c r="BR46">
        <f>(ABS(BC22-BB22)/(BA22-BC22))</f>
        <v>0.49075325174073109</v>
      </c>
      <c r="BS46" s="160" t="s">
        <v>53</v>
      </c>
      <c r="BT46" s="160"/>
      <c r="BU46" t="s">
        <v>54</v>
      </c>
    </row>
    <row r="47" spans="2:73">
      <c r="B47" s="165">
        <v>7</v>
      </c>
      <c r="C47" s="13">
        <f t="shared" si="41"/>
        <v>24.240374666666668</v>
      </c>
      <c r="D47" s="73">
        <f t="shared" si="42"/>
        <v>26.019600000000004</v>
      </c>
      <c r="E47" s="122">
        <f t="shared" si="36"/>
        <v>25.129987333333336</v>
      </c>
      <c r="G47" s="76">
        <v>7</v>
      </c>
      <c r="H47" s="122">
        <v>25.13</v>
      </c>
      <c r="J47" s="76">
        <v>7</v>
      </c>
      <c r="K47" s="140">
        <f t="shared" si="31"/>
        <v>1212.0187333333333</v>
      </c>
      <c r="L47" s="73">
        <f t="shared" si="32"/>
        <v>1300.9800000000002</v>
      </c>
      <c r="M47" s="123">
        <f t="shared" si="37"/>
        <v>1256.4993666666669</v>
      </c>
      <c r="O47" s="165">
        <v>7</v>
      </c>
      <c r="P47" s="155">
        <v>1256.5</v>
      </c>
      <c r="Z47" s="86">
        <v>7</v>
      </c>
      <c r="AA47" s="119">
        <f t="shared" si="43"/>
        <v>10.223362183333334</v>
      </c>
      <c r="AB47" s="129">
        <f t="shared" si="44"/>
        <v>9.7312563999999995</v>
      </c>
      <c r="AC47" s="128">
        <f t="shared" si="38"/>
        <v>9.9773092916666677</v>
      </c>
      <c r="AE47" s="86">
        <v>7</v>
      </c>
      <c r="AF47" s="128">
        <v>9.98</v>
      </c>
      <c r="AH47" s="343">
        <v>7</v>
      </c>
      <c r="AI47" s="346">
        <f t="shared" si="33"/>
        <v>511.16810916666668</v>
      </c>
      <c r="AJ47" s="129">
        <f t="shared" si="34"/>
        <v>486.56281999999999</v>
      </c>
      <c r="AK47" s="128">
        <f t="shared" si="39"/>
        <v>498.86546458333333</v>
      </c>
      <c r="AM47" s="343">
        <v>7</v>
      </c>
      <c r="AN47" s="350">
        <v>498.87</v>
      </c>
      <c r="AP47" t="s">
        <v>58</v>
      </c>
      <c r="AQ47" t="s">
        <v>56</v>
      </c>
      <c r="AR47">
        <f>(ABS(AA21-AC21)/(AB21-AA21))</f>
        <v>0.87091420825939503</v>
      </c>
      <c r="AS47" s="160" t="s">
        <v>53</v>
      </c>
      <c r="AT47" s="160"/>
      <c r="AU47" t="s">
        <v>54</v>
      </c>
      <c r="AZ47" s="132">
        <v>7</v>
      </c>
      <c r="BA47" s="134">
        <f t="shared" si="40"/>
        <v>119.11854500000001</v>
      </c>
      <c r="BB47" s="134">
        <f t="shared" si="35"/>
        <v>123.70122666666667</v>
      </c>
      <c r="BC47" s="135">
        <f t="shared" si="45"/>
        <v>121.40988583333333</v>
      </c>
      <c r="BE47" s="112">
        <v>7</v>
      </c>
      <c r="BF47" s="308">
        <v>121.41</v>
      </c>
      <c r="BH47" s="132">
        <v>7</v>
      </c>
      <c r="BI47" s="361">
        <f t="shared" si="46"/>
        <v>17867.781750000002</v>
      </c>
      <c r="BJ47" s="134">
        <f t="shared" si="47"/>
        <v>18555.184000000001</v>
      </c>
      <c r="BK47" s="135">
        <f t="shared" si="48"/>
        <v>18211.482875000002</v>
      </c>
      <c r="BM47" s="353">
        <v>7</v>
      </c>
      <c r="BN47" s="356">
        <v>18211.48</v>
      </c>
      <c r="BP47" t="s">
        <v>63</v>
      </c>
      <c r="BQ47" t="s">
        <v>64</v>
      </c>
      <c r="BR47">
        <f>(ABS(BC27-BA27)/(BC27-BB27))</f>
        <v>0.6692794976040648</v>
      </c>
      <c r="BS47" s="160" t="s">
        <v>53</v>
      </c>
      <c r="BT47" s="160"/>
      <c r="BU47" t="s">
        <v>54</v>
      </c>
    </row>
    <row r="48" spans="2:73">
      <c r="B48" s="165">
        <v>8</v>
      </c>
      <c r="C48" s="13">
        <f t="shared" si="41"/>
        <v>61.550794999999994</v>
      </c>
      <c r="D48" s="73">
        <f t="shared" si="42"/>
        <v>63.258064999999995</v>
      </c>
      <c r="E48" s="123">
        <f t="shared" si="36"/>
        <v>62.404429999999991</v>
      </c>
      <c r="G48" s="76">
        <v>8</v>
      </c>
      <c r="H48" s="123">
        <v>62.4</v>
      </c>
      <c r="J48" s="76">
        <v>8</v>
      </c>
      <c r="K48" s="140">
        <f t="shared" si="31"/>
        <v>3077.5397499999999</v>
      </c>
      <c r="L48" s="73">
        <f t="shared" si="32"/>
        <v>3162.9032499999998</v>
      </c>
      <c r="M48" s="123">
        <f t="shared" si="37"/>
        <v>3120.2214999999997</v>
      </c>
      <c r="O48" s="165">
        <v>8</v>
      </c>
      <c r="P48" s="155">
        <v>3120.22</v>
      </c>
      <c r="R48" s="160" t="s">
        <v>4</v>
      </c>
      <c r="T48" t="s">
        <v>49</v>
      </c>
      <c r="U48">
        <v>0.98</v>
      </c>
      <c r="Z48" s="86">
        <v>8</v>
      </c>
      <c r="AA48" s="119">
        <f t="shared" si="43"/>
        <v>35.3002155</v>
      </c>
      <c r="AB48" s="129">
        <f t="shared" si="44"/>
        <v>35.434315233333329</v>
      </c>
      <c r="AC48" s="130">
        <f t="shared" si="38"/>
        <v>35.367265366666665</v>
      </c>
      <c r="AE48" s="86">
        <v>8</v>
      </c>
      <c r="AF48" s="130">
        <v>35.369999999999997</v>
      </c>
      <c r="AH48" s="343">
        <v>8</v>
      </c>
      <c r="AI48" s="346">
        <f t="shared" si="33"/>
        <v>1765.010775</v>
      </c>
      <c r="AJ48" s="129">
        <f t="shared" si="34"/>
        <v>1771.7157616666664</v>
      </c>
      <c r="AK48" s="130">
        <f t="shared" si="39"/>
        <v>1768.3632683333331</v>
      </c>
      <c r="AM48" s="343">
        <v>8</v>
      </c>
      <c r="AN48" s="350">
        <v>1768.36</v>
      </c>
      <c r="AP48" t="s">
        <v>65</v>
      </c>
      <c r="AQ48" t="s">
        <v>56</v>
      </c>
      <c r="AR48">
        <f>(ABS(AA33-AC33)/(AB33-AA33))</f>
        <v>0.56389984077911171</v>
      </c>
      <c r="AS48" s="160" t="s">
        <v>53</v>
      </c>
      <c r="AT48" s="160"/>
      <c r="AU48" t="s">
        <v>54</v>
      </c>
      <c r="AZ48" s="132">
        <v>8</v>
      </c>
      <c r="BA48" s="134">
        <f t="shared" si="40"/>
        <v>244.87320833333334</v>
      </c>
      <c r="BB48" s="134">
        <f t="shared" si="35"/>
        <v>231.79890333333333</v>
      </c>
      <c r="BC48" s="135">
        <f t="shared" si="45"/>
        <v>238.33605583333332</v>
      </c>
      <c r="BE48" s="112">
        <v>8</v>
      </c>
      <c r="BF48" s="307">
        <v>238.68</v>
      </c>
      <c r="BH48" s="132">
        <v>8</v>
      </c>
      <c r="BI48" s="361">
        <f t="shared" si="46"/>
        <v>36730.981249999997</v>
      </c>
      <c r="BJ48" s="134">
        <f t="shared" si="47"/>
        <v>34769.835500000001</v>
      </c>
      <c r="BK48" s="135">
        <f t="shared" si="48"/>
        <v>35750.408374999999</v>
      </c>
      <c r="BM48" s="353">
        <v>8</v>
      </c>
      <c r="BN48" s="356">
        <v>35750.410000000003</v>
      </c>
    </row>
    <row r="49" spans="2:71">
      <c r="B49" s="165">
        <v>9</v>
      </c>
      <c r="C49" s="13">
        <f t="shared" si="41"/>
        <v>9.1193713333333335</v>
      </c>
      <c r="D49" s="73">
        <f t="shared" si="42"/>
        <v>9.5436809999999994</v>
      </c>
      <c r="E49" s="122">
        <f t="shared" si="36"/>
        <v>9.3315261666666665</v>
      </c>
      <c r="G49" s="76">
        <v>9</v>
      </c>
      <c r="H49" s="122">
        <v>9.33</v>
      </c>
      <c r="J49" s="76">
        <v>9</v>
      </c>
      <c r="K49" s="140">
        <f t="shared" si="31"/>
        <v>455.96856666666667</v>
      </c>
      <c r="L49" s="73">
        <f t="shared" si="32"/>
        <v>477.18404999999996</v>
      </c>
      <c r="M49" s="123">
        <f t="shared" si="37"/>
        <v>466.57630833333332</v>
      </c>
      <c r="O49" s="165">
        <v>9</v>
      </c>
      <c r="P49" s="155">
        <v>466.58</v>
      </c>
      <c r="Z49" s="86">
        <v>9</v>
      </c>
      <c r="AA49" s="119">
        <f t="shared" si="43"/>
        <v>40.196794166666663</v>
      </c>
      <c r="AB49" s="129">
        <f t="shared" si="44"/>
        <v>41.14119766666667</v>
      </c>
      <c r="AC49" s="128">
        <f t="shared" si="38"/>
        <v>40.668995916666667</v>
      </c>
      <c r="AE49" s="86">
        <v>9</v>
      </c>
      <c r="AF49" s="128">
        <v>40.67</v>
      </c>
      <c r="AH49" s="343">
        <v>9</v>
      </c>
      <c r="AI49" s="346">
        <f t="shared" si="33"/>
        <v>2009.8397083333332</v>
      </c>
      <c r="AJ49" s="129">
        <f t="shared" si="34"/>
        <v>2057.0598833333333</v>
      </c>
      <c r="AK49" s="128">
        <f t="shared" si="39"/>
        <v>2033.4497958333332</v>
      </c>
      <c r="AM49" s="343">
        <v>9</v>
      </c>
      <c r="AN49" s="350">
        <v>2033.45</v>
      </c>
      <c r="AS49" s="160"/>
      <c r="AT49" s="160"/>
      <c r="AZ49" s="132">
        <v>9</v>
      </c>
      <c r="BA49" s="134">
        <f t="shared" si="40"/>
        <v>350.85285666666664</v>
      </c>
      <c r="BB49" s="134">
        <f t="shared" si="35"/>
        <v>443.24258999999995</v>
      </c>
      <c r="BC49" s="135">
        <f t="shared" si="45"/>
        <v>397.04772333333329</v>
      </c>
      <c r="BE49" s="112">
        <v>9</v>
      </c>
      <c r="BF49" s="308">
        <v>397.05</v>
      </c>
      <c r="BH49" s="132">
        <v>9</v>
      </c>
      <c r="BI49" s="361">
        <f t="shared" si="46"/>
        <v>52627.928499999995</v>
      </c>
      <c r="BJ49" s="134">
        <f t="shared" si="47"/>
        <v>66486.388499999986</v>
      </c>
      <c r="BK49" s="135">
        <f t="shared" si="48"/>
        <v>59557.15849999999</v>
      </c>
      <c r="BM49" s="353">
        <v>9</v>
      </c>
      <c r="BN49" s="356">
        <v>59557.16</v>
      </c>
      <c r="BP49" s="160" t="s">
        <v>6</v>
      </c>
      <c r="BR49" t="s">
        <v>50</v>
      </c>
      <c r="BS49">
        <v>0.98</v>
      </c>
    </row>
    <row r="50" spans="2:71">
      <c r="B50" s="165">
        <v>10</v>
      </c>
      <c r="C50" s="13">
        <f t="shared" si="41"/>
        <v>33.337718000000002</v>
      </c>
      <c r="D50" s="73">
        <f t="shared" si="42"/>
        <v>32.437646666666666</v>
      </c>
      <c r="E50" s="123">
        <f t="shared" si="36"/>
        <v>32.887682333333331</v>
      </c>
      <c r="G50" s="76">
        <v>10</v>
      </c>
      <c r="H50" s="123">
        <v>32.89</v>
      </c>
      <c r="J50" s="76">
        <v>10</v>
      </c>
      <c r="K50" s="140">
        <f t="shared" si="31"/>
        <v>1666.8859000000002</v>
      </c>
      <c r="L50" s="73">
        <f t="shared" si="32"/>
        <v>1621.8823333333332</v>
      </c>
      <c r="M50" s="123">
        <f t="shared" si="37"/>
        <v>1644.3841166666666</v>
      </c>
      <c r="O50" s="165">
        <v>10</v>
      </c>
      <c r="P50" s="155">
        <v>1644.38</v>
      </c>
      <c r="R50" t="s">
        <v>60</v>
      </c>
      <c r="S50" t="s">
        <v>56</v>
      </c>
      <c r="T50">
        <f>(ABS(N28-L28)/(N28-M28))</f>
        <v>0.76916568857963596</v>
      </c>
      <c r="U50" s="160" t="s">
        <v>53</v>
      </c>
      <c r="V50" t="s">
        <v>54</v>
      </c>
      <c r="Z50" s="86">
        <v>10</v>
      </c>
      <c r="AA50" s="119">
        <f t="shared" si="43"/>
        <v>8.2266568333333332</v>
      </c>
      <c r="AB50" s="129">
        <f t="shared" si="44"/>
        <v>7.8359778333333336</v>
      </c>
      <c r="AC50" s="130">
        <f t="shared" si="38"/>
        <v>8.0313173333333339</v>
      </c>
      <c r="AE50" s="86">
        <v>10</v>
      </c>
      <c r="AF50" s="130">
        <v>8.0299999999999994</v>
      </c>
      <c r="AH50" s="343">
        <v>10</v>
      </c>
      <c r="AI50" s="346">
        <f t="shared" si="33"/>
        <v>411.33284166666664</v>
      </c>
      <c r="AJ50" s="129">
        <f t="shared" si="34"/>
        <v>391.79889166666669</v>
      </c>
      <c r="AK50" s="130">
        <f t="shared" si="39"/>
        <v>401.56586666666669</v>
      </c>
      <c r="AM50" s="343">
        <v>10</v>
      </c>
      <c r="AN50" s="350">
        <v>401.57</v>
      </c>
      <c r="AZ50" s="132">
        <v>10</v>
      </c>
      <c r="BA50" s="134">
        <f t="shared" si="40"/>
        <v>314.5326</v>
      </c>
      <c r="BB50" s="134">
        <f t="shared" si="35"/>
        <v>341.49943666666667</v>
      </c>
      <c r="BC50" s="135">
        <f t="shared" si="45"/>
        <v>328.01601833333336</v>
      </c>
      <c r="BE50" s="112">
        <v>10</v>
      </c>
      <c r="BF50" s="307">
        <v>328.02</v>
      </c>
      <c r="BH50" s="132">
        <v>10</v>
      </c>
      <c r="BI50" s="361">
        <f t="shared" si="46"/>
        <v>47179.89</v>
      </c>
      <c r="BJ50" s="134">
        <f t="shared" si="47"/>
        <v>51224.915500000003</v>
      </c>
      <c r="BK50" s="135">
        <f t="shared" si="48"/>
        <v>49202.402750000001</v>
      </c>
      <c r="BM50" s="353">
        <v>10</v>
      </c>
      <c r="BN50" s="356">
        <v>49202.400000000001</v>
      </c>
    </row>
    <row r="51" spans="2:71">
      <c r="B51" s="165">
        <v>11</v>
      </c>
      <c r="C51" s="13">
        <f t="shared" si="41"/>
        <v>14.410054833333334</v>
      </c>
      <c r="D51" s="73">
        <f t="shared" si="42"/>
        <v>15.265740000000003</v>
      </c>
      <c r="E51" s="122">
        <f t="shared" si="36"/>
        <v>14.837897416666667</v>
      </c>
      <c r="G51" s="76">
        <v>11</v>
      </c>
      <c r="H51" s="122">
        <v>14.84</v>
      </c>
      <c r="J51" s="76">
        <v>11</v>
      </c>
      <c r="K51" s="140">
        <f t="shared" si="31"/>
        <v>720.50274166666668</v>
      </c>
      <c r="L51" s="73">
        <f t="shared" si="32"/>
        <v>763.28700000000015</v>
      </c>
      <c r="M51" s="123">
        <f t="shared" si="37"/>
        <v>741.89487083333347</v>
      </c>
      <c r="O51" s="165">
        <v>11</v>
      </c>
      <c r="P51" s="155">
        <v>741.89</v>
      </c>
      <c r="R51" t="s">
        <v>66</v>
      </c>
      <c r="S51" t="s">
        <v>56</v>
      </c>
      <c r="T51">
        <f>(ABS(M31-N31)/(L31-M31))</f>
        <v>0.66967815096938965</v>
      </c>
      <c r="U51" s="160" t="s">
        <v>53</v>
      </c>
      <c r="V51" t="s">
        <v>54</v>
      </c>
      <c r="Z51" s="86">
        <v>11</v>
      </c>
      <c r="AA51" s="119">
        <f t="shared" si="43"/>
        <v>30.695451333333327</v>
      </c>
      <c r="AB51" s="129">
        <f t="shared" si="44"/>
        <v>33.870293666666669</v>
      </c>
      <c r="AC51" s="128">
        <f t="shared" si="38"/>
        <v>32.282872499999996</v>
      </c>
      <c r="AE51" s="86">
        <v>11</v>
      </c>
      <c r="AF51" s="128">
        <v>32.28</v>
      </c>
      <c r="AH51" s="343">
        <v>11</v>
      </c>
      <c r="AI51" s="346">
        <f t="shared" si="33"/>
        <v>1534.7725666666663</v>
      </c>
      <c r="AJ51" s="129">
        <f t="shared" si="34"/>
        <v>1693.5146833333333</v>
      </c>
      <c r="AK51" s="128">
        <f t="shared" si="39"/>
        <v>1614.1436249999997</v>
      </c>
      <c r="AM51" s="343">
        <v>11</v>
      </c>
      <c r="AN51" s="350">
        <v>1614.14</v>
      </c>
      <c r="AP51" s="160" t="s">
        <v>4</v>
      </c>
      <c r="AR51" t="s">
        <v>49</v>
      </c>
      <c r="AS51">
        <v>0.98</v>
      </c>
      <c r="AZ51" s="132">
        <v>11</v>
      </c>
      <c r="BA51" s="134">
        <f t="shared" si="40"/>
        <v>252.40172333333334</v>
      </c>
      <c r="BB51" s="134">
        <f t="shared" si="35"/>
        <v>241.11882666666671</v>
      </c>
      <c r="BC51" s="135">
        <f t="shared" si="45"/>
        <v>246.76027500000004</v>
      </c>
      <c r="BE51" s="112">
        <v>11</v>
      </c>
      <c r="BF51" s="308">
        <v>246.76</v>
      </c>
      <c r="BH51" s="132">
        <v>11</v>
      </c>
      <c r="BI51" s="361">
        <f t="shared" si="46"/>
        <v>37860.258500000004</v>
      </c>
      <c r="BJ51" s="134">
        <f t="shared" si="47"/>
        <v>36167.824000000008</v>
      </c>
      <c r="BK51" s="135">
        <f>AVERAGE(BI51:BJ51)</f>
        <v>37014.041250000009</v>
      </c>
      <c r="BM51" s="353">
        <v>11</v>
      </c>
      <c r="BN51" s="356">
        <v>37014.04</v>
      </c>
    </row>
    <row r="52" spans="2:71">
      <c r="B52" s="165">
        <v>12</v>
      </c>
      <c r="C52" s="13">
        <f t="shared" si="41"/>
        <v>19.769117666666666</v>
      </c>
      <c r="D52" s="73">
        <f t="shared" si="42"/>
        <v>21.430784333333332</v>
      </c>
      <c r="E52" s="123">
        <f t="shared" si="36"/>
        <v>20.599950999999997</v>
      </c>
      <c r="G52" s="76">
        <v>12</v>
      </c>
      <c r="H52" s="123">
        <v>20.6</v>
      </c>
      <c r="J52" s="76">
        <v>12</v>
      </c>
      <c r="K52" s="140">
        <f t="shared" si="31"/>
        <v>988.4558833333333</v>
      </c>
      <c r="L52" s="73">
        <f t="shared" si="32"/>
        <v>1071.5392166666666</v>
      </c>
      <c r="M52" s="123">
        <f t="shared" si="37"/>
        <v>1029.99755</v>
      </c>
      <c r="O52" s="165">
        <v>12</v>
      </c>
      <c r="P52" s="155">
        <v>1030</v>
      </c>
      <c r="R52" t="s">
        <v>67</v>
      </c>
      <c r="S52" t="s">
        <v>56</v>
      </c>
      <c r="T52">
        <f>(ABS(M32-N32)/(M32-L32))</f>
        <v>0.86229475573083969</v>
      </c>
      <c r="U52" s="160" t="s">
        <v>53</v>
      </c>
      <c r="V52" t="s">
        <v>54</v>
      </c>
      <c r="Z52" s="86">
        <v>12</v>
      </c>
      <c r="AA52" s="119">
        <f t="shared" si="43"/>
        <v>7.341434500000001</v>
      </c>
      <c r="AB52" s="129">
        <f t="shared" si="44"/>
        <v>8.4621898333333334</v>
      </c>
      <c r="AC52" s="130">
        <f t="shared" si="38"/>
        <v>7.9018121666666676</v>
      </c>
      <c r="AE52" s="86">
        <v>12</v>
      </c>
      <c r="AF52" s="130">
        <v>7.9</v>
      </c>
      <c r="AH52" s="343">
        <v>12</v>
      </c>
      <c r="AI52" s="346">
        <f t="shared" si="33"/>
        <v>367.07172500000007</v>
      </c>
      <c r="AJ52" s="129">
        <f t="shared" si="34"/>
        <v>423.10949166666666</v>
      </c>
      <c r="AK52" s="130">
        <f t="shared" si="39"/>
        <v>395.09060833333336</v>
      </c>
      <c r="AM52" s="343">
        <v>12</v>
      </c>
      <c r="AN52" s="350">
        <v>395.09</v>
      </c>
      <c r="AZ52" s="132">
        <v>12</v>
      </c>
      <c r="BA52" s="134">
        <f t="shared" si="40"/>
        <v>299.24924333333331</v>
      </c>
      <c r="BB52" s="134">
        <f t="shared" si="35"/>
        <v>295.41663</v>
      </c>
      <c r="BC52" s="135">
        <f t="shared" si="45"/>
        <v>297.33293666666668</v>
      </c>
      <c r="BE52" s="112">
        <v>12</v>
      </c>
      <c r="BF52" s="307">
        <v>297.33</v>
      </c>
      <c r="BH52" s="132">
        <v>12</v>
      </c>
      <c r="BI52" s="361">
        <f t="shared" si="46"/>
        <v>44887.386499999993</v>
      </c>
      <c r="BJ52" s="134">
        <f t="shared" si="47"/>
        <v>44312.494500000001</v>
      </c>
      <c r="BK52" s="135">
        <f t="shared" si="48"/>
        <v>44599.940499999997</v>
      </c>
      <c r="BM52" s="353">
        <v>12</v>
      </c>
      <c r="BN52" s="356">
        <v>44599.94</v>
      </c>
    </row>
    <row r="53" spans="2:71">
      <c r="B53" s="165">
        <v>13</v>
      </c>
      <c r="C53" s="13">
        <f t="shared" si="41"/>
        <v>31.176099333333333</v>
      </c>
      <c r="D53" s="73">
        <f t="shared" si="42"/>
        <v>33.252541333333333</v>
      </c>
      <c r="E53" s="122">
        <f t="shared" si="36"/>
        <v>32.214320333333333</v>
      </c>
      <c r="G53" s="76">
        <v>13</v>
      </c>
      <c r="H53" s="122">
        <v>32.21</v>
      </c>
      <c r="J53" s="76">
        <v>13</v>
      </c>
      <c r="K53" s="140">
        <f t="shared" si="31"/>
        <v>1558.8049666666666</v>
      </c>
      <c r="L53" s="73">
        <f t="shared" si="32"/>
        <v>1662.6270666666667</v>
      </c>
      <c r="M53" s="123">
        <f t="shared" si="37"/>
        <v>1610.7160166666667</v>
      </c>
      <c r="O53" s="165">
        <v>13</v>
      </c>
      <c r="P53" s="155">
        <v>1610.72</v>
      </c>
      <c r="R53" s="160"/>
      <c r="S53" s="160"/>
      <c r="Z53" s="86">
        <v>13</v>
      </c>
      <c r="AA53" s="119">
        <f t="shared" si="43"/>
        <v>21.055042</v>
      </c>
      <c r="AB53" s="129">
        <f t="shared" si="44"/>
        <v>21.722200999999998</v>
      </c>
      <c r="AC53" s="128">
        <f t="shared" si="38"/>
        <v>21.388621499999999</v>
      </c>
      <c r="AE53" s="86">
        <v>13</v>
      </c>
      <c r="AF53" s="128">
        <v>21.39</v>
      </c>
      <c r="AH53" s="343">
        <v>13</v>
      </c>
      <c r="AI53" s="346">
        <f t="shared" si="33"/>
        <v>1052.7520999999999</v>
      </c>
      <c r="AJ53" s="129">
        <f t="shared" si="34"/>
        <v>1086.11005</v>
      </c>
      <c r="AK53" s="128">
        <f t="shared" si="39"/>
        <v>1069.431075</v>
      </c>
      <c r="AM53" s="343">
        <v>13</v>
      </c>
      <c r="AN53" s="350">
        <v>1069.43</v>
      </c>
      <c r="AP53" t="s">
        <v>68</v>
      </c>
      <c r="AQ53" t="s">
        <v>56</v>
      </c>
      <c r="AR53">
        <f>(ABS(AL6-AK6)/(AJ6-AL6))</f>
        <v>0.95911742796576283</v>
      </c>
      <c r="AS53" s="160" t="s">
        <v>53</v>
      </c>
      <c r="AT53" s="160"/>
      <c r="AU53" t="s">
        <v>54</v>
      </c>
      <c r="AZ53" s="132">
        <v>13</v>
      </c>
      <c r="BA53" s="134">
        <f t="shared" si="40"/>
        <v>380.87366666666674</v>
      </c>
      <c r="BB53" s="134">
        <f t="shared" si="35"/>
        <v>395.93871333333334</v>
      </c>
      <c r="BC53" s="135">
        <f t="shared" si="45"/>
        <v>388.40619000000004</v>
      </c>
      <c r="BE53" s="112">
        <v>13</v>
      </c>
      <c r="BF53" s="308">
        <v>388.41</v>
      </c>
      <c r="BH53" s="132">
        <v>13</v>
      </c>
      <c r="BI53" s="361">
        <f t="shared" si="46"/>
        <v>57131.05000000001</v>
      </c>
      <c r="BJ53" s="134">
        <f t="shared" si="47"/>
        <v>59390.807000000001</v>
      </c>
      <c r="BK53" s="135">
        <f t="shared" si="48"/>
        <v>58260.928500000009</v>
      </c>
      <c r="BM53" s="353">
        <v>13</v>
      </c>
      <c r="BN53" s="356">
        <v>58260.93</v>
      </c>
    </row>
    <row r="54" spans="2:71">
      <c r="B54" s="165">
        <v>14</v>
      </c>
      <c r="C54" s="13">
        <f t="shared" si="41"/>
        <v>8.9530550000000009</v>
      </c>
      <c r="D54" s="73">
        <f t="shared" si="42"/>
        <v>10.337186133333333</v>
      </c>
      <c r="E54" s="123">
        <f t="shared" si="36"/>
        <v>9.645120566666666</v>
      </c>
      <c r="G54" s="76">
        <v>14</v>
      </c>
      <c r="H54" s="123">
        <v>9.65</v>
      </c>
      <c r="J54" s="76">
        <v>14</v>
      </c>
      <c r="K54" s="140">
        <f t="shared" si="31"/>
        <v>447.65275000000003</v>
      </c>
      <c r="L54" s="73">
        <f t="shared" si="32"/>
        <v>516.85930666666661</v>
      </c>
      <c r="M54" s="123">
        <f t="shared" si="37"/>
        <v>482.25602833333335</v>
      </c>
      <c r="O54" s="165">
        <v>14</v>
      </c>
      <c r="P54" s="155">
        <v>482.26</v>
      </c>
      <c r="Z54" s="86">
        <v>14</v>
      </c>
      <c r="AA54" s="119">
        <f t="shared" si="43"/>
        <v>6.4792888333333343</v>
      </c>
      <c r="AB54" s="129">
        <f t="shared" si="44"/>
        <v>6.3472002333333331</v>
      </c>
      <c r="AC54" s="130">
        <f t="shared" si="38"/>
        <v>6.4132445333333337</v>
      </c>
      <c r="AE54" s="86">
        <v>14</v>
      </c>
      <c r="AF54" s="130">
        <v>6.41</v>
      </c>
      <c r="AH54" s="343">
        <v>14</v>
      </c>
      <c r="AI54" s="346">
        <f t="shared" si="33"/>
        <v>323.96444166666669</v>
      </c>
      <c r="AJ54" s="129">
        <f t="shared" si="34"/>
        <v>317.36001166666665</v>
      </c>
      <c r="AK54" s="130">
        <f t="shared" si="39"/>
        <v>320.6622266666667</v>
      </c>
      <c r="AM54" s="343">
        <v>14</v>
      </c>
      <c r="AN54" s="350">
        <v>320.66000000000003</v>
      </c>
      <c r="AP54" t="s">
        <v>55</v>
      </c>
      <c r="AQ54" t="s">
        <v>56</v>
      </c>
      <c r="AR54">
        <f>(ABS(AJ7-AL7)/(AJ7-AK7))</f>
        <v>0.75730426068913737</v>
      </c>
      <c r="AS54" s="160" t="s">
        <v>53</v>
      </c>
      <c r="AT54" s="160"/>
      <c r="AU54" t="s">
        <v>54</v>
      </c>
      <c r="AZ54" s="132">
        <v>14</v>
      </c>
      <c r="BA54" s="134">
        <f t="shared" si="40"/>
        <v>314.62268333333338</v>
      </c>
      <c r="BB54" s="134">
        <f t="shared" si="35"/>
        <v>316.95438333333334</v>
      </c>
      <c r="BC54" s="135">
        <f t="shared" si="45"/>
        <v>315.78853333333336</v>
      </c>
      <c r="BE54" s="112">
        <v>14</v>
      </c>
      <c r="BF54" s="307">
        <v>315.79000000000002</v>
      </c>
      <c r="BH54" s="132">
        <v>14</v>
      </c>
      <c r="BI54" s="361">
        <f t="shared" si="46"/>
        <v>47193.402500000011</v>
      </c>
      <c r="BJ54" s="134">
        <f t="shared" si="47"/>
        <v>47543.157500000001</v>
      </c>
      <c r="BK54" s="135">
        <f t="shared" si="48"/>
        <v>47368.280000000006</v>
      </c>
      <c r="BM54" s="353">
        <v>14</v>
      </c>
      <c r="BN54" s="356">
        <v>47368.28</v>
      </c>
    </row>
    <row r="55" spans="2:71">
      <c r="B55" s="165">
        <v>15</v>
      </c>
      <c r="C55" s="13">
        <f t="shared" si="41"/>
        <v>17.751711</v>
      </c>
      <c r="D55" s="73">
        <f t="shared" si="42"/>
        <v>16.735486333333334</v>
      </c>
      <c r="E55" s="122">
        <f t="shared" si="36"/>
        <v>17.243598666666667</v>
      </c>
      <c r="G55" s="76">
        <v>15</v>
      </c>
      <c r="H55" s="122">
        <v>17.239999999999998</v>
      </c>
      <c r="J55" s="76">
        <v>15</v>
      </c>
      <c r="K55" s="140">
        <f t="shared" si="31"/>
        <v>887.58555000000001</v>
      </c>
      <c r="L55" s="73">
        <f t="shared" si="32"/>
        <v>836.77431666666666</v>
      </c>
      <c r="M55" s="123">
        <f t="shared" si="37"/>
        <v>862.17993333333334</v>
      </c>
      <c r="O55" s="165">
        <v>15</v>
      </c>
      <c r="P55" s="155">
        <v>862.18</v>
      </c>
      <c r="Q55" s="160"/>
      <c r="Z55" s="86">
        <v>15</v>
      </c>
      <c r="AA55" s="119">
        <f t="shared" si="43"/>
        <v>15.945231166666666</v>
      </c>
      <c r="AB55" s="129">
        <f t="shared" si="44"/>
        <v>15.976787333333334</v>
      </c>
      <c r="AC55" s="128">
        <f t="shared" si="38"/>
        <v>15.96100925</v>
      </c>
      <c r="AE55" s="86">
        <v>15</v>
      </c>
      <c r="AF55" s="128">
        <v>15.96</v>
      </c>
      <c r="AH55" s="343">
        <v>15</v>
      </c>
      <c r="AI55" s="346">
        <f t="shared" si="33"/>
        <v>797.26155833333326</v>
      </c>
      <c r="AJ55" s="129">
        <f t="shared" si="34"/>
        <v>798.83936666666671</v>
      </c>
      <c r="AK55" s="128">
        <f t="shared" si="39"/>
        <v>798.05046249999998</v>
      </c>
      <c r="AM55" s="343">
        <v>15</v>
      </c>
      <c r="AN55" s="350">
        <v>798.05</v>
      </c>
      <c r="AP55" t="s">
        <v>61</v>
      </c>
      <c r="AQ55" t="s">
        <v>56</v>
      </c>
      <c r="AR55">
        <f>(ABS(AL12-AJ12)/(AL12-AK12))</f>
        <v>0.88999545708399719</v>
      </c>
      <c r="AS55" s="160" t="s">
        <v>53</v>
      </c>
      <c r="AT55" s="160"/>
      <c r="AU55" t="s">
        <v>54</v>
      </c>
      <c r="AZ55" s="132">
        <v>15</v>
      </c>
      <c r="BA55" s="134">
        <f t="shared" si="40"/>
        <v>372.25886166666669</v>
      </c>
      <c r="BB55" s="134">
        <f t="shared" si="35"/>
        <v>366.74082333333331</v>
      </c>
      <c r="BC55" s="135">
        <f t="shared" si="45"/>
        <v>369.4998425</v>
      </c>
      <c r="BE55" s="112">
        <v>15</v>
      </c>
      <c r="BF55" s="308">
        <v>369.5</v>
      </c>
      <c r="BH55" s="132">
        <v>15</v>
      </c>
      <c r="BI55" s="361">
        <f t="shared" si="46"/>
        <v>55838.829250000003</v>
      </c>
      <c r="BJ55" s="134">
        <f t="shared" si="47"/>
        <v>55011.123499999994</v>
      </c>
      <c r="BK55" s="135">
        <f t="shared" si="48"/>
        <v>55424.976374999998</v>
      </c>
      <c r="BM55" s="353">
        <v>15</v>
      </c>
      <c r="BN55" s="356">
        <v>55424.98</v>
      </c>
    </row>
    <row r="56" spans="2:71">
      <c r="B56" s="165">
        <v>16</v>
      </c>
      <c r="C56" s="13">
        <f t="shared" si="41"/>
        <v>49.739353333333334</v>
      </c>
      <c r="D56" s="73">
        <f t="shared" si="42"/>
        <v>55.243297999999996</v>
      </c>
      <c r="E56" s="123">
        <f t="shared" si="36"/>
        <v>52.491325666666668</v>
      </c>
      <c r="G56" s="76">
        <v>16</v>
      </c>
      <c r="H56" s="123">
        <v>52.49</v>
      </c>
      <c r="J56" s="76">
        <v>16</v>
      </c>
      <c r="K56" s="140">
        <f t="shared" si="31"/>
        <v>2486.9676666666669</v>
      </c>
      <c r="L56" s="73">
        <f t="shared" si="32"/>
        <v>2762.1648999999998</v>
      </c>
      <c r="M56" s="123">
        <f t="shared" si="37"/>
        <v>2624.5662833333336</v>
      </c>
      <c r="O56" s="165">
        <v>16</v>
      </c>
      <c r="P56" s="155">
        <v>2624.57</v>
      </c>
      <c r="Z56" s="86">
        <v>16</v>
      </c>
      <c r="AA56" s="119">
        <f t="shared" si="43"/>
        <v>14.217685166666669</v>
      </c>
      <c r="AB56" s="129">
        <f t="shared" si="44"/>
        <v>18.974247666666667</v>
      </c>
      <c r="AC56" s="130">
        <f t="shared" si="38"/>
        <v>16.59596641666667</v>
      </c>
      <c r="AE56" s="86">
        <v>16</v>
      </c>
      <c r="AF56" s="130">
        <v>16.600000000000001</v>
      </c>
      <c r="AH56" s="343">
        <v>16</v>
      </c>
      <c r="AI56" s="346">
        <f t="shared" si="33"/>
        <v>710.88425833333349</v>
      </c>
      <c r="AJ56" s="129">
        <f t="shared" si="34"/>
        <v>948.71238333333338</v>
      </c>
      <c r="AK56" s="130">
        <f t="shared" si="39"/>
        <v>829.79832083333349</v>
      </c>
      <c r="AM56" s="343">
        <v>16</v>
      </c>
      <c r="AN56" s="350">
        <v>829.8</v>
      </c>
      <c r="AP56" t="s">
        <v>57</v>
      </c>
      <c r="AQ56" t="s">
        <v>56</v>
      </c>
      <c r="AR56">
        <f>(ABS(AL14-AK14)/(AL14-AJ14))</f>
        <v>0.84339445437295069</v>
      </c>
      <c r="AS56" s="160" t="s">
        <v>53</v>
      </c>
      <c r="AT56" s="160"/>
      <c r="AU56" t="s">
        <v>54</v>
      </c>
      <c r="AZ56" s="132">
        <v>16</v>
      </c>
      <c r="BA56" s="134">
        <f t="shared" si="40"/>
        <v>221.26517166666667</v>
      </c>
      <c r="BB56" s="134">
        <f t="shared" si="35"/>
        <v>247.51429666666667</v>
      </c>
      <c r="BC56" s="135">
        <f t="shared" si="45"/>
        <v>234.38973416666667</v>
      </c>
      <c r="BE56" s="112">
        <v>16</v>
      </c>
      <c r="BF56" s="307">
        <v>234.39</v>
      </c>
      <c r="BH56" s="132">
        <v>16</v>
      </c>
      <c r="BI56" s="361">
        <f t="shared" si="46"/>
        <v>33189.775750000001</v>
      </c>
      <c r="BJ56" s="134">
        <f t="shared" si="47"/>
        <v>37127.144500000002</v>
      </c>
      <c r="BK56" s="135">
        <f t="shared" si="48"/>
        <v>35158.460124999998</v>
      </c>
      <c r="BM56" s="353">
        <v>16</v>
      </c>
      <c r="BN56" s="356">
        <v>35158.46</v>
      </c>
    </row>
    <row r="57" spans="2:71">
      <c r="B57" s="165">
        <v>17</v>
      </c>
      <c r="C57" s="13">
        <f t="shared" si="41"/>
        <v>17.725678333333331</v>
      </c>
      <c r="D57" s="73">
        <f t="shared" si="42"/>
        <v>16.889567000000003</v>
      </c>
      <c r="E57" s="122">
        <f t="shared" si="36"/>
        <v>17.307622666666667</v>
      </c>
      <c r="G57" s="76">
        <v>17</v>
      </c>
      <c r="H57" s="122">
        <v>17.309999999999999</v>
      </c>
      <c r="J57" s="76">
        <v>17</v>
      </c>
      <c r="K57" s="140">
        <f t="shared" si="31"/>
        <v>886.28391666666653</v>
      </c>
      <c r="L57" s="73">
        <f t="shared" si="32"/>
        <v>844.47835000000021</v>
      </c>
      <c r="M57" s="123">
        <f t="shared" si="37"/>
        <v>865.38113333333331</v>
      </c>
      <c r="O57" s="165">
        <v>17</v>
      </c>
      <c r="P57" s="155">
        <v>865.38</v>
      </c>
      <c r="Z57" s="86">
        <v>17</v>
      </c>
      <c r="AA57" s="119">
        <f t="shared" si="43"/>
        <v>19.672576499999998</v>
      </c>
      <c r="AB57" s="129">
        <f t="shared" si="44"/>
        <v>21.393971333333329</v>
      </c>
      <c r="AC57" s="128">
        <f t="shared" si="38"/>
        <v>20.533273916666666</v>
      </c>
      <c r="AE57" s="86">
        <v>17</v>
      </c>
      <c r="AF57" s="128">
        <v>20.53</v>
      </c>
      <c r="AH57" s="343">
        <v>17</v>
      </c>
      <c r="AI57" s="346">
        <f t="shared" si="33"/>
        <v>983.62882499999989</v>
      </c>
      <c r="AJ57" s="129">
        <f t="shared" si="34"/>
        <v>1069.6985666666665</v>
      </c>
      <c r="AK57" s="128">
        <f t="shared" si="39"/>
        <v>1026.6636958333331</v>
      </c>
      <c r="AM57" s="343">
        <v>17</v>
      </c>
      <c r="AN57" s="350">
        <v>1026.6600000000001</v>
      </c>
      <c r="AP57" t="s">
        <v>60</v>
      </c>
      <c r="AQ57" t="s">
        <v>56</v>
      </c>
      <c r="AR57">
        <f>(ABS(AJ28-AK28)/(AJ28-AL28))</f>
        <v>0.727312707873077</v>
      </c>
      <c r="AS57" s="160" t="s">
        <v>53</v>
      </c>
      <c r="AT57" s="160"/>
      <c r="AU57" t="s">
        <v>54</v>
      </c>
      <c r="AZ57" s="132">
        <v>17</v>
      </c>
      <c r="BA57" s="134">
        <f t="shared" si="40"/>
        <v>212.61632500000002</v>
      </c>
      <c r="BB57" s="134">
        <f t="shared" si="35"/>
        <v>195.41822999999999</v>
      </c>
      <c r="BC57" s="135">
        <f t="shared" si="45"/>
        <v>204.01727750000001</v>
      </c>
      <c r="BE57" s="112">
        <v>17</v>
      </c>
      <c r="BF57" s="308">
        <v>204.02</v>
      </c>
      <c r="BH57" s="132">
        <v>17</v>
      </c>
      <c r="BI57" s="361">
        <f t="shared" si="46"/>
        <v>31892.448750000003</v>
      </c>
      <c r="BJ57" s="134">
        <f t="shared" si="47"/>
        <v>29312.734499999999</v>
      </c>
      <c r="BK57" s="135">
        <f t="shared" si="48"/>
        <v>30602.591625000001</v>
      </c>
      <c r="BM57" s="353">
        <v>17</v>
      </c>
      <c r="BN57" s="356">
        <v>30602.59</v>
      </c>
    </row>
    <row r="58" spans="2:71">
      <c r="B58" s="165">
        <v>18</v>
      </c>
      <c r="C58" s="13">
        <f t="shared" si="41"/>
        <v>34.877829999999996</v>
      </c>
      <c r="D58" s="73">
        <f t="shared" si="42"/>
        <v>30.243303666666666</v>
      </c>
      <c r="E58" s="123">
        <f t="shared" si="36"/>
        <v>32.560566833333333</v>
      </c>
      <c r="G58" s="76">
        <v>18</v>
      </c>
      <c r="H58" s="123">
        <v>32.56</v>
      </c>
      <c r="J58" s="76">
        <v>18</v>
      </c>
      <c r="K58" s="140">
        <f t="shared" si="31"/>
        <v>1743.8914999999997</v>
      </c>
      <c r="L58" s="73">
        <f t="shared" si="32"/>
        <v>1512.1651833333333</v>
      </c>
      <c r="M58" s="123">
        <f t="shared" si="37"/>
        <v>1628.0283416666666</v>
      </c>
      <c r="O58" s="165">
        <v>18</v>
      </c>
      <c r="P58" s="155">
        <v>1628.03</v>
      </c>
      <c r="Z58" s="86">
        <v>18</v>
      </c>
      <c r="AA58" s="119">
        <f t="shared" si="43"/>
        <v>30.179499166666666</v>
      </c>
      <c r="AB58" s="129">
        <f t="shared" si="44"/>
        <v>30.568542000000004</v>
      </c>
      <c r="AC58" s="130">
        <f t="shared" si="38"/>
        <v>30.374020583333333</v>
      </c>
      <c r="AE58" s="86">
        <v>18</v>
      </c>
      <c r="AF58" s="130">
        <v>30.37</v>
      </c>
      <c r="AH58" s="343">
        <v>18</v>
      </c>
      <c r="AI58" s="346">
        <f t="shared" si="33"/>
        <v>1508.9749583333332</v>
      </c>
      <c r="AJ58" s="129">
        <f t="shared" si="34"/>
        <v>1528.4271000000001</v>
      </c>
      <c r="AK58" s="130">
        <f t="shared" si="39"/>
        <v>1518.7010291666666</v>
      </c>
      <c r="AM58" s="343">
        <v>18</v>
      </c>
      <c r="AN58" s="350">
        <v>1518.7</v>
      </c>
      <c r="AP58" t="s">
        <v>69</v>
      </c>
      <c r="AQ58" t="s">
        <v>56</v>
      </c>
      <c r="AR58">
        <f>(ABS(AL30-AK30)/(AJ30-AL30))</f>
        <v>0.85573282118237404</v>
      </c>
      <c r="AS58" s="160" t="s">
        <v>53</v>
      </c>
      <c r="AT58" s="160"/>
      <c r="AU58" t="s">
        <v>54</v>
      </c>
      <c r="AZ58" s="132">
        <v>18</v>
      </c>
      <c r="BA58" s="134">
        <f t="shared" si="40"/>
        <v>419.228205</v>
      </c>
      <c r="BB58" s="134">
        <f t="shared" si="35"/>
        <v>384.54009000000002</v>
      </c>
      <c r="BC58" s="135">
        <f t="shared" si="45"/>
        <v>401.88414750000004</v>
      </c>
      <c r="BE58" s="112">
        <v>18</v>
      </c>
      <c r="BF58" s="307">
        <v>401.88</v>
      </c>
      <c r="BH58" s="132">
        <v>18</v>
      </c>
      <c r="BI58" s="361">
        <f t="shared" si="46"/>
        <v>62884.230750000002</v>
      </c>
      <c r="BJ58" s="134">
        <f t="shared" si="47"/>
        <v>57681.013500000001</v>
      </c>
      <c r="BK58" s="135">
        <f t="shared" si="48"/>
        <v>60282.622125000002</v>
      </c>
      <c r="BM58" s="353">
        <v>18</v>
      </c>
      <c r="BN58" s="356">
        <v>60282.62</v>
      </c>
    </row>
    <row r="59" spans="2:71">
      <c r="B59" s="165">
        <v>19</v>
      </c>
      <c r="C59" s="13">
        <f t="shared" si="41"/>
        <v>25.671943333333331</v>
      </c>
      <c r="D59" s="73">
        <f t="shared" si="42"/>
        <v>25.563810666666669</v>
      </c>
      <c r="E59" s="122">
        <f t="shared" si="36"/>
        <v>25.617877</v>
      </c>
      <c r="G59" s="76">
        <v>19</v>
      </c>
      <c r="H59" s="122">
        <v>25.62</v>
      </c>
      <c r="J59" s="76">
        <v>19</v>
      </c>
      <c r="K59" s="140">
        <f t="shared" si="31"/>
        <v>1283.5971666666665</v>
      </c>
      <c r="L59" s="73">
        <f t="shared" si="32"/>
        <v>1278.1905333333334</v>
      </c>
      <c r="M59" s="123">
        <f t="shared" si="37"/>
        <v>1280.8938499999999</v>
      </c>
      <c r="O59" s="165">
        <v>19</v>
      </c>
      <c r="P59" s="155">
        <v>1280.8900000000001</v>
      </c>
      <c r="Z59" s="86">
        <v>19</v>
      </c>
      <c r="AA59" s="119">
        <f t="shared" si="43"/>
        <v>14.775939999999999</v>
      </c>
      <c r="AB59" s="129">
        <f t="shared" si="44"/>
        <v>14.655888333333333</v>
      </c>
      <c r="AC59" s="128">
        <f t="shared" si="38"/>
        <v>14.715914166666666</v>
      </c>
      <c r="AE59" s="86">
        <v>19</v>
      </c>
      <c r="AF59" s="128">
        <v>14.72</v>
      </c>
      <c r="AH59" s="343">
        <v>19</v>
      </c>
      <c r="AI59" s="346">
        <f t="shared" si="33"/>
        <v>738.79699999999991</v>
      </c>
      <c r="AJ59" s="129">
        <f t="shared" si="34"/>
        <v>732.79441666666662</v>
      </c>
      <c r="AK59" s="128">
        <f t="shared" si="39"/>
        <v>735.79570833333332</v>
      </c>
      <c r="AM59" s="343">
        <v>19</v>
      </c>
      <c r="AN59" s="350">
        <v>735.8</v>
      </c>
      <c r="AP59" t="s">
        <v>66</v>
      </c>
      <c r="AQ59" t="s">
        <v>56</v>
      </c>
      <c r="AR59">
        <f>(ABS(AK31-AL31)/(AJ31-AK31))</f>
        <v>0.3722453030131419</v>
      </c>
      <c r="AS59" s="160" t="s">
        <v>53</v>
      </c>
      <c r="AT59" s="160"/>
      <c r="AU59" t="s">
        <v>54</v>
      </c>
      <c r="AZ59" s="132">
        <v>19</v>
      </c>
      <c r="BA59" s="134">
        <f t="shared" si="40"/>
        <v>149.82943833333334</v>
      </c>
      <c r="BB59" s="134">
        <f t="shared" si="35"/>
        <v>164.14478333333335</v>
      </c>
      <c r="BC59" s="135">
        <f t="shared" si="45"/>
        <v>156.98711083333336</v>
      </c>
      <c r="BE59" s="112">
        <v>19</v>
      </c>
      <c r="BF59" s="308">
        <v>156.99</v>
      </c>
      <c r="BH59" s="132">
        <v>19</v>
      </c>
      <c r="BI59" s="361">
        <f t="shared" si="46"/>
        <v>22474.41575</v>
      </c>
      <c r="BJ59" s="134">
        <f t="shared" si="47"/>
        <v>24621.717500000002</v>
      </c>
      <c r="BK59" s="135">
        <f t="shared" si="48"/>
        <v>23548.066624999999</v>
      </c>
      <c r="BM59" s="353">
        <v>19</v>
      </c>
      <c r="BN59" s="356">
        <v>23548.07</v>
      </c>
    </row>
    <row r="60" spans="2:71">
      <c r="B60" s="165">
        <v>20</v>
      </c>
      <c r="C60" s="13">
        <f t="shared" si="41"/>
        <v>12.337669833333333</v>
      </c>
      <c r="D60" s="73">
        <f t="shared" si="42"/>
        <v>12.321050166666666</v>
      </c>
      <c r="E60" s="123">
        <f t="shared" si="36"/>
        <v>12.329359999999999</v>
      </c>
      <c r="G60" s="76">
        <v>20</v>
      </c>
      <c r="H60" s="123">
        <v>12.33</v>
      </c>
      <c r="J60" s="76">
        <v>20</v>
      </c>
      <c r="K60" s="140">
        <f t="shared" si="31"/>
        <v>616.8834916666666</v>
      </c>
      <c r="L60" s="73">
        <f t="shared" si="32"/>
        <v>616.05250833333332</v>
      </c>
      <c r="M60" s="123">
        <f t="shared" si="37"/>
        <v>616.46799999999996</v>
      </c>
      <c r="O60" s="165">
        <v>20</v>
      </c>
      <c r="P60" s="155">
        <v>616.47</v>
      </c>
      <c r="Z60" s="86">
        <v>20</v>
      </c>
      <c r="AA60" s="119">
        <f t="shared" si="43"/>
        <v>18.722739333333337</v>
      </c>
      <c r="AB60" s="129">
        <f t="shared" si="44"/>
        <v>17.570998000000003</v>
      </c>
      <c r="AC60" s="130">
        <f t="shared" si="38"/>
        <v>18.14686866666667</v>
      </c>
      <c r="AE60" s="86">
        <v>20</v>
      </c>
      <c r="AF60" s="130">
        <v>18.149999999999999</v>
      </c>
      <c r="AH60" s="343">
        <v>20</v>
      </c>
      <c r="AI60" s="346">
        <f t="shared" si="33"/>
        <v>936.13696666666681</v>
      </c>
      <c r="AJ60" s="129">
        <f t="shared" si="34"/>
        <v>878.54990000000021</v>
      </c>
      <c r="AK60" s="130">
        <f t="shared" si="39"/>
        <v>907.34343333333345</v>
      </c>
      <c r="AM60" s="343">
        <v>20</v>
      </c>
      <c r="AN60" s="350">
        <v>907.34</v>
      </c>
      <c r="AP60" t="s">
        <v>67</v>
      </c>
      <c r="AQ60" t="s">
        <v>56</v>
      </c>
      <c r="AR60">
        <f>(ABS(AL32-AK32)/(AJ32-AL32))</f>
        <v>0.61776652630895301</v>
      </c>
      <c r="AS60" s="160" t="s">
        <v>53</v>
      </c>
      <c r="AT60" s="160"/>
      <c r="AU60" t="s">
        <v>54</v>
      </c>
      <c r="AZ60" s="132">
        <v>20</v>
      </c>
      <c r="BA60" s="134">
        <f t="shared" si="40"/>
        <v>96.779855000000012</v>
      </c>
      <c r="BB60" s="134">
        <f t="shared" si="35"/>
        <v>95.474406333333334</v>
      </c>
      <c r="BC60" s="135">
        <f t="shared" si="45"/>
        <v>96.127130666666673</v>
      </c>
      <c r="BE60" s="112">
        <v>20</v>
      </c>
      <c r="BF60" s="307">
        <v>96.13</v>
      </c>
      <c r="BH60" s="132">
        <v>20</v>
      </c>
      <c r="BI60" s="361">
        <f t="shared" si="46"/>
        <v>14516.978250000002</v>
      </c>
      <c r="BJ60" s="134">
        <f t="shared" si="47"/>
        <v>14321.16095</v>
      </c>
      <c r="BK60" s="135">
        <f t="shared" si="48"/>
        <v>14419.069600000001</v>
      </c>
      <c r="BM60" s="353">
        <v>20</v>
      </c>
      <c r="BN60" s="356">
        <v>14419.07</v>
      </c>
    </row>
    <row r="61" spans="2:71">
      <c r="B61" s="165">
        <v>21</v>
      </c>
      <c r="C61" s="13">
        <f t="shared" si="41"/>
        <v>19.867138166666667</v>
      </c>
      <c r="D61" s="73">
        <f t="shared" si="42"/>
        <v>19.496572</v>
      </c>
      <c r="E61" s="122">
        <f t="shared" si="36"/>
        <v>19.681855083333332</v>
      </c>
      <c r="G61" s="76">
        <v>21</v>
      </c>
      <c r="H61" s="122">
        <v>19.68</v>
      </c>
      <c r="J61" s="76">
        <v>21</v>
      </c>
      <c r="K61" s="140">
        <f t="shared" si="31"/>
        <v>993.35690833333331</v>
      </c>
      <c r="L61" s="73">
        <f t="shared" si="32"/>
        <v>974.82860000000005</v>
      </c>
      <c r="M61" s="123">
        <f t="shared" si="37"/>
        <v>984.09275416666674</v>
      </c>
      <c r="O61" s="165">
        <v>21</v>
      </c>
      <c r="P61" s="155">
        <v>984.09</v>
      </c>
      <c r="Z61" s="86">
        <v>21</v>
      </c>
      <c r="AA61" s="119">
        <f t="shared" si="43"/>
        <v>18.196604666666669</v>
      </c>
      <c r="AB61" s="129">
        <f t="shared" si="44"/>
        <v>19.153365333333337</v>
      </c>
      <c r="AC61" s="128">
        <f t="shared" si="38"/>
        <v>18.674985000000003</v>
      </c>
      <c r="AE61" s="86">
        <v>21</v>
      </c>
      <c r="AF61" s="128">
        <v>18.670000000000002</v>
      </c>
      <c r="AH61" s="343">
        <v>21</v>
      </c>
      <c r="AI61" s="346">
        <f t="shared" si="33"/>
        <v>909.83023333333347</v>
      </c>
      <c r="AJ61" s="129">
        <f t="shared" si="34"/>
        <v>957.6682666666668</v>
      </c>
      <c r="AK61" s="128">
        <f t="shared" si="39"/>
        <v>933.74925000000007</v>
      </c>
      <c r="AM61" s="343">
        <v>21</v>
      </c>
      <c r="AN61" s="350">
        <v>933.75</v>
      </c>
      <c r="AP61" t="s">
        <v>65</v>
      </c>
      <c r="AQ61" t="s">
        <v>56</v>
      </c>
      <c r="AR61">
        <f>(ABS(AJ33-AK33)/(AL33-AJ33))</f>
        <v>0.65886733729205627</v>
      </c>
      <c r="AS61" s="160" t="s">
        <v>53</v>
      </c>
      <c r="AT61" s="160"/>
      <c r="AU61" t="s">
        <v>54</v>
      </c>
      <c r="AZ61" s="132">
        <v>21</v>
      </c>
      <c r="BA61" s="134">
        <f t="shared" si="40"/>
        <v>324.01165500000002</v>
      </c>
      <c r="BB61" s="134">
        <f t="shared" si="35"/>
        <v>308.1615266666667</v>
      </c>
      <c r="BC61" s="135">
        <f t="shared" si="45"/>
        <v>316.08659083333339</v>
      </c>
      <c r="BE61" s="112">
        <v>21</v>
      </c>
      <c r="BF61" s="308">
        <v>316.08999999999997</v>
      </c>
      <c r="BH61" s="132">
        <v>21</v>
      </c>
      <c r="BI61" s="361">
        <f t="shared" si="46"/>
        <v>48601.748250000004</v>
      </c>
      <c r="BJ61" s="134">
        <f t="shared" si="47"/>
        <v>46224.229000000007</v>
      </c>
      <c r="BK61" s="135">
        <f t="shared" si="48"/>
        <v>47412.988625000005</v>
      </c>
      <c r="BM61" s="353">
        <v>21</v>
      </c>
      <c r="BN61" s="356">
        <v>47412.99</v>
      </c>
    </row>
    <row r="62" spans="2:71">
      <c r="B62" s="165">
        <v>22</v>
      </c>
      <c r="C62" s="13">
        <f t="shared" si="41"/>
        <v>37.714616666666664</v>
      </c>
      <c r="D62" s="73">
        <f t="shared" si="42"/>
        <v>38.233603000000002</v>
      </c>
      <c r="E62" s="123">
        <f t="shared" si="36"/>
        <v>37.97410983333333</v>
      </c>
      <c r="G62" s="76">
        <v>22</v>
      </c>
      <c r="H62" s="123">
        <v>37.97</v>
      </c>
      <c r="J62" s="76">
        <v>22</v>
      </c>
      <c r="K62" s="140">
        <f t="shared" si="31"/>
        <v>1885.7308333333333</v>
      </c>
      <c r="L62" s="73">
        <f t="shared" si="32"/>
        <v>1911.6801500000001</v>
      </c>
      <c r="M62" s="123">
        <f t="shared" si="37"/>
        <v>1898.7054916666666</v>
      </c>
      <c r="O62" s="165">
        <v>22</v>
      </c>
      <c r="P62" s="155">
        <v>1898.71</v>
      </c>
      <c r="Z62" s="86">
        <v>22</v>
      </c>
      <c r="AA62" s="119">
        <f t="shared" si="43"/>
        <v>25.042941166666672</v>
      </c>
      <c r="AB62" s="129">
        <f t="shared" si="44"/>
        <v>23.428638333333332</v>
      </c>
      <c r="AC62" s="130">
        <f t="shared" si="38"/>
        <v>24.235789750000002</v>
      </c>
      <c r="AE62" s="86">
        <v>22</v>
      </c>
      <c r="AF62" s="130">
        <v>24.24</v>
      </c>
      <c r="AH62" s="343">
        <v>22</v>
      </c>
      <c r="AI62" s="346">
        <f t="shared" si="33"/>
        <v>1252.1470583333337</v>
      </c>
      <c r="AJ62" s="129">
        <f t="shared" si="34"/>
        <v>1171.4319166666667</v>
      </c>
      <c r="AK62" s="130">
        <f t="shared" si="39"/>
        <v>1211.7894875000002</v>
      </c>
      <c r="AM62" s="343">
        <v>22</v>
      </c>
      <c r="AN62" s="350">
        <v>1211.79</v>
      </c>
      <c r="AZ62" s="132">
        <v>22</v>
      </c>
      <c r="BA62" s="134">
        <f t="shared" si="40"/>
        <v>366.00183166666665</v>
      </c>
      <c r="BB62" s="134">
        <f t="shared" si="35"/>
        <v>325.69333999999998</v>
      </c>
      <c r="BC62" s="135">
        <f t="shared" si="45"/>
        <v>345.84758583333331</v>
      </c>
      <c r="BE62" s="112">
        <v>22</v>
      </c>
      <c r="BF62" s="307">
        <v>345.85</v>
      </c>
      <c r="BH62" s="132">
        <v>22</v>
      </c>
      <c r="BI62" s="361">
        <f t="shared" si="46"/>
        <v>54900.274749999997</v>
      </c>
      <c r="BJ62" s="134">
        <f t="shared" si="47"/>
        <v>48854.000999999997</v>
      </c>
      <c r="BK62" s="135">
        <f t="shared" si="48"/>
        <v>51877.137875</v>
      </c>
      <c r="BM62" s="353">
        <v>22</v>
      </c>
      <c r="BN62" s="356">
        <v>51877.14</v>
      </c>
    </row>
    <row r="63" spans="2:71">
      <c r="B63" s="165">
        <v>23</v>
      </c>
      <c r="C63" s="13">
        <f t="shared" si="41"/>
        <v>3.3868025500000001</v>
      </c>
      <c r="D63" s="73">
        <f t="shared" si="42"/>
        <v>3.2050697333333331</v>
      </c>
      <c r="E63" s="122">
        <f t="shared" si="36"/>
        <v>3.2959361416666666</v>
      </c>
      <c r="G63" s="76">
        <v>23</v>
      </c>
      <c r="H63" s="122">
        <v>3.3</v>
      </c>
      <c r="J63" s="76">
        <v>23</v>
      </c>
      <c r="K63" s="140">
        <f t="shared" si="31"/>
        <v>169.34012749999999</v>
      </c>
      <c r="L63" s="73">
        <f t="shared" si="32"/>
        <v>160.25348666666665</v>
      </c>
      <c r="M63" s="123">
        <f t="shared" si="37"/>
        <v>164.79680708333331</v>
      </c>
      <c r="O63" s="165">
        <v>23</v>
      </c>
      <c r="P63" s="155">
        <v>164.8</v>
      </c>
      <c r="Z63" s="86">
        <v>23</v>
      </c>
      <c r="AA63" s="119">
        <f t="shared" si="43"/>
        <v>12.379379333333333</v>
      </c>
      <c r="AB63" s="129">
        <f t="shared" si="44"/>
        <v>11.671947333333332</v>
      </c>
      <c r="AC63" s="128">
        <f t="shared" si="38"/>
        <v>12.025663333333332</v>
      </c>
      <c r="AE63" s="86">
        <v>23</v>
      </c>
      <c r="AF63" s="128">
        <v>12.03</v>
      </c>
      <c r="AH63" s="343">
        <v>23</v>
      </c>
      <c r="AI63" s="346">
        <f t="shared" si="33"/>
        <v>618.96896666666657</v>
      </c>
      <c r="AJ63" s="129">
        <f t="shared" si="34"/>
        <v>583.59736666666663</v>
      </c>
      <c r="AK63" s="128">
        <f t="shared" si="39"/>
        <v>601.2831666666666</v>
      </c>
      <c r="AM63" s="343">
        <v>23</v>
      </c>
      <c r="AN63" s="350">
        <v>601.28</v>
      </c>
      <c r="AZ63" s="132">
        <v>23</v>
      </c>
      <c r="BA63" s="134">
        <f t="shared" si="40"/>
        <v>236.54352833333334</v>
      </c>
      <c r="BB63" s="134">
        <f t="shared" si="35"/>
        <v>228.37493333333333</v>
      </c>
      <c r="BC63" s="135">
        <f t="shared" si="45"/>
        <v>232.45923083333332</v>
      </c>
      <c r="BE63" s="112">
        <v>23</v>
      </c>
      <c r="BF63" s="308">
        <v>232.46</v>
      </c>
      <c r="BH63" s="132">
        <v>23</v>
      </c>
      <c r="BI63" s="361">
        <f t="shared" si="46"/>
        <v>35481.52925</v>
      </c>
      <c r="BJ63" s="134">
        <f t="shared" si="47"/>
        <v>34256.239999999998</v>
      </c>
      <c r="BK63" s="135">
        <f t="shared" si="48"/>
        <v>34868.884624999999</v>
      </c>
      <c r="BM63" s="353">
        <v>23</v>
      </c>
      <c r="BN63" s="356">
        <v>34868.879999999997</v>
      </c>
    </row>
    <row r="64" spans="2:71">
      <c r="B64" s="165">
        <v>24</v>
      </c>
      <c r="C64" s="13">
        <f t="shared" si="41"/>
        <v>12.744461500000002</v>
      </c>
      <c r="D64" s="73">
        <f t="shared" si="42"/>
        <v>11.595559966666666</v>
      </c>
      <c r="E64" s="123">
        <f t="shared" si="36"/>
        <v>12.170010733333335</v>
      </c>
      <c r="G64" s="76">
        <v>24</v>
      </c>
      <c r="H64" s="123">
        <v>12.17</v>
      </c>
      <c r="J64" s="76">
        <v>24</v>
      </c>
      <c r="K64" s="140">
        <f t="shared" si="31"/>
        <v>637.22307500000011</v>
      </c>
      <c r="L64" s="73">
        <f t="shared" si="32"/>
        <v>579.77799833333336</v>
      </c>
      <c r="M64" s="123">
        <f t="shared" si="37"/>
        <v>608.50053666666668</v>
      </c>
      <c r="O64" s="165">
        <v>24</v>
      </c>
      <c r="P64" s="155">
        <v>608.5</v>
      </c>
      <c r="Z64" s="86">
        <v>24</v>
      </c>
      <c r="AA64" s="119">
        <f t="shared" si="43"/>
        <v>19.191710333333333</v>
      </c>
      <c r="AB64" s="129">
        <f t="shared" si="44"/>
        <v>17.680316666666666</v>
      </c>
      <c r="AC64" s="130">
        <f t="shared" si="38"/>
        <v>18.436013500000001</v>
      </c>
      <c r="AE64" s="86">
        <v>24</v>
      </c>
      <c r="AF64" s="130">
        <v>18.440000000000001</v>
      </c>
      <c r="AH64" s="343">
        <v>24</v>
      </c>
      <c r="AI64" s="346">
        <f t="shared" si="33"/>
        <v>959.58551666666665</v>
      </c>
      <c r="AJ64" s="129">
        <f t="shared" si="34"/>
        <v>884.01583333333326</v>
      </c>
      <c r="AK64" s="130">
        <f t="shared" si="39"/>
        <v>921.80067499999996</v>
      </c>
      <c r="AM64" s="343">
        <v>24</v>
      </c>
      <c r="AN64" s="350">
        <v>921.8</v>
      </c>
      <c r="AZ64" s="132">
        <v>24</v>
      </c>
      <c r="BA64" s="134">
        <f t="shared" si="40"/>
        <v>304.95370666666668</v>
      </c>
      <c r="BB64" s="134">
        <f t="shared" si="35"/>
        <v>292.4971966666667</v>
      </c>
      <c r="BC64" s="135">
        <f t="shared" si="45"/>
        <v>298.72545166666669</v>
      </c>
      <c r="BE64" s="112">
        <v>24</v>
      </c>
      <c r="BF64" s="307">
        <v>298.73</v>
      </c>
      <c r="BH64" s="132">
        <v>24</v>
      </c>
      <c r="BI64" s="361">
        <f t="shared" si="46"/>
        <v>45743.056000000004</v>
      </c>
      <c r="BJ64" s="134">
        <f t="shared" si="47"/>
        <v>43874.579500000007</v>
      </c>
      <c r="BK64" s="135">
        <f t="shared" si="48"/>
        <v>44808.817750000002</v>
      </c>
      <c r="BM64" s="353">
        <v>24</v>
      </c>
      <c r="BN64" s="356">
        <v>44808.82</v>
      </c>
    </row>
    <row r="65" spans="2:66">
      <c r="B65" s="165">
        <v>25</v>
      </c>
      <c r="C65" s="13">
        <f t="shared" si="41"/>
        <v>15.816227333333332</v>
      </c>
      <c r="D65" s="73">
        <f t="shared" si="42"/>
        <v>16.000616333333333</v>
      </c>
      <c r="E65" s="122">
        <f t="shared" si="36"/>
        <v>15.908421833333332</v>
      </c>
      <c r="G65" s="76">
        <v>25</v>
      </c>
      <c r="H65" s="122">
        <v>15.91</v>
      </c>
      <c r="J65" s="76">
        <v>25</v>
      </c>
      <c r="K65" s="140">
        <f t="shared" si="31"/>
        <v>790.81136666666657</v>
      </c>
      <c r="L65" s="73">
        <f t="shared" si="32"/>
        <v>800.03081666666662</v>
      </c>
      <c r="M65" s="123">
        <f t="shared" si="37"/>
        <v>795.4210916666666</v>
      </c>
      <c r="O65" s="165">
        <v>25</v>
      </c>
      <c r="P65" s="155">
        <v>795.42</v>
      </c>
      <c r="Z65" s="86">
        <v>25</v>
      </c>
      <c r="AA65" s="119">
        <f t="shared" si="43"/>
        <v>5.2493552500000007</v>
      </c>
      <c r="AB65" s="129">
        <f t="shared" si="44"/>
        <v>6.5782265666666673</v>
      </c>
      <c r="AC65" s="128">
        <f t="shared" si="38"/>
        <v>5.9137909083333344</v>
      </c>
      <c r="AE65" s="86">
        <v>25</v>
      </c>
      <c r="AF65" s="128">
        <v>5.91</v>
      </c>
      <c r="AH65" s="343">
        <v>25</v>
      </c>
      <c r="AI65" s="346">
        <f t="shared" si="33"/>
        <v>262.46776250000005</v>
      </c>
      <c r="AJ65" s="129">
        <f t="shared" si="34"/>
        <v>328.91132833333336</v>
      </c>
      <c r="AK65" s="128">
        <f t="shared" si="39"/>
        <v>295.6895454166667</v>
      </c>
      <c r="AM65" s="343">
        <v>25</v>
      </c>
      <c r="AN65" s="350">
        <v>295.69</v>
      </c>
      <c r="AZ65" s="132">
        <v>25</v>
      </c>
      <c r="BA65" s="134">
        <f t="shared" si="40"/>
        <v>128.62155333333334</v>
      </c>
      <c r="BB65" s="134">
        <f t="shared" si="35"/>
        <v>120.62958333333333</v>
      </c>
      <c r="BC65" s="135">
        <f t="shared" si="45"/>
        <v>124.62556833333333</v>
      </c>
      <c r="BE65" s="112">
        <v>25</v>
      </c>
      <c r="BF65" s="308">
        <v>124.63</v>
      </c>
      <c r="BH65" s="132">
        <v>25</v>
      </c>
      <c r="BI65" s="361">
        <f t="shared" si="46"/>
        <v>19293.233</v>
      </c>
      <c r="BJ65" s="134">
        <f t="shared" si="47"/>
        <v>18094.4375</v>
      </c>
      <c r="BK65" s="135">
        <f t="shared" si="48"/>
        <v>18693.83525</v>
      </c>
      <c r="BM65" s="353">
        <v>25</v>
      </c>
      <c r="BN65" s="356">
        <v>18693.84</v>
      </c>
    </row>
    <row r="66" spans="2:66">
      <c r="B66" s="165">
        <v>26</v>
      </c>
      <c r="C66" s="13">
        <f t="shared" si="41"/>
        <v>8.4437018333333338</v>
      </c>
      <c r="D66" s="73">
        <f t="shared" si="42"/>
        <v>7.6102312000000003</v>
      </c>
      <c r="E66" s="123">
        <f t="shared" si="36"/>
        <v>8.0269665166666666</v>
      </c>
      <c r="G66" s="76">
        <v>26</v>
      </c>
      <c r="H66" s="123">
        <v>8.0299999999999994</v>
      </c>
      <c r="J66" s="76">
        <v>26</v>
      </c>
      <c r="K66" s="140">
        <f t="shared" si="31"/>
        <v>422.18509166666666</v>
      </c>
      <c r="L66" s="73">
        <f t="shared" si="32"/>
        <v>380.51156000000003</v>
      </c>
      <c r="M66" s="123">
        <f t="shared" si="37"/>
        <v>401.34832583333332</v>
      </c>
      <c r="O66" s="165">
        <v>26</v>
      </c>
      <c r="P66" s="155">
        <v>401.35</v>
      </c>
      <c r="Z66" s="86">
        <v>26</v>
      </c>
      <c r="AA66" s="119">
        <f t="shared" si="43"/>
        <v>10.889096</v>
      </c>
      <c r="AB66" s="129">
        <f t="shared" si="44"/>
        <v>11.4197355</v>
      </c>
      <c r="AC66" s="130">
        <f t="shared" si="38"/>
        <v>11.15441575</v>
      </c>
      <c r="AE66" s="86">
        <v>26</v>
      </c>
      <c r="AF66" s="130">
        <v>11.15</v>
      </c>
      <c r="AH66" s="343">
        <v>26</v>
      </c>
      <c r="AI66" s="346">
        <f t="shared" si="33"/>
        <v>544.45479999999998</v>
      </c>
      <c r="AJ66" s="129">
        <f t="shared" si="34"/>
        <v>570.98677499999997</v>
      </c>
      <c r="AK66" s="130">
        <f t="shared" si="39"/>
        <v>557.72078749999991</v>
      </c>
      <c r="AM66" s="343">
        <v>26</v>
      </c>
      <c r="AN66" s="350">
        <v>557.72</v>
      </c>
      <c r="AZ66" s="132">
        <v>26</v>
      </c>
      <c r="BA66" s="134">
        <f t="shared" si="40"/>
        <v>176.27393000000004</v>
      </c>
      <c r="BB66" s="134">
        <f t="shared" si="35"/>
        <v>165.88374999999999</v>
      </c>
      <c r="BC66" s="135">
        <f t="shared" si="45"/>
        <v>171.07884000000001</v>
      </c>
      <c r="BE66" s="112">
        <v>26</v>
      </c>
      <c r="BF66" s="307">
        <v>171.08</v>
      </c>
      <c r="BH66" s="132">
        <v>26</v>
      </c>
      <c r="BI66" s="361">
        <f t="shared" si="46"/>
        <v>26441.089500000006</v>
      </c>
      <c r="BJ66" s="134">
        <f t="shared" si="47"/>
        <v>24882.5625</v>
      </c>
      <c r="BK66" s="135">
        <f t="shared" si="48"/>
        <v>25661.826000000001</v>
      </c>
      <c r="BM66" s="353">
        <v>26</v>
      </c>
      <c r="BN66" s="356">
        <v>25661.83</v>
      </c>
    </row>
    <row r="67" spans="2:66">
      <c r="B67" s="165">
        <v>27</v>
      </c>
      <c r="C67" s="13">
        <f t="shared" si="41"/>
        <v>9.2250066666666672</v>
      </c>
      <c r="D67" s="73">
        <f t="shared" si="42"/>
        <v>8.4307426666666672</v>
      </c>
      <c r="E67" s="122">
        <f t="shared" si="36"/>
        <v>8.8278746666666663</v>
      </c>
      <c r="G67" s="76">
        <v>27</v>
      </c>
      <c r="H67" s="122">
        <v>8.83</v>
      </c>
      <c r="J67" s="76">
        <v>27</v>
      </c>
      <c r="K67" s="140">
        <f t="shared" si="31"/>
        <v>461.25033333333334</v>
      </c>
      <c r="L67" s="73">
        <f t="shared" si="32"/>
        <v>421.53713333333337</v>
      </c>
      <c r="M67" s="123">
        <f t="shared" si="37"/>
        <v>441.39373333333333</v>
      </c>
      <c r="O67" s="165">
        <v>27</v>
      </c>
      <c r="P67" s="155">
        <v>441.39</v>
      </c>
      <c r="Z67" s="86">
        <v>27</v>
      </c>
      <c r="AA67" s="119">
        <f t="shared" si="43"/>
        <v>10.767119666666664</v>
      </c>
      <c r="AB67" s="129">
        <f t="shared" si="44"/>
        <v>12.350883333333334</v>
      </c>
      <c r="AC67" s="128">
        <f t="shared" si="38"/>
        <v>11.559001499999999</v>
      </c>
      <c r="AE67" s="86">
        <v>27</v>
      </c>
      <c r="AF67" s="128">
        <v>11.56</v>
      </c>
      <c r="AH67" s="343">
        <v>27</v>
      </c>
      <c r="AI67" s="346">
        <f t="shared" si="33"/>
        <v>538.35598333333326</v>
      </c>
      <c r="AJ67" s="129">
        <f t="shared" si="34"/>
        <v>617.54416666666668</v>
      </c>
      <c r="AK67" s="128">
        <f t="shared" si="39"/>
        <v>577.95007499999997</v>
      </c>
      <c r="AM67" s="343">
        <v>27</v>
      </c>
      <c r="AN67" s="350">
        <v>577.95000000000005</v>
      </c>
      <c r="AZ67" s="132">
        <v>27</v>
      </c>
      <c r="BA67" s="134">
        <f t="shared" si="40"/>
        <v>261.51130999999998</v>
      </c>
      <c r="BB67" s="134">
        <f t="shared" si="35"/>
        <v>209.49059333333332</v>
      </c>
      <c r="BC67" s="135">
        <f t="shared" si="45"/>
        <v>235.50095166666665</v>
      </c>
      <c r="BE67" s="112">
        <v>27</v>
      </c>
      <c r="BF67" s="308">
        <v>235.5</v>
      </c>
      <c r="BH67" s="132">
        <v>27</v>
      </c>
      <c r="BI67" s="361">
        <f t="shared" si="46"/>
        <v>39226.696499999998</v>
      </c>
      <c r="BJ67" s="134">
        <f t="shared" si="47"/>
        <v>31423.589</v>
      </c>
      <c r="BK67" s="135">
        <f t="shared" si="48"/>
        <v>35325.142749999999</v>
      </c>
      <c r="BM67" s="353">
        <v>27</v>
      </c>
      <c r="BN67" s="356">
        <v>35325.14</v>
      </c>
    </row>
    <row r="68" spans="2:66">
      <c r="B68" s="165">
        <v>28</v>
      </c>
      <c r="C68" s="13">
        <f t="shared" si="41"/>
        <v>12.693117000000001</v>
      </c>
      <c r="D68" s="73">
        <f t="shared" si="42"/>
        <v>12.630183133333331</v>
      </c>
      <c r="E68" s="123">
        <f t="shared" si="36"/>
        <v>12.661650066666667</v>
      </c>
      <c r="G68" s="76">
        <v>28</v>
      </c>
      <c r="H68" s="123">
        <v>12.66</v>
      </c>
      <c r="J68" s="76">
        <v>28</v>
      </c>
      <c r="K68" s="140">
        <f t="shared" si="31"/>
        <v>634.6558500000001</v>
      </c>
      <c r="L68" s="73">
        <f t="shared" si="32"/>
        <v>631.50915666666651</v>
      </c>
      <c r="M68" s="123">
        <f t="shared" si="37"/>
        <v>633.08250333333331</v>
      </c>
      <c r="O68" s="165">
        <v>28</v>
      </c>
      <c r="P68" s="155">
        <v>633.08000000000004</v>
      </c>
      <c r="Z68" s="86">
        <v>28</v>
      </c>
      <c r="AA68" s="119">
        <f t="shared" si="43"/>
        <v>7.5498763333333327</v>
      </c>
      <c r="AB68" s="129">
        <f t="shared" si="44"/>
        <v>7.6687051333333338</v>
      </c>
      <c r="AC68" s="130">
        <f t="shared" si="38"/>
        <v>7.6092907333333333</v>
      </c>
      <c r="AE68" s="86">
        <v>28</v>
      </c>
      <c r="AF68" s="130">
        <v>7.61</v>
      </c>
      <c r="AH68" s="343">
        <v>28</v>
      </c>
      <c r="AI68" s="346">
        <f t="shared" si="33"/>
        <v>377.49381666666665</v>
      </c>
      <c r="AJ68" s="129">
        <f t="shared" si="34"/>
        <v>383.4352566666667</v>
      </c>
      <c r="AK68" s="130">
        <f t="shared" si="39"/>
        <v>380.46453666666667</v>
      </c>
      <c r="AM68" s="343">
        <v>28</v>
      </c>
      <c r="AN68" s="350">
        <v>380.46</v>
      </c>
      <c r="AZ68" s="132">
        <v>28</v>
      </c>
      <c r="BA68" s="134">
        <f t="shared" si="40"/>
        <v>176.935045</v>
      </c>
      <c r="BB68" s="134">
        <f t="shared" si="35"/>
        <v>168.86718999999997</v>
      </c>
      <c r="BC68" s="135">
        <f t="shared" si="45"/>
        <v>172.9011175</v>
      </c>
      <c r="BE68" s="112">
        <v>28</v>
      </c>
      <c r="BF68" s="307">
        <v>172.9</v>
      </c>
      <c r="BH68" s="132">
        <v>28</v>
      </c>
      <c r="BI68" s="361">
        <f t="shared" si="46"/>
        <v>26540.25675</v>
      </c>
      <c r="BJ68" s="134">
        <f t="shared" si="47"/>
        <v>25330.078499999996</v>
      </c>
      <c r="BK68" s="135">
        <f t="shared" si="48"/>
        <v>25935.167624999998</v>
      </c>
      <c r="BM68" s="353">
        <v>28</v>
      </c>
      <c r="BN68" s="356">
        <v>25935.17</v>
      </c>
    </row>
    <row r="69" spans="2:66">
      <c r="B69" s="165">
        <v>29</v>
      </c>
      <c r="C69" s="13">
        <f t="shared" si="41"/>
        <v>24.614401166666667</v>
      </c>
      <c r="D69" s="73">
        <f t="shared" si="42"/>
        <v>26.278479666666669</v>
      </c>
      <c r="E69" s="122">
        <f t="shared" si="36"/>
        <v>25.446440416666668</v>
      </c>
      <c r="G69" s="76">
        <v>29</v>
      </c>
      <c r="H69" s="122">
        <v>25.45</v>
      </c>
      <c r="J69" s="76">
        <v>29</v>
      </c>
      <c r="K69" s="140">
        <f t="shared" si="31"/>
        <v>1230.7200583333333</v>
      </c>
      <c r="L69" s="73">
        <f t="shared" si="32"/>
        <v>1313.9239833333336</v>
      </c>
      <c r="M69" s="123">
        <f t="shared" si="37"/>
        <v>1272.3220208333335</v>
      </c>
      <c r="O69" s="165">
        <v>29</v>
      </c>
      <c r="P69" s="155">
        <v>1272.32</v>
      </c>
      <c r="Z69" s="86">
        <v>29</v>
      </c>
      <c r="AA69" s="119">
        <f t="shared" si="43"/>
        <v>13.636634000000001</v>
      </c>
      <c r="AB69" s="129">
        <f t="shared" si="44"/>
        <v>11.451628666666668</v>
      </c>
      <c r="AC69" s="128">
        <f t="shared" si="38"/>
        <v>12.544131333333334</v>
      </c>
      <c r="AE69" s="86">
        <v>29</v>
      </c>
      <c r="AF69" s="128">
        <v>12.54</v>
      </c>
      <c r="AH69" s="343">
        <v>29</v>
      </c>
      <c r="AI69" s="346">
        <f t="shared" si="33"/>
        <v>681.83170000000007</v>
      </c>
      <c r="AJ69" s="129">
        <f t="shared" si="34"/>
        <v>572.58143333333339</v>
      </c>
      <c r="AK69" s="128">
        <f t="shared" si="39"/>
        <v>627.20656666666673</v>
      </c>
      <c r="AM69" s="343">
        <v>29</v>
      </c>
      <c r="AN69" s="350">
        <v>627.21</v>
      </c>
      <c r="AZ69" s="132">
        <v>29</v>
      </c>
      <c r="BA69" s="134">
        <f t="shared" si="40"/>
        <v>613.8911333333333</v>
      </c>
      <c r="BB69" s="134">
        <f t="shared" si="35"/>
        <v>603.35778333333337</v>
      </c>
      <c r="BC69" s="135">
        <f t="shared" si="45"/>
        <v>608.62445833333334</v>
      </c>
      <c r="BE69" s="112">
        <v>29</v>
      </c>
      <c r="BF69" s="308">
        <v>608.62</v>
      </c>
      <c r="BH69" s="132">
        <v>29</v>
      </c>
      <c r="BI69" s="361">
        <f t="shared" si="46"/>
        <v>92083.67</v>
      </c>
      <c r="BJ69" s="134">
        <f t="shared" si="47"/>
        <v>90503.66750000001</v>
      </c>
      <c r="BK69" s="135">
        <f t="shared" si="48"/>
        <v>91293.668750000012</v>
      </c>
      <c r="BM69" s="353">
        <v>29</v>
      </c>
      <c r="BN69" s="356">
        <v>91293.67</v>
      </c>
    </row>
    <row r="70" spans="2:66" ht="17" thickBot="1">
      <c r="B70" s="166">
        <v>30</v>
      </c>
      <c r="C70" s="39">
        <f>G35</f>
        <v>47.422340833333337</v>
      </c>
      <c r="D70" s="74">
        <f t="shared" si="42"/>
        <v>50.664588333333327</v>
      </c>
      <c r="E70" s="163">
        <f t="shared" si="36"/>
        <v>49.043464583333332</v>
      </c>
      <c r="G70" s="77">
        <v>30</v>
      </c>
      <c r="H70" s="163">
        <v>49.04</v>
      </c>
      <c r="I70" s="341"/>
      <c r="J70" s="77">
        <v>30</v>
      </c>
      <c r="K70" s="141">
        <f t="shared" si="31"/>
        <v>2371.1170416666669</v>
      </c>
      <c r="L70" s="74">
        <f t="shared" si="32"/>
        <v>2533.2294166666666</v>
      </c>
      <c r="M70" s="163">
        <f t="shared" si="37"/>
        <v>2452.1732291666667</v>
      </c>
      <c r="O70" s="166">
        <v>30</v>
      </c>
      <c r="P70" s="157">
        <v>2452.17</v>
      </c>
      <c r="Z70" s="87">
        <v>30</v>
      </c>
      <c r="AA70" s="120">
        <f>AE35</f>
        <v>10.332430666666665</v>
      </c>
      <c r="AB70" s="131">
        <f>AN35</f>
        <v>11.138459333333333</v>
      </c>
      <c r="AC70" s="147">
        <f t="shared" si="38"/>
        <v>10.735444999999999</v>
      </c>
      <c r="AE70" s="87">
        <v>30</v>
      </c>
      <c r="AF70" s="147">
        <v>10.74</v>
      </c>
      <c r="AH70" s="344">
        <v>30</v>
      </c>
      <c r="AI70" s="347">
        <f t="shared" si="33"/>
        <v>516.62153333333322</v>
      </c>
      <c r="AJ70" s="131">
        <f t="shared" si="34"/>
        <v>556.92296666666664</v>
      </c>
      <c r="AK70" s="147">
        <f t="shared" si="39"/>
        <v>536.77224999999999</v>
      </c>
      <c r="AM70" s="344">
        <v>30</v>
      </c>
      <c r="AN70" s="351">
        <v>536.77</v>
      </c>
      <c r="AZ70" s="133">
        <v>30</v>
      </c>
      <c r="BA70" s="136">
        <f>BE35</f>
        <v>227.85263166666667</v>
      </c>
      <c r="BB70" s="136">
        <f>BN35</f>
        <v>221.67157666666668</v>
      </c>
      <c r="BC70" s="137">
        <f t="shared" si="45"/>
        <v>224.76210416666669</v>
      </c>
      <c r="BE70" s="113">
        <v>30</v>
      </c>
      <c r="BF70" s="309">
        <v>224.76</v>
      </c>
      <c r="BH70" s="133">
        <v>30</v>
      </c>
      <c r="BI70" s="362">
        <f t="shared" si="46"/>
        <v>34177.894749999999</v>
      </c>
      <c r="BJ70" s="136">
        <f t="shared" si="47"/>
        <v>33250.736499999999</v>
      </c>
      <c r="BK70" s="137">
        <f t="shared" si="48"/>
        <v>33714.315625000003</v>
      </c>
      <c r="BM70" s="354">
        <v>30</v>
      </c>
      <c r="BN70" s="357">
        <v>33714.32</v>
      </c>
    </row>
  </sheetData>
  <mergeCells count="7">
    <mergeCell ref="BY4:CA4"/>
    <mergeCell ref="B4:K4"/>
    <mergeCell ref="L4:T4"/>
    <mergeCell ref="Z4:AI4"/>
    <mergeCell ref="AJ4:AR4"/>
    <mergeCell ref="AZ4:BI4"/>
    <mergeCell ref="BJ4:BR4"/>
  </mergeCells>
  <phoneticPr fontId="9" type="noConversion"/>
  <pageMargins left="0.7" right="0.7" top="0.75" bottom="0.75" header="0.3" footer="0.3"/>
  <ignoredErrors>
    <ignoredError sqref="J11:J20 S19:S28 AR5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8173D-29DC-6548-8255-836984274C63}">
  <dimension ref="B1:AS62"/>
  <sheetViews>
    <sheetView topLeftCell="AA1" zoomScale="75" workbookViewId="0">
      <selection activeCell="B38" sqref="B38"/>
    </sheetView>
  </sheetViews>
  <sheetFormatPr baseColWidth="10" defaultRowHeight="16"/>
  <cols>
    <col min="2" max="2" width="23.5" bestFit="1" customWidth="1"/>
    <col min="3" max="3" width="22.6640625" bestFit="1" customWidth="1"/>
    <col min="4" max="4" width="22" bestFit="1" customWidth="1"/>
    <col min="5" max="5" width="15.1640625" bestFit="1" customWidth="1"/>
    <col min="6" max="6" width="15.1640625" customWidth="1"/>
    <col min="7" max="7" width="22.6640625" bestFit="1" customWidth="1"/>
    <col min="8" max="8" width="17.33203125" bestFit="1" customWidth="1"/>
    <col min="9" max="9" width="15.1640625" bestFit="1" customWidth="1"/>
    <col min="10" max="10" width="22.6640625" bestFit="1" customWidth="1"/>
    <col min="11" max="11" width="17.33203125" bestFit="1" customWidth="1"/>
    <col min="12" max="12" width="14.83203125" bestFit="1" customWidth="1"/>
    <col min="13" max="13" width="28.1640625" bestFit="1" customWidth="1"/>
    <col min="14" max="14" width="22" bestFit="1" customWidth="1"/>
    <col min="15" max="15" width="14.83203125" bestFit="1" customWidth="1"/>
    <col min="17" max="17" width="12.83203125" bestFit="1" customWidth="1"/>
    <col min="18" max="18" width="22.6640625" bestFit="1" customWidth="1"/>
    <col min="19" max="19" width="22" bestFit="1" customWidth="1"/>
    <col min="20" max="20" width="14.83203125" bestFit="1" customWidth="1"/>
    <col min="21" max="21" width="14.83203125" customWidth="1"/>
    <col min="22" max="22" width="22.6640625" bestFit="1" customWidth="1"/>
    <col min="23" max="23" width="17.33203125" bestFit="1" customWidth="1"/>
    <col min="24" max="24" width="15.1640625" bestFit="1" customWidth="1"/>
    <col min="25" max="25" width="22.6640625" bestFit="1" customWidth="1"/>
    <col min="26" max="26" width="22" bestFit="1" customWidth="1"/>
    <col min="27" max="27" width="14.83203125" bestFit="1" customWidth="1"/>
    <col min="28" max="28" width="28.33203125" bestFit="1" customWidth="1"/>
    <col min="29" max="29" width="22" bestFit="1" customWidth="1"/>
    <col min="30" max="30" width="15.1640625" customWidth="1"/>
    <col min="32" max="32" width="14.5" customWidth="1"/>
    <col min="33" max="33" width="22.6640625" bestFit="1" customWidth="1"/>
    <col min="34" max="34" width="22" bestFit="1" customWidth="1"/>
    <col min="35" max="36" width="16.1640625" bestFit="1" customWidth="1"/>
    <col min="37" max="37" width="22.6640625" bestFit="1" customWidth="1"/>
    <col min="38" max="38" width="22" bestFit="1" customWidth="1"/>
    <col min="39" max="39" width="15.1640625" bestFit="1" customWidth="1"/>
    <col min="40" max="40" width="22.6640625" bestFit="1" customWidth="1"/>
    <col min="41" max="41" width="22" bestFit="1" customWidth="1"/>
    <col min="42" max="42" width="14.83203125" bestFit="1" customWidth="1"/>
    <col min="43" max="43" width="22.6640625" bestFit="1" customWidth="1"/>
    <col min="44" max="44" width="22" bestFit="1" customWidth="1"/>
    <col min="45" max="45" width="14.83203125" bestFit="1" customWidth="1"/>
  </cols>
  <sheetData>
    <row r="1" spans="2:45" ht="17" thickBot="1"/>
    <row r="2" spans="2:45" ht="25" thickBot="1">
      <c r="B2" s="607" t="s">
        <v>0</v>
      </c>
      <c r="C2" s="608"/>
      <c r="D2" s="608"/>
      <c r="E2" s="608"/>
      <c r="F2" s="608"/>
      <c r="G2" s="609"/>
      <c r="H2" s="609"/>
      <c r="I2" s="609"/>
      <c r="J2" s="609"/>
      <c r="K2" s="609"/>
      <c r="L2" s="609"/>
      <c r="M2" s="609"/>
      <c r="N2" s="609"/>
      <c r="O2" s="610"/>
      <c r="Q2" s="611" t="s">
        <v>1</v>
      </c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612"/>
      <c r="AC2" s="612"/>
      <c r="AD2" s="613"/>
      <c r="AF2" s="614" t="s">
        <v>2</v>
      </c>
      <c r="AG2" s="615"/>
      <c r="AH2" s="615"/>
      <c r="AI2" s="615"/>
      <c r="AJ2" s="615"/>
      <c r="AK2" s="615"/>
      <c r="AL2" s="615"/>
      <c r="AM2" s="615"/>
      <c r="AN2" s="615"/>
      <c r="AO2" s="615"/>
      <c r="AP2" s="615"/>
      <c r="AQ2" s="615"/>
      <c r="AR2" s="615"/>
      <c r="AS2" s="616"/>
    </row>
    <row r="3" spans="2:45" ht="22" thickBot="1">
      <c r="B3" s="257"/>
      <c r="C3" s="617" t="s">
        <v>70</v>
      </c>
      <c r="D3" s="618"/>
      <c r="E3" s="618"/>
      <c r="F3" s="321"/>
      <c r="G3" s="619" t="s">
        <v>71</v>
      </c>
      <c r="H3" s="620"/>
      <c r="I3" s="621"/>
      <c r="J3" s="622" t="s">
        <v>72</v>
      </c>
      <c r="K3" s="622"/>
      <c r="L3" s="623"/>
      <c r="M3" s="617" t="s">
        <v>73</v>
      </c>
      <c r="N3" s="618"/>
      <c r="O3" s="624"/>
      <c r="Q3" s="323"/>
      <c r="R3" s="625" t="s">
        <v>70</v>
      </c>
      <c r="S3" s="626"/>
      <c r="T3" s="626"/>
      <c r="U3" s="521"/>
      <c r="V3" s="627" t="s">
        <v>71</v>
      </c>
      <c r="W3" s="627"/>
      <c r="X3" s="627"/>
      <c r="Y3" s="628" t="s">
        <v>72</v>
      </c>
      <c r="Z3" s="627"/>
      <c r="AA3" s="627"/>
      <c r="AB3" s="629" t="s">
        <v>73</v>
      </c>
      <c r="AC3" s="627"/>
      <c r="AD3" s="630"/>
      <c r="AF3" s="37"/>
      <c r="AG3" s="631" t="s">
        <v>70</v>
      </c>
      <c r="AH3" s="632"/>
      <c r="AI3" s="632"/>
      <c r="AJ3" s="322"/>
      <c r="AK3" s="631" t="s">
        <v>71</v>
      </c>
      <c r="AL3" s="632"/>
      <c r="AM3" s="632"/>
      <c r="AN3" s="633" t="s">
        <v>72</v>
      </c>
      <c r="AO3" s="634"/>
      <c r="AP3" s="635"/>
      <c r="AQ3" s="633" t="s">
        <v>73</v>
      </c>
      <c r="AR3" s="634"/>
      <c r="AS3" s="635"/>
    </row>
    <row r="4" spans="2:45" ht="20" thickBot="1">
      <c r="B4" s="256"/>
      <c r="C4" s="387" t="s">
        <v>128</v>
      </c>
      <c r="D4" s="386" t="s">
        <v>127</v>
      </c>
      <c r="E4" s="518" t="s">
        <v>74</v>
      </c>
      <c r="F4" s="518" t="s">
        <v>144</v>
      </c>
      <c r="G4" s="138" t="s">
        <v>128</v>
      </c>
      <c r="H4" s="363" t="s">
        <v>127</v>
      </c>
      <c r="I4" s="262" t="s">
        <v>74</v>
      </c>
      <c r="J4" s="138" t="s">
        <v>128</v>
      </c>
      <c r="K4" s="363" t="s">
        <v>127</v>
      </c>
      <c r="L4" s="262" t="s">
        <v>74</v>
      </c>
      <c r="M4" s="138" t="s">
        <v>128</v>
      </c>
      <c r="N4" s="363" t="s">
        <v>127</v>
      </c>
      <c r="O4" s="262" t="s">
        <v>74</v>
      </c>
      <c r="Q4" s="266"/>
      <c r="R4" s="537" t="s">
        <v>128</v>
      </c>
      <c r="S4" s="522" t="s">
        <v>127</v>
      </c>
      <c r="T4" s="522" t="s">
        <v>74</v>
      </c>
      <c r="U4" s="536" t="s">
        <v>144</v>
      </c>
      <c r="V4" s="267" t="s">
        <v>128</v>
      </c>
      <c r="W4" s="367" t="s">
        <v>118</v>
      </c>
      <c r="X4" s="265" t="s">
        <v>74</v>
      </c>
      <c r="Y4" s="463" t="s">
        <v>128</v>
      </c>
      <c r="Z4" s="464" t="s">
        <v>127</v>
      </c>
      <c r="AA4" s="464" t="s">
        <v>74</v>
      </c>
      <c r="AB4" s="463" t="s">
        <v>128</v>
      </c>
      <c r="AC4" s="464" t="s">
        <v>127</v>
      </c>
      <c r="AD4" s="585" t="s">
        <v>74</v>
      </c>
      <c r="AF4" s="273"/>
      <c r="AG4" s="539" t="s">
        <v>128</v>
      </c>
      <c r="AH4" s="540" t="s">
        <v>127</v>
      </c>
      <c r="AI4" s="540" t="s">
        <v>74</v>
      </c>
      <c r="AJ4" s="538" t="s">
        <v>144</v>
      </c>
      <c r="AK4" s="466" t="s">
        <v>128</v>
      </c>
      <c r="AL4" s="467" t="s">
        <v>127</v>
      </c>
      <c r="AM4" s="467" t="s">
        <v>74</v>
      </c>
      <c r="AN4" s="466" t="s">
        <v>128</v>
      </c>
      <c r="AO4" s="467" t="s">
        <v>127</v>
      </c>
      <c r="AP4" s="467" t="s">
        <v>74</v>
      </c>
      <c r="AQ4" s="466" t="s">
        <v>128</v>
      </c>
      <c r="AR4" s="467" t="s">
        <v>127</v>
      </c>
      <c r="AS4" s="467" t="s">
        <v>74</v>
      </c>
    </row>
    <row r="5" spans="2:45">
      <c r="B5" s="10">
        <v>1</v>
      </c>
      <c r="C5" s="391">
        <v>77.31</v>
      </c>
      <c r="D5" s="474">
        <f>C5*50</f>
        <v>3865.5</v>
      </c>
      <c r="E5" s="474">
        <v>1.83</v>
      </c>
      <c r="F5" s="527">
        <v>1.61</v>
      </c>
      <c r="G5" s="517">
        <v>85</v>
      </c>
      <c r="H5" s="392">
        <f>G5*50</f>
        <v>4250</v>
      </c>
      <c r="I5" s="390">
        <v>1.85</v>
      </c>
      <c r="J5" s="528">
        <v>64.400000000000006</v>
      </c>
      <c r="K5" s="474">
        <f>J5*50</f>
        <v>3220.0000000000005</v>
      </c>
      <c r="L5" s="70" t="s">
        <v>75</v>
      </c>
      <c r="M5" s="529">
        <v>56.36</v>
      </c>
      <c r="N5" s="530">
        <f>M5*50</f>
        <v>2818</v>
      </c>
      <c r="O5" s="70" t="s">
        <v>75</v>
      </c>
      <c r="Q5" s="27">
        <v>1</v>
      </c>
      <c r="R5" s="93">
        <v>31.73</v>
      </c>
      <c r="S5" s="328">
        <f>R5*50</f>
        <v>1586.5</v>
      </c>
      <c r="T5" s="485">
        <v>1.87</v>
      </c>
      <c r="U5" s="94">
        <v>1.39</v>
      </c>
      <c r="V5" s="34">
        <v>28.2</v>
      </c>
      <c r="W5" s="368">
        <f>V5*50</f>
        <v>1410</v>
      </c>
      <c r="X5" s="35">
        <v>1.87</v>
      </c>
      <c r="Y5" s="20">
        <v>20.399999999999999</v>
      </c>
      <c r="Z5" s="371">
        <f>Y5*50</f>
        <v>1019.9999999999999</v>
      </c>
      <c r="AA5" s="315" t="s">
        <v>75</v>
      </c>
      <c r="AB5" s="320">
        <v>15.68</v>
      </c>
      <c r="AC5" s="373">
        <f>AB5*50</f>
        <v>784</v>
      </c>
      <c r="AD5" s="24" t="s">
        <v>75</v>
      </c>
      <c r="AF5" s="7">
        <v>1</v>
      </c>
      <c r="AG5" s="101">
        <v>2076.38</v>
      </c>
      <c r="AH5" s="396">
        <f>AG5*150</f>
        <v>311457</v>
      </c>
      <c r="AI5" s="397">
        <v>1.93</v>
      </c>
      <c r="AJ5" s="104">
        <v>1.27</v>
      </c>
      <c r="AK5" s="523">
        <v>2220.1</v>
      </c>
      <c r="AL5" s="399">
        <f>AK5*150</f>
        <v>333015</v>
      </c>
      <c r="AM5" s="400">
        <v>1.89</v>
      </c>
      <c r="AN5" s="401">
        <v>545</v>
      </c>
      <c r="AO5" s="402">
        <f>AN5*150</f>
        <v>81750</v>
      </c>
      <c r="AP5" s="151" t="s">
        <v>75</v>
      </c>
      <c r="AQ5" s="150">
        <v>181.07</v>
      </c>
      <c r="AR5" s="382">
        <f>AQ5*150</f>
        <v>27160.5</v>
      </c>
      <c r="AS5" s="151" t="s">
        <v>75</v>
      </c>
    </row>
    <row r="6" spans="2:45">
      <c r="B6" s="11">
        <v>2</v>
      </c>
      <c r="C6" s="263">
        <v>89.76</v>
      </c>
      <c r="D6" s="258">
        <f>C6*50</f>
        <v>4488</v>
      </c>
      <c r="E6" s="258">
        <v>1.86</v>
      </c>
      <c r="F6" s="53" t="s">
        <v>146</v>
      </c>
      <c r="G6" s="515">
        <v>96.5</v>
      </c>
      <c r="H6" s="365">
        <f>G6*50</f>
        <v>4825</v>
      </c>
      <c r="I6" s="52">
        <v>1.86</v>
      </c>
      <c r="J6" s="531">
        <v>82</v>
      </c>
      <c r="K6" s="258">
        <f>J6*50</f>
        <v>4100</v>
      </c>
      <c r="L6" s="388" t="s">
        <v>75</v>
      </c>
      <c r="M6" s="532">
        <v>57.6</v>
      </c>
      <c r="N6" s="259">
        <f>M6*50</f>
        <v>2880</v>
      </c>
      <c r="O6" s="41" t="s">
        <v>75</v>
      </c>
      <c r="Q6" s="27">
        <v>2</v>
      </c>
      <c r="R6" s="17">
        <v>15.39</v>
      </c>
      <c r="S6" s="327">
        <f>R6*50</f>
        <v>769.5</v>
      </c>
      <c r="T6" s="486">
        <v>2.1800000000000002</v>
      </c>
      <c r="U6" s="14">
        <v>1.17</v>
      </c>
      <c r="V6" s="30">
        <v>15.7</v>
      </c>
      <c r="W6" s="369">
        <f>V6*50</f>
        <v>785</v>
      </c>
      <c r="X6" s="32">
        <v>1.85</v>
      </c>
      <c r="Y6" s="17">
        <v>12.3</v>
      </c>
      <c r="Z6" s="372">
        <f>Y6*50</f>
        <v>615</v>
      </c>
      <c r="AA6" s="316" t="s">
        <v>75</v>
      </c>
      <c r="AB6" s="318">
        <v>9.7899999999999991</v>
      </c>
      <c r="AC6" s="374">
        <f>AB6*50</f>
        <v>489.49999999999994</v>
      </c>
      <c r="AD6" s="25" t="s">
        <v>75</v>
      </c>
      <c r="AF6" s="1">
        <v>2</v>
      </c>
      <c r="AG6" s="47">
        <v>722.98</v>
      </c>
      <c r="AH6" s="395">
        <f>AG6*150</f>
        <v>108447</v>
      </c>
      <c r="AI6" s="268">
        <v>1.76</v>
      </c>
      <c r="AJ6" s="2">
        <v>1.02</v>
      </c>
      <c r="AK6" s="524">
        <v>776.8</v>
      </c>
      <c r="AL6" s="379">
        <f>AK6*150</f>
        <v>116520</v>
      </c>
      <c r="AM6" s="313">
        <v>1.82</v>
      </c>
      <c r="AN6" s="5">
        <v>268</v>
      </c>
      <c r="AO6" s="380">
        <f>AN6*150</f>
        <v>40200</v>
      </c>
      <c r="AP6" s="26" t="s">
        <v>75</v>
      </c>
      <c r="AQ6" s="45">
        <v>289.62</v>
      </c>
      <c r="AR6" s="383">
        <f>AQ6*150</f>
        <v>43443</v>
      </c>
      <c r="AS6" s="48" t="s">
        <v>75</v>
      </c>
    </row>
    <row r="7" spans="2:45">
      <c r="B7" s="11">
        <v>3</v>
      </c>
      <c r="C7" s="263">
        <v>60.49</v>
      </c>
      <c r="D7" s="258">
        <f t="shared" ref="D7:D34" si="0">C7*50</f>
        <v>3024.5</v>
      </c>
      <c r="E7" s="258">
        <v>1.77</v>
      </c>
      <c r="F7" s="53" t="s">
        <v>147</v>
      </c>
      <c r="G7" s="515">
        <v>64.900000000000006</v>
      </c>
      <c r="H7" s="364">
        <f t="shared" ref="H7:H34" si="1">G7*50</f>
        <v>3245.0000000000005</v>
      </c>
      <c r="I7" s="52">
        <v>1.86</v>
      </c>
      <c r="J7" s="531">
        <v>41.6</v>
      </c>
      <c r="K7" s="258">
        <f t="shared" ref="K7:K34" si="2">J7*50</f>
        <v>2080</v>
      </c>
      <c r="L7" s="388" t="s">
        <v>75</v>
      </c>
      <c r="M7" s="532">
        <v>39.69</v>
      </c>
      <c r="N7" s="259">
        <f t="shared" ref="N7:N34" si="3">M7*50</f>
        <v>1984.5</v>
      </c>
      <c r="O7" s="41" t="s">
        <v>75</v>
      </c>
      <c r="Q7" s="27">
        <v>3</v>
      </c>
      <c r="R7" s="17">
        <v>20.350000000000001</v>
      </c>
      <c r="S7" s="327">
        <f t="shared" ref="S7:S34" si="4">R7*50</f>
        <v>1017.5000000000001</v>
      </c>
      <c r="T7" s="486">
        <v>1.92</v>
      </c>
      <c r="U7" s="14">
        <v>0.93</v>
      </c>
      <c r="V7" s="30">
        <v>16.3</v>
      </c>
      <c r="W7" s="368">
        <f t="shared" ref="W7:W34" si="5">V7*50</f>
        <v>815</v>
      </c>
      <c r="X7" s="32">
        <v>1.75</v>
      </c>
      <c r="Y7" s="17">
        <v>11.3</v>
      </c>
      <c r="Z7" s="372">
        <f>Y7*50</f>
        <v>565</v>
      </c>
      <c r="AA7" s="316" t="s">
        <v>75</v>
      </c>
      <c r="AB7" s="318">
        <v>10.44</v>
      </c>
      <c r="AC7" s="373">
        <f t="shared" ref="AC7:AC34" si="6">AB7*50</f>
        <v>522</v>
      </c>
      <c r="AD7" s="25" t="s">
        <v>75</v>
      </c>
      <c r="AF7" s="1">
        <v>3</v>
      </c>
      <c r="AG7" s="47">
        <v>1904.81</v>
      </c>
      <c r="AH7" s="394">
        <f>AG7*150</f>
        <v>285721.5</v>
      </c>
      <c r="AI7" s="269">
        <v>1.8</v>
      </c>
      <c r="AJ7" s="2">
        <v>1.01</v>
      </c>
      <c r="AK7" s="524">
        <v>1820.6</v>
      </c>
      <c r="AL7" s="378">
        <f>AK7*150</f>
        <v>273090</v>
      </c>
      <c r="AM7" s="313">
        <v>0.74</v>
      </c>
      <c r="AN7" s="5">
        <v>670</v>
      </c>
      <c r="AO7" s="380">
        <f t="shared" ref="AO7:AO34" si="7">AN7*150</f>
        <v>100500</v>
      </c>
      <c r="AP7" s="26" t="s">
        <v>75</v>
      </c>
      <c r="AQ7" s="45">
        <v>531.51</v>
      </c>
      <c r="AR7" s="383">
        <f>AQ7*150</f>
        <v>79726.5</v>
      </c>
      <c r="AS7" s="48" t="s">
        <v>75</v>
      </c>
    </row>
    <row r="8" spans="2:45">
      <c r="B8" s="11">
        <v>4</v>
      </c>
      <c r="C8" s="263">
        <v>49.34</v>
      </c>
      <c r="D8" s="258">
        <f t="shared" si="0"/>
        <v>2467</v>
      </c>
      <c r="E8" s="258">
        <v>1.78</v>
      </c>
      <c r="F8" s="53" t="s">
        <v>148</v>
      </c>
      <c r="G8" s="515">
        <v>53</v>
      </c>
      <c r="H8" s="365">
        <f t="shared" si="1"/>
        <v>2650</v>
      </c>
      <c r="I8" s="52">
        <v>1.84</v>
      </c>
      <c r="J8" s="531">
        <v>38.6</v>
      </c>
      <c r="K8" s="258">
        <f t="shared" si="2"/>
        <v>1930</v>
      </c>
      <c r="L8" s="388" t="s">
        <v>75</v>
      </c>
      <c r="M8" s="532">
        <v>29.06</v>
      </c>
      <c r="N8" s="259">
        <f t="shared" si="3"/>
        <v>1453</v>
      </c>
      <c r="O8" s="41" t="s">
        <v>75</v>
      </c>
      <c r="Q8" s="27">
        <v>4</v>
      </c>
      <c r="R8" s="17">
        <v>30.19</v>
      </c>
      <c r="S8" s="327">
        <f t="shared" si="4"/>
        <v>1509.5</v>
      </c>
      <c r="T8" s="486">
        <v>1.92</v>
      </c>
      <c r="U8" s="14">
        <v>1.37</v>
      </c>
      <c r="V8" s="30">
        <v>32.200000000000003</v>
      </c>
      <c r="W8" s="369">
        <f t="shared" si="5"/>
        <v>1610.0000000000002</v>
      </c>
      <c r="X8" s="32">
        <v>1.85</v>
      </c>
      <c r="Y8" s="17">
        <v>19.3</v>
      </c>
      <c r="Z8" s="371">
        <f t="shared" ref="Z8:Z33" si="8">Y8*50</f>
        <v>965</v>
      </c>
      <c r="AA8" s="316" t="s">
        <v>75</v>
      </c>
      <c r="AB8" s="318">
        <v>18.07</v>
      </c>
      <c r="AC8" s="374">
        <f t="shared" si="6"/>
        <v>903.5</v>
      </c>
      <c r="AD8" s="25" t="s">
        <v>75</v>
      </c>
      <c r="AF8" s="1">
        <v>4</v>
      </c>
      <c r="AG8" s="47">
        <v>365.64</v>
      </c>
      <c r="AH8" s="394">
        <f t="shared" ref="AH8:AH34" si="9">AG8*150</f>
        <v>54846</v>
      </c>
      <c r="AI8" s="269">
        <v>1.8</v>
      </c>
      <c r="AJ8" s="2">
        <v>1.54</v>
      </c>
      <c r="AK8" s="524">
        <v>427.5</v>
      </c>
      <c r="AL8" s="378">
        <f t="shared" ref="AL8:AL34" si="10">AK8*150</f>
        <v>64125</v>
      </c>
      <c r="AM8" s="313">
        <v>1.78</v>
      </c>
      <c r="AN8" s="5">
        <v>246</v>
      </c>
      <c r="AO8" s="380">
        <f t="shared" si="7"/>
        <v>36900</v>
      </c>
      <c r="AP8" s="26" t="s">
        <v>75</v>
      </c>
      <c r="AQ8" s="45">
        <v>119.74</v>
      </c>
      <c r="AR8" s="385">
        <f t="shared" ref="AR8:AR34" si="11">AQ8*150</f>
        <v>17961</v>
      </c>
      <c r="AS8" s="48" t="s">
        <v>75</v>
      </c>
    </row>
    <row r="9" spans="2:45">
      <c r="B9" s="11">
        <v>5</v>
      </c>
      <c r="C9" s="263">
        <v>97.1</v>
      </c>
      <c r="D9" s="258">
        <f t="shared" si="0"/>
        <v>4855</v>
      </c>
      <c r="E9" s="258">
        <v>1.84</v>
      </c>
      <c r="F9" s="53" t="s">
        <v>149</v>
      </c>
      <c r="G9" s="515">
        <v>103.6</v>
      </c>
      <c r="H9" s="364">
        <f t="shared" si="1"/>
        <v>5180</v>
      </c>
      <c r="I9" s="52">
        <v>1.88</v>
      </c>
      <c r="J9" s="531">
        <v>86</v>
      </c>
      <c r="K9" s="258">
        <f t="shared" si="2"/>
        <v>4300</v>
      </c>
      <c r="L9" s="388" t="s">
        <v>75</v>
      </c>
      <c r="M9" s="532">
        <v>64.459999999999994</v>
      </c>
      <c r="N9" s="259">
        <f t="shared" si="3"/>
        <v>3222.9999999999995</v>
      </c>
      <c r="O9" s="41" t="s">
        <v>75</v>
      </c>
      <c r="Q9" s="27">
        <v>5</v>
      </c>
      <c r="R9" s="17">
        <v>36.99</v>
      </c>
      <c r="S9" s="327">
        <f t="shared" si="4"/>
        <v>1849.5</v>
      </c>
      <c r="T9" s="486">
        <v>1.93</v>
      </c>
      <c r="U9" s="14">
        <v>1.54</v>
      </c>
      <c r="V9" s="30">
        <v>38.4</v>
      </c>
      <c r="W9" s="368">
        <f t="shared" si="5"/>
        <v>1920</v>
      </c>
      <c r="X9" s="32">
        <v>1.85</v>
      </c>
      <c r="Y9" s="17">
        <v>25.3</v>
      </c>
      <c r="Z9" s="372">
        <f t="shared" si="8"/>
        <v>1265</v>
      </c>
      <c r="AA9" s="316" t="s">
        <v>75</v>
      </c>
      <c r="AB9" s="318">
        <v>20.260000000000002</v>
      </c>
      <c r="AC9" s="373">
        <f t="shared" si="6"/>
        <v>1013.0000000000001</v>
      </c>
      <c r="AD9" s="25" t="s">
        <v>75</v>
      </c>
      <c r="AF9" s="1">
        <v>5</v>
      </c>
      <c r="AG9" s="47">
        <v>965.6</v>
      </c>
      <c r="AH9" s="395">
        <f t="shared" si="9"/>
        <v>144840</v>
      </c>
      <c r="AI9" s="269">
        <v>1.9</v>
      </c>
      <c r="AJ9" s="2">
        <v>1.35</v>
      </c>
      <c r="AK9" s="524">
        <v>1044.5</v>
      </c>
      <c r="AL9" s="379">
        <f t="shared" si="10"/>
        <v>156675</v>
      </c>
      <c r="AM9" s="313">
        <v>1.97</v>
      </c>
      <c r="AN9" s="5">
        <v>252</v>
      </c>
      <c r="AO9" s="380">
        <f t="shared" si="7"/>
        <v>37800</v>
      </c>
      <c r="AP9" s="26" t="s">
        <v>75</v>
      </c>
      <c r="AQ9" s="45">
        <v>273.43</v>
      </c>
      <c r="AR9" s="383">
        <f t="shared" si="11"/>
        <v>41014.5</v>
      </c>
      <c r="AS9" s="48" t="s">
        <v>75</v>
      </c>
    </row>
    <row r="10" spans="2:45">
      <c r="B10" s="11">
        <v>6</v>
      </c>
      <c r="C10" s="263">
        <v>46.7</v>
      </c>
      <c r="D10" s="258">
        <f t="shared" si="0"/>
        <v>2335</v>
      </c>
      <c r="E10" s="258">
        <v>1.79</v>
      </c>
      <c r="F10" s="53" t="s">
        <v>150</v>
      </c>
      <c r="G10" s="515">
        <v>48.7</v>
      </c>
      <c r="H10" s="365">
        <f t="shared" si="1"/>
        <v>2435</v>
      </c>
      <c r="I10" s="52">
        <v>1.85</v>
      </c>
      <c r="J10" s="531">
        <v>34.299999999999997</v>
      </c>
      <c r="K10" s="258">
        <f t="shared" si="2"/>
        <v>1714.9999999999998</v>
      </c>
      <c r="L10" s="388" t="s">
        <v>75</v>
      </c>
      <c r="M10" s="532">
        <v>15.48</v>
      </c>
      <c r="N10" s="259">
        <f t="shared" si="3"/>
        <v>774</v>
      </c>
      <c r="O10" s="41" t="s">
        <v>75</v>
      </c>
      <c r="Q10" s="27">
        <v>6</v>
      </c>
      <c r="R10" s="17">
        <v>26.74</v>
      </c>
      <c r="S10" s="327">
        <f t="shared" si="4"/>
        <v>1337</v>
      </c>
      <c r="T10" s="519">
        <v>2</v>
      </c>
      <c r="U10" s="14">
        <v>1.66</v>
      </c>
      <c r="V10" s="30">
        <v>27.2</v>
      </c>
      <c r="W10" s="369">
        <f t="shared" si="5"/>
        <v>1360</v>
      </c>
      <c r="X10" s="32">
        <v>1.86</v>
      </c>
      <c r="Y10" s="17">
        <v>18</v>
      </c>
      <c r="Z10" s="372">
        <f t="shared" si="8"/>
        <v>900</v>
      </c>
      <c r="AA10" s="316" t="s">
        <v>75</v>
      </c>
      <c r="AB10" s="318">
        <v>13.43</v>
      </c>
      <c r="AC10" s="374">
        <f t="shared" si="6"/>
        <v>671.5</v>
      </c>
      <c r="AD10" s="25" t="s">
        <v>75</v>
      </c>
      <c r="AF10" s="1">
        <v>6</v>
      </c>
      <c r="AG10" s="47">
        <v>945.42</v>
      </c>
      <c r="AH10" s="394">
        <f t="shared" si="9"/>
        <v>141813</v>
      </c>
      <c r="AI10" s="268">
        <v>1.94</v>
      </c>
      <c r="AJ10" s="2">
        <v>1.6</v>
      </c>
      <c r="AK10" s="524">
        <v>1050.2</v>
      </c>
      <c r="AL10" s="378">
        <f t="shared" si="10"/>
        <v>157530</v>
      </c>
      <c r="AM10" s="313">
        <v>1.98</v>
      </c>
      <c r="AN10" s="5">
        <v>260</v>
      </c>
      <c r="AO10" s="380">
        <f t="shared" si="7"/>
        <v>39000</v>
      </c>
      <c r="AP10" s="26" t="s">
        <v>75</v>
      </c>
      <c r="AQ10" s="45">
        <v>304.68</v>
      </c>
      <c r="AR10" s="383">
        <f t="shared" si="11"/>
        <v>45702</v>
      </c>
      <c r="AS10" s="48" t="s">
        <v>75</v>
      </c>
    </row>
    <row r="11" spans="2:45">
      <c r="B11" s="11">
        <v>7</v>
      </c>
      <c r="C11" s="263">
        <v>30.8</v>
      </c>
      <c r="D11" s="258">
        <f t="shared" si="0"/>
        <v>1540</v>
      </c>
      <c r="E11" s="259">
        <v>1.8</v>
      </c>
      <c r="F11" s="53" t="s">
        <v>151</v>
      </c>
      <c r="G11" s="515">
        <v>32.200000000000003</v>
      </c>
      <c r="H11" s="364">
        <f t="shared" si="1"/>
        <v>1610.0000000000002</v>
      </c>
      <c r="I11" s="52">
        <v>1.82</v>
      </c>
      <c r="J11" s="531">
        <v>29</v>
      </c>
      <c r="K11" s="258">
        <f t="shared" si="2"/>
        <v>1450</v>
      </c>
      <c r="L11" s="388" t="s">
        <v>75</v>
      </c>
      <c r="M11" s="532">
        <v>25.13</v>
      </c>
      <c r="N11" s="259">
        <f t="shared" si="3"/>
        <v>1256.5</v>
      </c>
      <c r="O11" s="41" t="s">
        <v>75</v>
      </c>
      <c r="Q11" s="27">
        <v>7</v>
      </c>
      <c r="R11" s="17">
        <v>21.03</v>
      </c>
      <c r="S11" s="327">
        <f t="shared" si="4"/>
        <v>1051.5</v>
      </c>
      <c r="T11" s="486">
        <v>1.89</v>
      </c>
      <c r="U11" s="14">
        <v>1.05</v>
      </c>
      <c r="V11" s="30">
        <v>17.399999999999999</v>
      </c>
      <c r="W11" s="368">
        <f t="shared" si="5"/>
        <v>869.99999999999989</v>
      </c>
      <c r="X11" s="32">
        <v>1.85</v>
      </c>
      <c r="Y11" s="17">
        <v>12.3</v>
      </c>
      <c r="Z11" s="371">
        <f t="shared" si="8"/>
        <v>615</v>
      </c>
      <c r="AA11" s="316" t="s">
        <v>75</v>
      </c>
      <c r="AB11" s="318">
        <v>9.98</v>
      </c>
      <c r="AC11" s="373">
        <f t="shared" si="6"/>
        <v>499</v>
      </c>
      <c r="AD11" s="25" t="s">
        <v>75</v>
      </c>
      <c r="AF11" s="1">
        <v>7</v>
      </c>
      <c r="AG11" s="47">
        <v>460.4</v>
      </c>
      <c r="AH11" s="394">
        <f t="shared" si="9"/>
        <v>69060</v>
      </c>
      <c r="AI11" s="268">
        <v>1.89</v>
      </c>
      <c r="AJ11" s="2">
        <v>1.31</v>
      </c>
      <c r="AK11" s="524">
        <v>457.4</v>
      </c>
      <c r="AL11" s="378">
        <f t="shared" si="10"/>
        <v>68610</v>
      </c>
      <c r="AM11" s="313">
        <v>1.95</v>
      </c>
      <c r="AN11" s="5">
        <v>136</v>
      </c>
      <c r="AO11" s="380">
        <f t="shared" si="7"/>
        <v>20400</v>
      </c>
      <c r="AP11" s="26" t="s">
        <v>75</v>
      </c>
      <c r="AQ11" s="45">
        <v>121.41</v>
      </c>
      <c r="AR11" s="385">
        <f t="shared" si="11"/>
        <v>18211.5</v>
      </c>
      <c r="AS11" s="48" t="s">
        <v>75</v>
      </c>
    </row>
    <row r="12" spans="2:45">
      <c r="B12" s="11">
        <v>8</v>
      </c>
      <c r="C12" s="263">
        <v>96.01</v>
      </c>
      <c r="D12" s="258">
        <f t="shared" si="0"/>
        <v>4800.5</v>
      </c>
      <c r="E12" s="258">
        <v>1.84</v>
      </c>
      <c r="F12" s="53" t="s">
        <v>152</v>
      </c>
      <c r="G12" s="515">
        <v>102.3</v>
      </c>
      <c r="H12" s="365">
        <f t="shared" si="1"/>
        <v>5115</v>
      </c>
      <c r="I12" s="52">
        <v>1.85</v>
      </c>
      <c r="J12" s="531">
        <v>93.2</v>
      </c>
      <c r="K12" s="258">
        <f t="shared" si="2"/>
        <v>4660</v>
      </c>
      <c r="L12" s="388" t="s">
        <v>75</v>
      </c>
      <c r="M12" s="532">
        <v>62.4</v>
      </c>
      <c r="N12" s="259">
        <f t="shared" si="3"/>
        <v>3120</v>
      </c>
      <c r="O12" s="41" t="s">
        <v>75</v>
      </c>
      <c r="Q12" s="27">
        <v>8</v>
      </c>
      <c r="R12" s="17">
        <v>54.31</v>
      </c>
      <c r="S12" s="327">
        <f t="shared" si="4"/>
        <v>2715.5</v>
      </c>
      <c r="T12" s="486">
        <v>1.88</v>
      </c>
      <c r="U12" s="14">
        <v>1.92</v>
      </c>
      <c r="V12" s="30">
        <v>50.2</v>
      </c>
      <c r="W12" s="369">
        <f t="shared" si="5"/>
        <v>2510</v>
      </c>
      <c r="X12" s="32">
        <v>1.88</v>
      </c>
      <c r="Y12" s="17">
        <v>36.6</v>
      </c>
      <c r="Z12" s="372">
        <f t="shared" si="8"/>
        <v>1830</v>
      </c>
      <c r="AA12" s="316" t="s">
        <v>75</v>
      </c>
      <c r="AB12" s="318">
        <v>35.369999999999997</v>
      </c>
      <c r="AC12" s="374">
        <f t="shared" si="6"/>
        <v>1768.4999999999998</v>
      </c>
      <c r="AD12" s="25" t="s">
        <v>75</v>
      </c>
      <c r="AF12" s="1">
        <v>8</v>
      </c>
      <c r="AG12" s="47">
        <v>602.42999999999995</v>
      </c>
      <c r="AH12" s="395">
        <f t="shared" si="9"/>
        <v>90364.499999999985</v>
      </c>
      <c r="AI12" s="269">
        <v>1.8</v>
      </c>
      <c r="AJ12" s="2">
        <v>1.1599999999999999</v>
      </c>
      <c r="AK12" s="524">
        <v>595.1</v>
      </c>
      <c r="AL12" s="379">
        <f t="shared" si="10"/>
        <v>89265</v>
      </c>
      <c r="AM12" s="313">
        <v>1.88</v>
      </c>
      <c r="AN12" s="5">
        <v>206</v>
      </c>
      <c r="AO12" s="380">
        <f t="shared" si="7"/>
        <v>30900</v>
      </c>
      <c r="AP12" s="26" t="s">
        <v>75</v>
      </c>
      <c r="AQ12" s="45">
        <v>238.68</v>
      </c>
      <c r="AR12" s="383">
        <f t="shared" si="11"/>
        <v>35802</v>
      </c>
      <c r="AS12" s="48" t="s">
        <v>75</v>
      </c>
    </row>
    <row r="13" spans="2:45">
      <c r="B13" s="11">
        <v>9</v>
      </c>
      <c r="C13" s="263">
        <v>60.75</v>
      </c>
      <c r="D13" s="258">
        <f t="shared" si="0"/>
        <v>3037.5</v>
      </c>
      <c r="E13" s="258">
        <v>1.83</v>
      </c>
      <c r="F13" s="53" t="s">
        <v>153</v>
      </c>
      <c r="G13" s="515">
        <v>61.8</v>
      </c>
      <c r="H13" s="364">
        <f t="shared" si="1"/>
        <v>3090</v>
      </c>
      <c r="I13" s="52">
        <v>1.84</v>
      </c>
      <c r="J13" s="531">
        <v>40.4</v>
      </c>
      <c r="K13" s="258">
        <f t="shared" si="2"/>
        <v>2020</v>
      </c>
      <c r="L13" s="388" t="s">
        <v>75</v>
      </c>
      <c r="M13" s="532">
        <v>9.33</v>
      </c>
      <c r="N13" s="259">
        <f t="shared" si="3"/>
        <v>466.5</v>
      </c>
      <c r="O13" s="41" t="s">
        <v>75</v>
      </c>
      <c r="Q13" s="27">
        <v>9</v>
      </c>
      <c r="R13" s="17">
        <v>82.91</v>
      </c>
      <c r="S13" s="327">
        <f t="shared" si="4"/>
        <v>4145.5</v>
      </c>
      <c r="T13" s="486">
        <v>1.89</v>
      </c>
      <c r="U13" s="14">
        <v>1.95</v>
      </c>
      <c r="V13" s="30">
        <v>84.2</v>
      </c>
      <c r="W13" s="368">
        <f t="shared" si="5"/>
        <v>4210</v>
      </c>
      <c r="X13" s="32">
        <v>1.86</v>
      </c>
      <c r="Y13" s="17">
        <v>69.599999999999994</v>
      </c>
      <c r="Z13" s="372">
        <f t="shared" si="8"/>
        <v>3479.9999999999995</v>
      </c>
      <c r="AA13" s="316" t="s">
        <v>75</v>
      </c>
      <c r="AB13" s="318">
        <v>40.67</v>
      </c>
      <c r="AC13" s="373">
        <f t="shared" si="6"/>
        <v>2033.5</v>
      </c>
      <c r="AD13" s="25" t="s">
        <v>75</v>
      </c>
      <c r="AF13" s="1">
        <v>9</v>
      </c>
      <c r="AG13" s="47">
        <v>1215.2</v>
      </c>
      <c r="AH13" s="394">
        <f t="shared" si="9"/>
        <v>182280</v>
      </c>
      <c r="AI13" s="269">
        <v>1.9</v>
      </c>
      <c r="AJ13" s="2">
        <v>1.48</v>
      </c>
      <c r="AK13" s="524">
        <v>1290.2</v>
      </c>
      <c r="AL13" s="378">
        <f t="shared" si="10"/>
        <v>193530</v>
      </c>
      <c r="AM13" s="313">
        <v>1.99</v>
      </c>
      <c r="AN13" s="5">
        <v>364</v>
      </c>
      <c r="AO13" s="380">
        <f t="shared" si="7"/>
        <v>54600</v>
      </c>
      <c r="AP13" s="26" t="s">
        <v>75</v>
      </c>
      <c r="AQ13" s="45">
        <v>397.05</v>
      </c>
      <c r="AR13" s="383">
        <f t="shared" si="11"/>
        <v>59557.5</v>
      </c>
      <c r="AS13" s="48" t="s">
        <v>75</v>
      </c>
    </row>
    <row r="14" spans="2:45">
      <c r="B14" s="11">
        <v>10</v>
      </c>
      <c r="C14" s="263">
        <v>52.01</v>
      </c>
      <c r="D14" s="258">
        <f t="shared" si="0"/>
        <v>2600.5</v>
      </c>
      <c r="E14" s="258">
        <v>1.86</v>
      </c>
      <c r="F14" s="53" t="s">
        <v>154</v>
      </c>
      <c r="G14" s="515">
        <v>55.5</v>
      </c>
      <c r="H14" s="365">
        <f t="shared" si="1"/>
        <v>2775</v>
      </c>
      <c r="I14" s="52">
        <v>1.83</v>
      </c>
      <c r="J14" s="531">
        <v>46.4</v>
      </c>
      <c r="K14" s="258">
        <f t="shared" si="2"/>
        <v>2320</v>
      </c>
      <c r="L14" s="388" t="s">
        <v>75</v>
      </c>
      <c r="M14" s="532">
        <v>32.89</v>
      </c>
      <c r="N14" s="259">
        <f t="shared" si="3"/>
        <v>1644.5</v>
      </c>
      <c r="O14" s="41" t="s">
        <v>75</v>
      </c>
      <c r="Q14" s="27">
        <v>10</v>
      </c>
      <c r="R14" s="17">
        <v>15.86</v>
      </c>
      <c r="S14" s="327">
        <f t="shared" si="4"/>
        <v>793</v>
      </c>
      <c r="T14" s="486">
        <v>2.11</v>
      </c>
      <c r="U14" s="14">
        <v>0.53</v>
      </c>
      <c r="V14" s="30">
        <v>16.7</v>
      </c>
      <c r="W14" s="369">
        <f t="shared" si="5"/>
        <v>835</v>
      </c>
      <c r="X14" s="32">
        <v>1.88</v>
      </c>
      <c r="Y14" s="17">
        <v>10.8</v>
      </c>
      <c r="Z14" s="371">
        <f t="shared" si="8"/>
        <v>540</v>
      </c>
      <c r="AA14" s="316" t="s">
        <v>75</v>
      </c>
      <c r="AB14" s="318">
        <v>8.0299999999999994</v>
      </c>
      <c r="AC14" s="374">
        <f t="shared" si="6"/>
        <v>401.49999999999994</v>
      </c>
      <c r="AD14" s="25" t="s">
        <v>75</v>
      </c>
      <c r="AF14" s="1">
        <v>10</v>
      </c>
      <c r="AG14" s="47">
        <v>1277.18</v>
      </c>
      <c r="AH14" s="394">
        <f t="shared" si="9"/>
        <v>191577</v>
      </c>
      <c r="AI14" s="268">
        <v>1.87</v>
      </c>
      <c r="AJ14" s="2">
        <v>1.23</v>
      </c>
      <c r="AK14" s="524">
        <v>1286.3</v>
      </c>
      <c r="AL14" s="378">
        <f t="shared" si="10"/>
        <v>192945</v>
      </c>
      <c r="AM14" s="313">
        <v>1.95</v>
      </c>
      <c r="AN14" s="5">
        <v>347</v>
      </c>
      <c r="AO14" s="380">
        <f t="shared" si="7"/>
        <v>52050</v>
      </c>
      <c r="AP14" s="26" t="s">
        <v>75</v>
      </c>
      <c r="AQ14" s="45">
        <v>328.02</v>
      </c>
      <c r="AR14" s="385">
        <f t="shared" si="11"/>
        <v>49203</v>
      </c>
      <c r="AS14" s="48" t="s">
        <v>75</v>
      </c>
    </row>
    <row r="15" spans="2:45">
      <c r="B15" s="11">
        <v>11</v>
      </c>
      <c r="C15" s="263">
        <v>63</v>
      </c>
      <c r="D15" s="258">
        <f t="shared" si="0"/>
        <v>3150</v>
      </c>
      <c r="E15" s="258">
        <v>1.78</v>
      </c>
      <c r="F15" s="53" t="s">
        <v>155</v>
      </c>
      <c r="G15" s="515">
        <v>65.8</v>
      </c>
      <c r="H15" s="364">
        <f t="shared" si="1"/>
        <v>3290</v>
      </c>
      <c r="I15" s="52">
        <v>1.85</v>
      </c>
      <c r="J15" s="531">
        <v>45.6</v>
      </c>
      <c r="K15" s="258">
        <f t="shared" si="2"/>
        <v>2280</v>
      </c>
      <c r="L15" s="388" t="s">
        <v>75</v>
      </c>
      <c r="M15" s="532">
        <v>14.84</v>
      </c>
      <c r="N15" s="259">
        <f t="shared" si="3"/>
        <v>742</v>
      </c>
      <c r="O15" s="41" t="s">
        <v>75</v>
      </c>
      <c r="Q15" s="27">
        <v>11</v>
      </c>
      <c r="R15" s="17">
        <v>58.23</v>
      </c>
      <c r="S15" s="327">
        <f t="shared" si="4"/>
        <v>2911.5</v>
      </c>
      <c r="T15" s="486">
        <v>1.86</v>
      </c>
      <c r="U15" s="14">
        <v>1.3</v>
      </c>
      <c r="V15" s="30">
        <v>59.7</v>
      </c>
      <c r="W15" s="368">
        <f t="shared" si="5"/>
        <v>2985</v>
      </c>
      <c r="X15" s="32">
        <v>1.84</v>
      </c>
      <c r="Y15" s="17">
        <v>67</v>
      </c>
      <c r="Z15" s="372">
        <f t="shared" si="8"/>
        <v>3350</v>
      </c>
      <c r="AA15" s="316" t="s">
        <v>75</v>
      </c>
      <c r="AB15" s="318">
        <v>32.28</v>
      </c>
      <c r="AC15" s="373">
        <f t="shared" si="6"/>
        <v>1614</v>
      </c>
      <c r="AD15" s="25" t="s">
        <v>75</v>
      </c>
      <c r="AF15" s="1">
        <v>11</v>
      </c>
      <c r="AG15" s="47">
        <v>1485.47</v>
      </c>
      <c r="AH15" s="395">
        <f t="shared" si="9"/>
        <v>222820.5</v>
      </c>
      <c r="AI15" s="268">
        <v>1.94</v>
      </c>
      <c r="AJ15" s="2">
        <v>1.43</v>
      </c>
      <c r="AK15" s="524">
        <v>1546.8</v>
      </c>
      <c r="AL15" s="379">
        <f t="shared" si="10"/>
        <v>232020</v>
      </c>
      <c r="AM15" s="313">
        <v>1.99</v>
      </c>
      <c r="AN15" s="5">
        <v>356</v>
      </c>
      <c r="AO15" s="380">
        <f t="shared" si="7"/>
        <v>53400</v>
      </c>
      <c r="AP15" s="26" t="s">
        <v>75</v>
      </c>
      <c r="AQ15" s="45">
        <v>246.76</v>
      </c>
      <c r="AR15" s="383">
        <f t="shared" si="11"/>
        <v>37014</v>
      </c>
      <c r="AS15" s="48" t="s">
        <v>75</v>
      </c>
    </row>
    <row r="16" spans="2:45">
      <c r="B16" s="11">
        <v>12</v>
      </c>
      <c r="C16" s="263">
        <v>35.24</v>
      </c>
      <c r="D16" s="258">
        <f t="shared" si="0"/>
        <v>1762</v>
      </c>
      <c r="E16" s="258">
        <v>1.73</v>
      </c>
      <c r="F16" s="53">
        <v>1.55</v>
      </c>
      <c r="G16" s="515">
        <v>36.200000000000003</v>
      </c>
      <c r="H16" s="365">
        <f t="shared" si="1"/>
        <v>1810.0000000000002</v>
      </c>
      <c r="I16" s="52">
        <v>1.87</v>
      </c>
      <c r="J16" s="531">
        <v>28.4</v>
      </c>
      <c r="K16" s="258">
        <f t="shared" si="2"/>
        <v>1420</v>
      </c>
      <c r="L16" s="388" t="s">
        <v>75</v>
      </c>
      <c r="M16" s="532">
        <v>20.6</v>
      </c>
      <c r="N16" s="259">
        <f t="shared" si="3"/>
        <v>1030</v>
      </c>
      <c r="O16" s="41" t="s">
        <v>75</v>
      </c>
      <c r="Q16" s="27">
        <v>12</v>
      </c>
      <c r="R16" s="17">
        <v>14.49</v>
      </c>
      <c r="S16" s="327">
        <f t="shared" si="4"/>
        <v>724.5</v>
      </c>
      <c r="T16" s="486">
        <v>1.79</v>
      </c>
      <c r="U16" s="14">
        <v>1.1100000000000001</v>
      </c>
      <c r="V16" s="30">
        <v>14.5</v>
      </c>
      <c r="W16" s="369">
        <f t="shared" si="5"/>
        <v>725</v>
      </c>
      <c r="X16" s="32">
        <v>1.83</v>
      </c>
      <c r="Y16" s="17">
        <v>11.9</v>
      </c>
      <c r="Z16" s="372">
        <f t="shared" si="8"/>
        <v>595</v>
      </c>
      <c r="AA16" s="316" t="s">
        <v>75</v>
      </c>
      <c r="AB16" s="318">
        <v>7.9</v>
      </c>
      <c r="AC16" s="374">
        <f t="shared" si="6"/>
        <v>395</v>
      </c>
      <c r="AD16" s="25" t="s">
        <v>75</v>
      </c>
      <c r="AF16" s="1">
        <v>12</v>
      </c>
      <c r="AG16" s="47">
        <v>1089.9000000000001</v>
      </c>
      <c r="AH16" s="394">
        <f t="shared" si="9"/>
        <v>163485</v>
      </c>
      <c r="AI16" s="268">
        <v>1.86</v>
      </c>
      <c r="AJ16" s="2">
        <v>1.24</v>
      </c>
      <c r="AK16" s="524">
        <v>1078.3</v>
      </c>
      <c r="AL16" s="378">
        <f t="shared" si="10"/>
        <v>161745</v>
      </c>
      <c r="AM16" s="313">
        <v>1.99</v>
      </c>
      <c r="AN16" s="5">
        <v>244</v>
      </c>
      <c r="AO16" s="380">
        <f t="shared" si="7"/>
        <v>36600</v>
      </c>
      <c r="AP16" s="26" t="s">
        <v>75</v>
      </c>
      <c r="AQ16" s="45">
        <v>297.33</v>
      </c>
      <c r="AR16" s="383">
        <f t="shared" si="11"/>
        <v>44599.5</v>
      </c>
      <c r="AS16" s="48" t="s">
        <v>75</v>
      </c>
    </row>
    <row r="17" spans="2:45">
      <c r="B17" s="11">
        <v>13</v>
      </c>
      <c r="C17" s="263">
        <v>80.739999999999995</v>
      </c>
      <c r="D17" s="258">
        <f t="shared" si="0"/>
        <v>4036.9999999999995</v>
      </c>
      <c r="E17" s="258">
        <v>1.82</v>
      </c>
      <c r="F17" s="53" t="s">
        <v>156</v>
      </c>
      <c r="G17" s="515">
        <v>88.5</v>
      </c>
      <c r="H17" s="364">
        <f t="shared" si="1"/>
        <v>4425</v>
      </c>
      <c r="I17" s="52">
        <v>1.85</v>
      </c>
      <c r="J17" s="531">
        <v>69.599999999999994</v>
      </c>
      <c r="K17" s="258">
        <f t="shared" si="2"/>
        <v>3479.9999999999995</v>
      </c>
      <c r="L17" s="388" t="s">
        <v>75</v>
      </c>
      <c r="M17" s="532">
        <v>32.21</v>
      </c>
      <c r="N17" s="259">
        <f t="shared" si="3"/>
        <v>1610.5</v>
      </c>
      <c r="O17" s="41" t="s">
        <v>75</v>
      </c>
      <c r="Q17" s="27">
        <v>13</v>
      </c>
      <c r="R17" s="17">
        <v>36.26</v>
      </c>
      <c r="S17" s="327">
        <f t="shared" si="4"/>
        <v>1813</v>
      </c>
      <c r="T17" s="486">
        <v>1.82</v>
      </c>
      <c r="U17" s="14">
        <v>1.62</v>
      </c>
      <c r="V17" s="30">
        <v>35.6</v>
      </c>
      <c r="W17" s="368">
        <f t="shared" si="5"/>
        <v>1780</v>
      </c>
      <c r="X17" s="32">
        <v>1.84</v>
      </c>
      <c r="Y17" s="17">
        <v>41.4</v>
      </c>
      <c r="Z17" s="371">
        <f t="shared" si="8"/>
        <v>2070</v>
      </c>
      <c r="AA17" s="316" t="s">
        <v>75</v>
      </c>
      <c r="AB17" s="318">
        <v>21.39</v>
      </c>
      <c r="AC17" s="373">
        <f t="shared" si="6"/>
        <v>1069.5</v>
      </c>
      <c r="AD17" s="25" t="s">
        <v>75</v>
      </c>
      <c r="AF17" s="1">
        <v>13</v>
      </c>
      <c r="AG17" s="47">
        <v>1508.15</v>
      </c>
      <c r="AH17" s="394">
        <f t="shared" si="9"/>
        <v>226222.5</v>
      </c>
      <c r="AI17" s="268">
        <v>1.79</v>
      </c>
      <c r="AJ17" s="2">
        <v>1.0900000000000001</v>
      </c>
      <c r="AK17" s="524">
        <v>1493.3</v>
      </c>
      <c r="AL17" s="378">
        <f t="shared" si="10"/>
        <v>223995</v>
      </c>
      <c r="AM17" s="313">
        <v>1.88</v>
      </c>
      <c r="AN17" s="5">
        <v>438</v>
      </c>
      <c r="AO17" s="380">
        <f t="shared" si="7"/>
        <v>65700</v>
      </c>
      <c r="AP17" s="26" t="s">
        <v>75</v>
      </c>
      <c r="AQ17" s="45">
        <v>388.41</v>
      </c>
      <c r="AR17" s="385">
        <f t="shared" si="11"/>
        <v>58261.500000000007</v>
      </c>
      <c r="AS17" s="48" t="s">
        <v>75</v>
      </c>
    </row>
    <row r="18" spans="2:45">
      <c r="B18" s="11">
        <v>14</v>
      </c>
      <c r="C18" s="263">
        <v>17.559999999999999</v>
      </c>
      <c r="D18" s="258">
        <f t="shared" si="0"/>
        <v>877.99999999999989</v>
      </c>
      <c r="E18" s="259">
        <v>1.7</v>
      </c>
      <c r="F18" s="53" t="s">
        <v>157</v>
      </c>
      <c r="G18" s="515">
        <v>17.899999999999999</v>
      </c>
      <c r="H18" s="365">
        <f t="shared" si="1"/>
        <v>894.99999999999989</v>
      </c>
      <c r="I18" s="52">
        <v>1.87</v>
      </c>
      <c r="J18" s="531">
        <v>14.8</v>
      </c>
      <c r="K18" s="258">
        <f t="shared" si="2"/>
        <v>740</v>
      </c>
      <c r="L18" s="388" t="s">
        <v>75</v>
      </c>
      <c r="M18" s="532">
        <v>9.65</v>
      </c>
      <c r="N18" s="259">
        <f t="shared" si="3"/>
        <v>482.5</v>
      </c>
      <c r="O18" s="41" t="s">
        <v>75</v>
      </c>
      <c r="Q18" s="27">
        <v>14</v>
      </c>
      <c r="R18" s="17">
        <v>19.23</v>
      </c>
      <c r="S18" s="327">
        <f t="shared" si="4"/>
        <v>961.5</v>
      </c>
      <c r="T18" s="486">
        <v>1.92</v>
      </c>
      <c r="U18" s="14">
        <v>1.24</v>
      </c>
      <c r="V18" s="30">
        <v>18.5</v>
      </c>
      <c r="W18" s="369">
        <f t="shared" si="5"/>
        <v>925</v>
      </c>
      <c r="X18" s="32">
        <v>1.94</v>
      </c>
      <c r="Y18" s="17">
        <v>11.1</v>
      </c>
      <c r="Z18" s="372">
        <f t="shared" si="8"/>
        <v>555</v>
      </c>
      <c r="AA18" s="316" t="s">
        <v>75</v>
      </c>
      <c r="AB18" s="318">
        <v>6.41</v>
      </c>
      <c r="AC18" s="374">
        <f t="shared" si="6"/>
        <v>320.5</v>
      </c>
      <c r="AD18" s="25" t="s">
        <v>75</v>
      </c>
      <c r="AF18" s="1">
        <v>14</v>
      </c>
      <c r="AG18" s="47">
        <v>1061.55</v>
      </c>
      <c r="AH18" s="395">
        <f t="shared" si="9"/>
        <v>159232.5</v>
      </c>
      <c r="AI18" s="268">
        <v>1.86</v>
      </c>
      <c r="AJ18" s="2">
        <v>1.29</v>
      </c>
      <c r="AK18" s="524">
        <v>1065.7</v>
      </c>
      <c r="AL18" s="379">
        <f t="shared" si="10"/>
        <v>159855</v>
      </c>
      <c r="AM18" s="313">
        <v>2.02</v>
      </c>
      <c r="AN18" s="5">
        <v>297</v>
      </c>
      <c r="AO18" s="380">
        <f t="shared" si="7"/>
        <v>44550</v>
      </c>
      <c r="AP18" s="26" t="s">
        <v>75</v>
      </c>
      <c r="AQ18" s="45">
        <v>315.79000000000002</v>
      </c>
      <c r="AR18" s="383">
        <f t="shared" si="11"/>
        <v>47368.5</v>
      </c>
      <c r="AS18" s="48" t="s">
        <v>75</v>
      </c>
    </row>
    <row r="19" spans="2:45">
      <c r="B19" s="11">
        <v>15</v>
      </c>
      <c r="C19" s="263">
        <v>52.28</v>
      </c>
      <c r="D19" s="258">
        <f t="shared" si="0"/>
        <v>2614</v>
      </c>
      <c r="E19" s="258">
        <v>1.77</v>
      </c>
      <c r="F19" s="53" t="s">
        <v>146</v>
      </c>
      <c r="G19" s="515">
        <v>57.5</v>
      </c>
      <c r="H19" s="364">
        <f t="shared" si="1"/>
        <v>2875</v>
      </c>
      <c r="I19" s="52">
        <v>1.86</v>
      </c>
      <c r="J19" s="531">
        <v>41.6</v>
      </c>
      <c r="K19" s="258">
        <f t="shared" si="2"/>
        <v>2080</v>
      </c>
      <c r="L19" s="388" t="s">
        <v>75</v>
      </c>
      <c r="M19" s="532">
        <v>17.239999999999998</v>
      </c>
      <c r="N19" s="259">
        <f t="shared" si="3"/>
        <v>861.99999999999989</v>
      </c>
      <c r="O19" s="41" t="s">
        <v>75</v>
      </c>
      <c r="Q19" s="27">
        <v>15</v>
      </c>
      <c r="R19" s="17">
        <v>29.24</v>
      </c>
      <c r="S19" s="327">
        <f t="shared" si="4"/>
        <v>1462</v>
      </c>
      <c r="T19" s="486">
        <v>1.85</v>
      </c>
      <c r="U19" s="14">
        <v>0.85</v>
      </c>
      <c r="V19" s="30">
        <v>29.3</v>
      </c>
      <c r="W19" s="368">
        <f t="shared" si="5"/>
        <v>1465</v>
      </c>
      <c r="X19" s="32">
        <v>1.82</v>
      </c>
      <c r="Y19" s="17">
        <v>25.7</v>
      </c>
      <c r="Z19" s="372">
        <f t="shared" si="8"/>
        <v>1285</v>
      </c>
      <c r="AA19" s="316" t="s">
        <v>75</v>
      </c>
      <c r="AB19" s="318">
        <v>15.96</v>
      </c>
      <c r="AC19" s="373">
        <f t="shared" si="6"/>
        <v>798</v>
      </c>
      <c r="AD19" s="25" t="s">
        <v>75</v>
      </c>
      <c r="AF19" s="1">
        <v>15</v>
      </c>
      <c r="AG19" s="47">
        <v>1496.4</v>
      </c>
      <c r="AH19" s="394">
        <f t="shared" si="9"/>
        <v>224460</v>
      </c>
      <c r="AI19" s="269">
        <v>1.9</v>
      </c>
      <c r="AJ19" s="2">
        <v>1.46</v>
      </c>
      <c r="AK19" s="524">
        <v>1502.5</v>
      </c>
      <c r="AL19" s="378">
        <f t="shared" si="10"/>
        <v>225375</v>
      </c>
      <c r="AM19" s="313">
        <v>1.93</v>
      </c>
      <c r="AN19" s="5">
        <v>393</v>
      </c>
      <c r="AO19" s="380">
        <f t="shared" si="7"/>
        <v>58950</v>
      </c>
      <c r="AP19" s="26" t="s">
        <v>75</v>
      </c>
      <c r="AQ19" s="45">
        <v>369.5</v>
      </c>
      <c r="AR19" s="383">
        <f t="shared" si="11"/>
        <v>55425</v>
      </c>
      <c r="AS19" s="48" t="s">
        <v>75</v>
      </c>
    </row>
    <row r="20" spans="2:45">
      <c r="B20" s="11">
        <v>16</v>
      </c>
      <c r="C20" s="263">
        <v>89.26</v>
      </c>
      <c r="D20" s="258">
        <f t="shared" si="0"/>
        <v>4463</v>
      </c>
      <c r="E20" s="258">
        <v>1.83</v>
      </c>
      <c r="F20" s="53" t="s">
        <v>158</v>
      </c>
      <c r="G20" s="515">
        <v>92.4</v>
      </c>
      <c r="H20" s="365">
        <f t="shared" si="1"/>
        <v>4620</v>
      </c>
      <c r="I20" s="52">
        <v>1.85</v>
      </c>
      <c r="J20" s="531">
        <v>84.8</v>
      </c>
      <c r="K20" s="258">
        <f t="shared" si="2"/>
        <v>4240</v>
      </c>
      <c r="L20" s="388" t="s">
        <v>75</v>
      </c>
      <c r="M20" s="532">
        <v>52.49</v>
      </c>
      <c r="N20" s="259">
        <f t="shared" si="3"/>
        <v>2624.5</v>
      </c>
      <c r="O20" s="41" t="s">
        <v>75</v>
      </c>
      <c r="Q20" s="27">
        <v>16</v>
      </c>
      <c r="R20" s="17">
        <v>30.64</v>
      </c>
      <c r="S20" s="327">
        <f t="shared" si="4"/>
        <v>1532</v>
      </c>
      <c r="T20" s="486">
        <v>1.84</v>
      </c>
      <c r="U20" s="14">
        <v>1.73</v>
      </c>
      <c r="V20" s="30">
        <v>29.4</v>
      </c>
      <c r="W20" s="369">
        <f t="shared" si="5"/>
        <v>1470</v>
      </c>
      <c r="X20" s="32">
        <v>1.83</v>
      </c>
      <c r="Y20" s="17">
        <v>30.9</v>
      </c>
      <c r="Z20" s="371">
        <f t="shared" si="8"/>
        <v>1545</v>
      </c>
      <c r="AA20" s="316" t="s">
        <v>75</v>
      </c>
      <c r="AB20" s="318">
        <v>16.600000000000001</v>
      </c>
      <c r="AC20" s="374">
        <f t="shared" si="6"/>
        <v>830.00000000000011</v>
      </c>
      <c r="AD20" s="25" t="s">
        <v>75</v>
      </c>
      <c r="AF20" s="1">
        <v>16</v>
      </c>
      <c r="AG20" s="47">
        <v>547.22</v>
      </c>
      <c r="AH20" s="394">
        <f t="shared" si="9"/>
        <v>82083</v>
      </c>
      <c r="AI20" s="268">
        <v>1.79</v>
      </c>
      <c r="AJ20" s="2">
        <v>1.28</v>
      </c>
      <c r="AK20" s="524">
        <v>534</v>
      </c>
      <c r="AL20" s="378">
        <f t="shared" si="10"/>
        <v>80100</v>
      </c>
      <c r="AM20" s="313">
        <v>1.86</v>
      </c>
      <c r="AN20" s="5">
        <v>194</v>
      </c>
      <c r="AO20" s="380">
        <f t="shared" si="7"/>
        <v>29100</v>
      </c>
      <c r="AP20" s="26" t="s">
        <v>75</v>
      </c>
      <c r="AQ20" s="45">
        <v>234.39</v>
      </c>
      <c r="AR20" s="385">
        <f t="shared" si="11"/>
        <v>35158.5</v>
      </c>
      <c r="AS20" s="48" t="s">
        <v>75</v>
      </c>
    </row>
    <row r="21" spans="2:45">
      <c r="B21" s="11">
        <v>17</v>
      </c>
      <c r="C21" s="263">
        <v>47.22</v>
      </c>
      <c r="D21" s="258">
        <f t="shared" si="0"/>
        <v>2361</v>
      </c>
      <c r="E21" s="258">
        <v>1.8</v>
      </c>
      <c r="F21" s="53" t="s">
        <v>159</v>
      </c>
      <c r="G21" s="515">
        <v>49.4</v>
      </c>
      <c r="H21" s="364">
        <f t="shared" si="1"/>
        <v>2470</v>
      </c>
      <c r="I21" s="52">
        <v>1.84</v>
      </c>
      <c r="J21" s="531">
        <v>36.700000000000003</v>
      </c>
      <c r="K21" s="258">
        <f t="shared" si="2"/>
        <v>1835.0000000000002</v>
      </c>
      <c r="L21" s="388" t="s">
        <v>75</v>
      </c>
      <c r="M21" s="532">
        <v>17.309999999999999</v>
      </c>
      <c r="N21" s="259">
        <f t="shared" si="3"/>
        <v>865.49999999999989</v>
      </c>
      <c r="O21" s="41" t="s">
        <v>75</v>
      </c>
      <c r="Q21" s="27">
        <v>17</v>
      </c>
      <c r="R21" s="17">
        <v>31.5</v>
      </c>
      <c r="S21" s="327">
        <f t="shared" si="4"/>
        <v>1575</v>
      </c>
      <c r="T21" s="519">
        <v>1.9</v>
      </c>
      <c r="U21" s="14">
        <v>1.32</v>
      </c>
      <c r="V21" s="30">
        <v>29.6</v>
      </c>
      <c r="W21" s="368">
        <f t="shared" si="5"/>
        <v>1480</v>
      </c>
      <c r="X21" s="32">
        <v>1.89</v>
      </c>
      <c r="Y21" s="17">
        <v>31.2</v>
      </c>
      <c r="Z21" s="372">
        <f t="shared" si="8"/>
        <v>1560</v>
      </c>
      <c r="AA21" s="316" t="s">
        <v>75</v>
      </c>
      <c r="AB21" s="318">
        <v>20.53</v>
      </c>
      <c r="AC21" s="373">
        <f t="shared" si="6"/>
        <v>1026.5</v>
      </c>
      <c r="AD21" s="25" t="s">
        <v>75</v>
      </c>
      <c r="AF21" s="1">
        <v>17</v>
      </c>
      <c r="AG21" s="47">
        <v>569.20000000000005</v>
      </c>
      <c r="AH21" s="395">
        <f t="shared" si="9"/>
        <v>85380</v>
      </c>
      <c r="AI21" s="268">
        <v>1.85</v>
      </c>
      <c r="AJ21" s="2">
        <v>1.36</v>
      </c>
      <c r="AK21" s="524">
        <v>567.70000000000005</v>
      </c>
      <c r="AL21" s="379">
        <f t="shared" si="10"/>
        <v>85155</v>
      </c>
      <c r="AM21" s="313">
        <v>1.94</v>
      </c>
      <c r="AN21" s="5">
        <v>207</v>
      </c>
      <c r="AO21" s="380">
        <f t="shared" si="7"/>
        <v>31050</v>
      </c>
      <c r="AP21" s="26" t="s">
        <v>75</v>
      </c>
      <c r="AQ21" s="45">
        <v>204.02</v>
      </c>
      <c r="AR21" s="383">
        <f t="shared" si="11"/>
        <v>30603</v>
      </c>
      <c r="AS21" s="48" t="s">
        <v>75</v>
      </c>
    </row>
    <row r="22" spans="2:45">
      <c r="B22" s="11">
        <v>18</v>
      </c>
      <c r="C22" s="263">
        <v>64.17</v>
      </c>
      <c r="D22" s="258">
        <f t="shared" si="0"/>
        <v>3208.5</v>
      </c>
      <c r="E22" s="258">
        <v>1.82</v>
      </c>
      <c r="F22" s="53" t="s">
        <v>160</v>
      </c>
      <c r="G22" s="515">
        <v>65.5</v>
      </c>
      <c r="H22" s="365">
        <f t="shared" si="1"/>
        <v>3275</v>
      </c>
      <c r="I22" s="52">
        <v>1.84</v>
      </c>
      <c r="J22" s="531">
        <v>63.6</v>
      </c>
      <c r="K22" s="258">
        <f t="shared" si="2"/>
        <v>3180</v>
      </c>
      <c r="L22" s="388" t="s">
        <v>75</v>
      </c>
      <c r="M22" s="532">
        <v>32.56</v>
      </c>
      <c r="N22" s="259">
        <f t="shared" si="3"/>
        <v>1628</v>
      </c>
      <c r="O22" s="41" t="s">
        <v>75</v>
      </c>
      <c r="Q22" s="27">
        <v>18</v>
      </c>
      <c r="R22" s="17">
        <v>39.54</v>
      </c>
      <c r="S22" s="327">
        <f t="shared" si="4"/>
        <v>1977</v>
      </c>
      <c r="T22" s="486">
        <v>1.84</v>
      </c>
      <c r="U22" s="14">
        <v>1.54</v>
      </c>
      <c r="V22" s="30">
        <v>40.9</v>
      </c>
      <c r="W22" s="369">
        <f t="shared" si="5"/>
        <v>2045</v>
      </c>
      <c r="X22" s="32">
        <v>1.82</v>
      </c>
      <c r="Y22" s="17">
        <v>47.7</v>
      </c>
      <c r="Z22" s="372">
        <f t="shared" si="8"/>
        <v>2385</v>
      </c>
      <c r="AA22" s="316" t="s">
        <v>75</v>
      </c>
      <c r="AB22" s="318">
        <v>30.37</v>
      </c>
      <c r="AC22" s="374">
        <f t="shared" si="6"/>
        <v>1518.5</v>
      </c>
      <c r="AD22" s="25" t="s">
        <v>75</v>
      </c>
      <c r="AF22" s="1">
        <v>18</v>
      </c>
      <c r="AG22" s="47">
        <v>2844.99</v>
      </c>
      <c r="AH22" s="394">
        <f t="shared" si="9"/>
        <v>426748.49999999994</v>
      </c>
      <c r="AI22" s="268">
        <v>1.79</v>
      </c>
      <c r="AJ22" s="2">
        <v>1.18</v>
      </c>
      <c r="AK22" s="524">
        <v>2842.6</v>
      </c>
      <c r="AL22" s="378">
        <f t="shared" si="10"/>
        <v>426390</v>
      </c>
      <c r="AM22" s="313">
        <v>1.99</v>
      </c>
      <c r="AN22" s="5">
        <v>940</v>
      </c>
      <c r="AO22" s="380">
        <f t="shared" si="7"/>
        <v>141000</v>
      </c>
      <c r="AP22" s="26" t="s">
        <v>75</v>
      </c>
      <c r="AQ22" s="45">
        <v>401.88</v>
      </c>
      <c r="AR22" s="383">
        <f t="shared" si="11"/>
        <v>60282</v>
      </c>
      <c r="AS22" s="48" t="s">
        <v>75</v>
      </c>
    </row>
    <row r="23" spans="2:45">
      <c r="B23" s="11">
        <v>19</v>
      </c>
      <c r="C23" s="263">
        <v>43.91</v>
      </c>
      <c r="D23" s="258">
        <f t="shared" si="0"/>
        <v>2195.5</v>
      </c>
      <c r="E23" s="258">
        <v>1.77</v>
      </c>
      <c r="F23" s="53" t="s">
        <v>161</v>
      </c>
      <c r="G23" s="515">
        <v>44.4</v>
      </c>
      <c r="H23" s="364">
        <f t="shared" si="1"/>
        <v>2220</v>
      </c>
      <c r="I23" s="52">
        <v>1.83</v>
      </c>
      <c r="J23" s="531">
        <v>40.4</v>
      </c>
      <c r="K23" s="258">
        <f t="shared" si="2"/>
        <v>2020</v>
      </c>
      <c r="L23" s="388" t="s">
        <v>75</v>
      </c>
      <c r="M23" s="532">
        <v>25.62</v>
      </c>
      <c r="N23" s="259">
        <f t="shared" si="3"/>
        <v>1281</v>
      </c>
      <c r="O23" s="41" t="s">
        <v>75</v>
      </c>
      <c r="Q23" s="27">
        <v>19</v>
      </c>
      <c r="R23" s="17">
        <v>24.88</v>
      </c>
      <c r="S23" s="327">
        <f t="shared" si="4"/>
        <v>1244</v>
      </c>
      <c r="T23" s="486">
        <v>1.89</v>
      </c>
      <c r="U23" s="14">
        <v>1.48</v>
      </c>
      <c r="V23" s="30">
        <v>25.2</v>
      </c>
      <c r="W23" s="368">
        <f t="shared" si="5"/>
        <v>1260</v>
      </c>
      <c r="X23" s="32">
        <v>1.84</v>
      </c>
      <c r="Y23" s="17">
        <v>18.899999999999999</v>
      </c>
      <c r="Z23" s="371">
        <f t="shared" si="8"/>
        <v>944.99999999999989</v>
      </c>
      <c r="AA23" s="316" t="s">
        <v>75</v>
      </c>
      <c r="AB23" s="318">
        <v>14.72</v>
      </c>
      <c r="AC23" s="373">
        <f t="shared" si="6"/>
        <v>736</v>
      </c>
      <c r="AD23" s="25" t="s">
        <v>75</v>
      </c>
      <c r="AF23" s="1">
        <v>19</v>
      </c>
      <c r="AG23" s="47">
        <v>636.22</v>
      </c>
      <c r="AH23" s="394">
        <f t="shared" si="9"/>
        <v>95433</v>
      </c>
      <c r="AI23" s="268">
        <v>1.91</v>
      </c>
      <c r="AJ23" s="2">
        <v>1.36</v>
      </c>
      <c r="AK23" s="524">
        <v>662.8</v>
      </c>
      <c r="AL23" s="378">
        <f t="shared" si="10"/>
        <v>99420</v>
      </c>
      <c r="AM23" s="313">
        <v>1.98</v>
      </c>
      <c r="AN23" s="5">
        <v>158</v>
      </c>
      <c r="AO23" s="380">
        <f t="shared" si="7"/>
        <v>23700</v>
      </c>
      <c r="AP23" s="26" t="s">
        <v>75</v>
      </c>
      <c r="AQ23" s="45">
        <v>156.99</v>
      </c>
      <c r="AR23" s="385">
        <f t="shared" si="11"/>
        <v>23548.5</v>
      </c>
      <c r="AS23" s="48" t="s">
        <v>75</v>
      </c>
    </row>
    <row r="24" spans="2:45">
      <c r="B24" s="11">
        <v>20</v>
      </c>
      <c r="C24" s="263">
        <v>26.98</v>
      </c>
      <c r="D24" s="258">
        <f t="shared" si="0"/>
        <v>1349</v>
      </c>
      <c r="E24" s="258">
        <v>1.73</v>
      </c>
      <c r="F24" s="53" t="s">
        <v>162</v>
      </c>
      <c r="G24" s="515">
        <v>28</v>
      </c>
      <c r="H24" s="365">
        <f t="shared" si="1"/>
        <v>1400</v>
      </c>
      <c r="I24" s="52">
        <v>1.84</v>
      </c>
      <c r="J24" s="531">
        <v>23.3</v>
      </c>
      <c r="K24" s="258">
        <f t="shared" si="2"/>
        <v>1165</v>
      </c>
      <c r="L24" s="388" t="s">
        <v>75</v>
      </c>
      <c r="M24" s="532">
        <v>12.33</v>
      </c>
      <c r="N24" s="259">
        <f t="shared" si="3"/>
        <v>616.5</v>
      </c>
      <c r="O24" s="41" t="s">
        <v>75</v>
      </c>
      <c r="Q24" s="27">
        <v>20</v>
      </c>
      <c r="R24" s="17">
        <v>27.93</v>
      </c>
      <c r="S24" s="327">
        <f t="shared" si="4"/>
        <v>1396.5</v>
      </c>
      <c r="T24" s="486">
        <v>1.89</v>
      </c>
      <c r="U24" s="14">
        <v>1.29</v>
      </c>
      <c r="V24" s="30">
        <v>28.5</v>
      </c>
      <c r="W24" s="369">
        <f t="shared" si="5"/>
        <v>1425</v>
      </c>
      <c r="X24" s="32">
        <v>1.83</v>
      </c>
      <c r="Y24" s="17">
        <v>23.2</v>
      </c>
      <c r="Z24" s="372">
        <f t="shared" si="8"/>
        <v>1160</v>
      </c>
      <c r="AA24" s="316" t="s">
        <v>75</v>
      </c>
      <c r="AB24" s="318">
        <v>18.149999999999999</v>
      </c>
      <c r="AC24" s="374">
        <f t="shared" si="6"/>
        <v>907.49999999999989</v>
      </c>
      <c r="AD24" s="25" t="s">
        <v>75</v>
      </c>
      <c r="AF24" s="1">
        <v>20</v>
      </c>
      <c r="AG24" s="47">
        <v>456.32</v>
      </c>
      <c r="AH24" s="395">
        <f t="shared" si="9"/>
        <v>68448</v>
      </c>
      <c r="AI24" s="268">
        <v>1.91</v>
      </c>
      <c r="AJ24" s="2">
        <v>1.47</v>
      </c>
      <c r="AK24" s="524">
        <v>497</v>
      </c>
      <c r="AL24" s="379">
        <f t="shared" si="10"/>
        <v>74550</v>
      </c>
      <c r="AM24" s="313">
        <v>1.97</v>
      </c>
      <c r="AN24" s="5">
        <v>91</v>
      </c>
      <c r="AO24" s="380">
        <f t="shared" si="7"/>
        <v>13650</v>
      </c>
      <c r="AP24" s="26" t="s">
        <v>75</v>
      </c>
      <c r="AQ24" s="45">
        <v>96.13</v>
      </c>
      <c r="AR24" s="383">
        <f t="shared" si="11"/>
        <v>14419.5</v>
      </c>
      <c r="AS24" s="48" t="s">
        <v>75</v>
      </c>
    </row>
    <row r="25" spans="2:45">
      <c r="B25" s="11">
        <v>21</v>
      </c>
      <c r="C25" s="263">
        <v>54.25</v>
      </c>
      <c r="D25" s="258">
        <f t="shared" si="0"/>
        <v>2712.5</v>
      </c>
      <c r="E25" s="258">
        <v>1.8</v>
      </c>
      <c r="F25" s="53" t="s">
        <v>163</v>
      </c>
      <c r="G25" s="515">
        <v>54.2</v>
      </c>
      <c r="H25" s="364">
        <f t="shared" si="1"/>
        <v>2710</v>
      </c>
      <c r="I25" s="52">
        <v>1.86</v>
      </c>
      <c r="J25" s="531">
        <v>42.8</v>
      </c>
      <c r="K25" s="258">
        <f t="shared" si="2"/>
        <v>2140</v>
      </c>
      <c r="L25" s="388" t="s">
        <v>75</v>
      </c>
      <c r="M25" s="532">
        <v>19.68</v>
      </c>
      <c r="N25" s="259">
        <f t="shared" si="3"/>
        <v>984</v>
      </c>
      <c r="O25" s="41" t="s">
        <v>75</v>
      </c>
      <c r="Q25" s="27">
        <v>21</v>
      </c>
      <c r="R25" s="17">
        <v>27.71</v>
      </c>
      <c r="S25" s="327">
        <f t="shared" si="4"/>
        <v>1385.5</v>
      </c>
      <c r="T25" s="486">
        <v>1.92</v>
      </c>
      <c r="U25" s="14">
        <v>1.65</v>
      </c>
      <c r="V25" s="30">
        <v>32</v>
      </c>
      <c r="W25" s="368">
        <f t="shared" si="5"/>
        <v>1600</v>
      </c>
      <c r="X25" s="32">
        <v>1.87</v>
      </c>
      <c r="Y25" s="17">
        <v>27.6</v>
      </c>
      <c r="Z25" s="372">
        <f t="shared" si="8"/>
        <v>1380</v>
      </c>
      <c r="AA25" s="316" t="s">
        <v>75</v>
      </c>
      <c r="AB25" s="318">
        <v>18.670000000000002</v>
      </c>
      <c r="AC25" s="373">
        <f t="shared" si="6"/>
        <v>933.50000000000011</v>
      </c>
      <c r="AD25" s="25" t="s">
        <v>75</v>
      </c>
      <c r="AF25" s="1">
        <v>21</v>
      </c>
      <c r="AG25" s="47">
        <v>2493.46</v>
      </c>
      <c r="AH25" s="394">
        <f t="shared" si="9"/>
        <v>374019</v>
      </c>
      <c r="AI25" s="268">
        <v>1.87</v>
      </c>
      <c r="AJ25" s="2">
        <v>1.35</v>
      </c>
      <c r="AK25" s="524">
        <v>2420.3000000000002</v>
      </c>
      <c r="AL25" s="378">
        <f t="shared" si="10"/>
        <v>363045</v>
      </c>
      <c r="AM25" s="313">
        <v>1.21</v>
      </c>
      <c r="AN25" s="5">
        <v>955</v>
      </c>
      <c r="AO25" s="380">
        <f t="shared" si="7"/>
        <v>143250</v>
      </c>
      <c r="AP25" s="26" t="s">
        <v>75</v>
      </c>
      <c r="AQ25" s="45">
        <v>316.08999999999997</v>
      </c>
      <c r="AR25" s="383">
        <f t="shared" si="11"/>
        <v>47413.499999999993</v>
      </c>
      <c r="AS25" s="48" t="s">
        <v>75</v>
      </c>
    </row>
    <row r="26" spans="2:45">
      <c r="B26" s="11">
        <v>22</v>
      </c>
      <c r="C26" s="263">
        <v>92.6</v>
      </c>
      <c r="D26" s="258">
        <f t="shared" si="0"/>
        <v>4630</v>
      </c>
      <c r="E26" s="258">
        <v>1.84</v>
      </c>
      <c r="F26" s="53" t="s">
        <v>145</v>
      </c>
      <c r="G26" s="515">
        <v>99.9</v>
      </c>
      <c r="H26" s="365">
        <f t="shared" si="1"/>
        <v>4995</v>
      </c>
      <c r="I26" s="52">
        <v>1.85</v>
      </c>
      <c r="J26" s="531">
        <v>82.4</v>
      </c>
      <c r="K26" s="258">
        <f t="shared" si="2"/>
        <v>4120</v>
      </c>
      <c r="L26" s="388" t="s">
        <v>75</v>
      </c>
      <c r="M26" s="532">
        <v>37.97</v>
      </c>
      <c r="N26" s="259">
        <f t="shared" si="3"/>
        <v>1898.5</v>
      </c>
      <c r="O26" s="41" t="s">
        <v>75</v>
      </c>
      <c r="Q26" s="27">
        <v>22</v>
      </c>
      <c r="R26" s="17">
        <v>39.799999999999997</v>
      </c>
      <c r="S26" s="327">
        <f t="shared" si="4"/>
        <v>1989.9999999999998</v>
      </c>
      <c r="T26" s="486">
        <v>1.83</v>
      </c>
      <c r="U26" s="14">
        <v>1.85</v>
      </c>
      <c r="V26" s="30">
        <v>40</v>
      </c>
      <c r="W26" s="369">
        <f t="shared" si="5"/>
        <v>2000</v>
      </c>
      <c r="X26" s="32">
        <v>1.89</v>
      </c>
      <c r="Y26" s="17">
        <v>37</v>
      </c>
      <c r="Z26" s="371">
        <f t="shared" si="8"/>
        <v>1850</v>
      </c>
      <c r="AA26" s="316" t="s">
        <v>75</v>
      </c>
      <c r="AB26" s="318">
        <v>24.24</v>
      </c>
      <c r="AC26" s="374">
        <f t="shared" si="6"/>
        <v>1212</v>
      </c>
      <c r="AD26" s="25" t="s">
        <v>75</v>
      </c>
      <c r="AF26" s="1">
        <v>22</v>
      </c>
      <c r="AG26" s="47">
        <v>2222.6</v>
      </c>
      <c r="AH26" s="394">
        <f t="shared" si="9"/>
        <v>333390</v>
      </c>
      <c r="AI26" s="268">
        <v>1.87</v>
      </c>
      <c r="AJ26" s="2">
        <v>1.35</v>
      </c>
      <c r="AK26" s="524">
        <v>2301.6</v>
      </c>
      <c r="AL26" s="378">
        <f t="shared" si="10"/>
        <v>345240</v>
      </c>
      <c r="AM26" s="313">
        <v>1.73</v>
      </c>
      <c r="AN26" s="5">
        <v>765</v>
      </c>
      <c r="AO26" s="380">
        <f t="shared" si="7"/>
        <v>114750</v>
      </c>
      <c r="AP26" s="26" t="s">
        <v>75</v>
      </c>
      <c r="AQ26" s="45">
        <v>345.85</v>
      </c>
      <c r="AR26" s="385">
        <f t="shared" si="11"/>
        <v>51877.5</v>
      </c>
      <c r="AS26" s="48" t="s">
        <v>75</v>
      </c>
    </row>
    <row r="27" spans="2:45">
      <c r="B27" s="11">
        <v>23</v>
      </c>
      <c r="C27" s="263">
        <v>18.38</v>
      </c>
      <c r="D27" s="258">
        <f t="shared" si="0"/>
        <v>919</v>
      </c>
      <c r="E27" s="258">
        <v>1.75</v>
      </c>
      <c r="F27" s="53" t="s">
        <v>164</v>
      </c>
      <c r="G27" s="515">
        <v>19.600000000000001</v>
      </c>
      <c r="H27" s="364">
        <f t="shared" si="1"/>
        <v>980.00000000000011</v>
      </c>
      <c r="I27" s="52">
        <v>1.8</v>
      </c>
      <c r="J27" s="531">
        <v>13.3</v>
      </c>
      <c r="K27" s="258">
        <f t="shared" si="2"/>
        <v>665</v>
      </c>
      <c r="L27" s="388" t="s">
        <v>75</v>
      </c>
      <c r="M27" s="532">
        <v>3.3</v>
      </c>
      <c r="N27" s="259">
        <f t="shared" si="3"/>
        <v>165</v>
      </c>
      <c r="O27" s="41" t="s">
        <v>75</v>
      </c>
      <c r="Q27" s="27">
        <v>23</v>
      </c>
      <c r="R27" s="17">
        <v>19.190000000000001</v>
      </c>
      <c r="S27" s="327">
        <f t="shared" si="4"/>
        <v>959.50000000000011</v>
      </c>
      <c r="T27" s="486">
        <v>1.85</v>
      </c>
      <c r="U27" s="14">
        <v>1.88</v>
      </c>
      <c r="V27" s="30">
        <v>20.5</v>
      </c>
      <c r="W27" s="368">
        <f t="shared" si="5"/>
        <v>1025</v>
      </c>
      <c r="X27" s="32">
        <v>1.88</v>
      </c>
      <c r="Y27" s="17">
        <v>17.100000000000001</v>
      </c>
      <c r="Z27" s="372">
        <f t="shared" si="8"/>
        <v>855.00000000000011</v>
      </c>
      <c r="AA27" s="316" t="s">
        <v>75</v>
      </c>
      <c r="AB27" s="318">
        <v>12.03</v>
      </c>
      <c r="AC27" s="373">
        <f t="shared" si="6"/>
        <v>601.5</v>
      </c>
      <c r="AD27" s="25" t="s">
        <v>75</v>
      </c>
      <c r="AF27" s="1">
        <v>23</v>
      </c>
      <c r="AG27" s="47">
        <v>1134.6500000000001</v>
      </c>
      <c r="AH27" s="395">
        <f t="shared" si="9"/>
        <v>170197.5</v>
      </c>
      <c r="AI27" s="268">
        <v>1.93</v>
      </c>
      <c r="AJ27" s="2">
        <v>1.46</v>
      </c>
      <c r="AK27" s="524">
        <v>1223.2</v>
      </c>
      <c r="AL27" s="379">
        <f t="shared" si="10"/>
        <v>183480</v>
      </c>
      <c r="AM27" s="313">
        <v>1.98</v>
      </c>
      <c r="AN27" s="5">
        <v>323</v>
      </c>
      <c r="AO27" s="380">
        <f t="shared" si="7"/>
        <v>48450</v>
      </c>
      <c r="AP27" s="26" t="s">
        <v>75</v>
      </c>
      <c r="AQ27" s="45">
        <v>232.46</v>
      </c>
      <c r="AR27" s="383">
        <f t="shared" si="11"/>
        <v>34869</v>
      </c>
      <c r="AS27" s="48" t="s">
        <v>75</v>
      </c>
    </row>
    <row r="28" spans="2:45">
      <c r="B28" s="11">
        <v>24</v>
      </c>
      <c r="C28" s="263">
        <v>40.64</v>
      </c>
      <c r="D28" s="258">
        <f t="shared" si="0"/>
        <v>2032</v>
      </c>
      <c r="E28" s="258">
        <v>1.77</v>
      </c>
      <c r="F28" s="53" t="s">
        <v>165</v>
      </c>
      <c r="G28" s="515">
        <v>39.700000000000003</v>
      </c>
      <c r="H28" s="365">
        <f t="shared" si="1"/>
        <v>1985.0000000000002</v>
      </c>
      <c r="I28" s="52">
        <v>1.84</v>
      </c>
      <c r="J28" s="531">
        <v>31.5</v>
      </c>
      <c r="K28" s="258">
        <f t="shared" si="2"/>
        <v>1575</v>
      </c>
      <c r="L28" s="388" t="s">
        <v>75</v>
      </c>
      <c r="M28" s="532">
        <v>12.17</v>
      </c>
      <c r="N28" s="259">
        <f t="shared" si="3"/>
        <v>608.5</v>
      </c>
      <c r="O28" s="41" t="s">
        <v>75</v>
      </c>
      <c r="Q28" s="27">
        <v>24</v>
      </c>
      <c r="R28" s="17">
        <v>28.31</v>
      </c>
      <c r="S28" s="327">
        <f t="shared" si="4"/>
        <v>1415.5</v>
      </c>
      <c r="T28" s="519">
        <v>1.9</v>
      </c>
      <c r="U28" s="14">
        <v>1.88</v>
      </c>
      <c r="V28" s="30">
        <v>28.6</v>
      </c>
      <c r="W28" s="369">
        <f t="shared" si="5"/>
        <v>1430</v>
      </c>
      <c r="X28" s="32">
        <v>1.83</v>
      </c>
      <c r="Y28" s="17">
        <v>23.6</v>
      </c>
      <c r="Z28" s="372">
        <f t="shared" si="8"/>
        <v>1180</v>
      </c>
      <c r="AA28" s="316" t="s">
        <v>75</v>
      </c>
      <c r="AB28" s="318">
        <v>18.440000000000001</v>
      </c>
      <c r="AC28" s="374">
        <f t="shared" si="6"/>
        <v>922.00000000000011</v>
      </c>
      <c r="AD28" s="25" t="s">
        <v>75</v>
      </c>
      <c r="AF28" s="1">
        <v>24</v>
      </c>
      <c r="AG28" s="47">
        <v>844.1</v>
      </c>
      <c r="AH28" s="394">
        <f t="shared" si="9"/>
        <v>126615</v>
      </c>
      <c r="AI28" s="268">
        <v>1.88</v>
      </c>
      <c r="AJ28" s="2">
        <v>1.26</v>
      </c>
      <c r="AK28" s="524">
        <v>868.3</v>
      </c>
      <c r="AL28" s="378">
        <f t="shared" si="10"/>
        <v>130245</v>
      </c>
      <c r="AM28" s="313">
        <v>1.92</v>
      </c>
      <c r="AN28" s="5">
        <v>315</v>
      </c>
      <c r="AO28" s="380">
        <f t="shared" si="7"/>
        <v>47250</v>
      </c>
      <c r="AP28" s="26" t="s">
        <v>75</v>
      </c>
      <c r="AQ28" s="45">
        <v>298.73</v>
      </c>
      <c r="AR28" s="383">
        <f t="shared" si="11"/>
        <v>44809.5</v>
      </c>
      <c r="AS28" s="48" t="s">
        <v>75</v>
      </c>
    </row>
    <row r="29" spans="2:45">
      <c r="B29" s="11">
        <v>25</v>
      </c>
      <c r="C29" s="263">
        <v>37.869999999999997</v>
      </c>
      <c r="D29" s="258">
        <f t="shared" si="0"/>
        <v>1893.4999999999998</v>
      </c>
      <c r="E29" s="258">
        <v>1.84</v>
      </c>
      <c r="F29" s="53" t="s">
        <v>166</v>
      </c>
      <c r="G29" s="515">
        <v>40.4</v>
      </c>
      <c r="H29" s="364">
        <f t="shared" si="1"/>
        <v>2020</v>
      </c>
      <c r="I29" s="52">
        <v>1.83</v>
      </c>
      <c r="J29" s="531">
        <v>26.4</v>
      </c>
      <c r="K29" s="258">
        <f t="shared" si="2"/>
        <v>1320</v>
      </c>
      <c r="L29" s="388" t="s">
        <v>75</v>
      </c>
      <c r="M29" s="532">
        <v>15.91</v>
      </c>
      <c r="N29" s="259">
        <f t="shared" si="3"/>
        <v>795.5</v>
      </c>
      <c r="O29" s="41" t="s">
        <v>75</v>
      </c>
      <c r="Q29" s="27">
        <v>25</v>
      </c>
      <c r="R29" s="17">
        <v>14.25</v>
      </c>
      <c r="S29" s="327">
        <f t="shared" si="4"/>
        <v>712.5</v>
      </c>
      <c r="T29" s="486">
        <v>1.96</v>
      </c>
      <c r="U29" s="14">
        <v>1.1399999999999999</v>
      </c>
      <c r="V29" s="30">
        <v>15.9</v>
      </c>
      <c r="W29" s="368">
        <f t="shared" si="5"/>
        <v>795</v>
      </c>
      <c r="X29" s="32">
        <v>1.89</v>
      </c>
      <c r="Y29" s="17">
        <v>10.1</v>
      </c>
      <c r="Z29" s="371">
        <f t="shared" si="8"/>
        <v>505</v>
      </c>
      <c r="AA29" s="316" t="s">
        <v>75</v>
      </c>
      <c r="AB29" s="318">
        <v>5.91</v>
      </c>
      <c r="AC29" s="373">
        <f t="shared" si="6"/>
        <v>295.5</v>
      </c>
      <c r="AD29" s="25" t="s">
        <v>75</v>
      </c>
      <c r="AF29" s="1">
        <v>25</v>
      </c>
      <c r="AG29" s="47">
        <v>318.76</v>
      </c>
      <c r="AH29" s="394">
        <f t="shared" si="9"/>
        <v>47814</v>
      </c>
      <c r="AI29" s="268">
        <v>1.89</v>
      </c>
      <c r="AJ29" s="2">
        <v>1.6</v>
      </c>
      <c r="AK29" s="524">
        <v>325.2</v>
      </c>
      <c r="AL29" s="378">
        <f t="shared" si="10"/>
        <v>48780</v>
      </c>
      <c r="AM29" s="313">
        <v>1.91</v>
      </c>
      <c r="AN29" s="5">
        <v>95</v>
      </c>
      <c r="AO29" s="380">
        <f t="shared" si="7"/>
        <v>14250</v>
      </c>
      <c r="AP29" s="26" t="s">
        <v>75</v>
      </c>
      <c r="AQ29" s="45">
        <v>124.63</v>
      </c>
      <c r="AR29" s="385">
        <f t="shared" si="11"/>
        <v>18694.5</v>
      </c>
      <c r="AS29" s="48" t="s">
        <v>75</v>
      </c>
    </row>
    <row r="30" spans="2:45">
      <c r="B30" s="11">
        <v>26</v>
      </c>
      <c r="C30" s="263">
        <v>19.09</v>
      </c>
      <c r="D30" s="258">
        <f t="shared" si="0"/>
        <v>954.5</v>
      </c>
      <c r="E30" s="258">
        <v>1.68</v>
      </c>
      <c r="F30" s="53" t="s">
        <v>170</v>
      </c>
      <c r="G30" s="515">
        <v>18.3</v>
      </c>
      <c r="H30" s="365">
        <f t="shared" si="1"/>
        <v>915</v>
      </c>
      <c r="I30" s="52">
        <v>1.76</v>
      </c>
      <c r="J30" s="531">
        <v>13.3</v>
      </c>
      <c r="K30" s="258">
        <f t="shared" si="2"/>
        <v>665</v>
      </c>
      <c r="L30" s="388" t="s">
        <v>75</v>
      </c>
      <c r="M30" s="532">
        <v>8.0299999999999994</v>
      </c>
      <c r="N30" s="259">
        <f t="shared" si="3"/>
        <v>401.49999999999994</v>
      </c>
      <c r="O30" s="41" t="s">
        <v>75</v>
      </c>
      <c r="Q30" s="27">
        <v>26</v>
      </c>
      <c r="R30" s="17">
        <v>18.25</v>
      </c>
      <c r="S30" s="327">
        <f t="shared" si="4"/>
        <v>912.5</v>
      </c>
      <c r="T30" s="486">
        <v>2.08</v>
      </c>
      <c r="U30" s="14">
        <v>1.85</v>
      </c>
      <c r="V30" s="30">
        <v>22.1</v>
      </c>
      <c r="W30" s="369">
        <f t="shared" si="5"/>
        <v>1105</v>
      </c>
      <c r="X30" s="32">
        <v>1.86</v>
      </c>
      <c r="Y30" s="17">
        <v>22.7</v>
      </c>
      <c r="Z30" s="372">
        <f t="shared" si="8"/>
        <v>1135</v>
      </c>
      <c r="AA30" s="316" t="s">
        <v>75</v>
      </c>
      <c r="AB30" s="318">
        <v>11.15</v>
      </c>
      <c r="AC30" s="374">
        <f t="shared" si="6"/>
        <v>557.5</v>
      </c>
      <c r="AD30" s="25" t="s">
        <v>75</v>
      </c>
      <c r="AF30" s="1">
        <v>26</v>
      </c>
      <c r="AG30" s="47">
        <v>473.55</v>
      </c>
      <c r="AH30" s="395">
        <f t="shared" si="9"/>
        <v>71032.5</v>
      </c>
      <c r="AI30" s="268">
        <v>1.89</v>
      </c>
      <c r="AJ30" s="2">
        <v>1.59</v>
      </c>
      <c r="AK30" s="524">
        <v>494.8</v>
      </c>
      <c r="AL30" s="379">
        <f t="shared" si="10"/>
        <v>74220</v>
      </c>
      <c r="AM30" s="313">
        <v>1.95</v>
      </c>
      <c r="AN30" s="5">
        <v>178</v>
      </c>
      <c r="AO30" s="380">
        <f t="shared" si="7"/>
        <v>26700</v>
      </c>
      <c r="AP30" s="26" t="s">
        <v>75</v>
      </c>
      <c r="AQ30" s="45">
        <v>171.08</v>
      </c>
      <c r="AR30" s="383">
        <f t="shared" si="11"/>
        <v>25662.000000000004</v>
      </c>
      <c r="AS30" s="48" t="s">
        <v>75</v>
      </c>
    </row>
    <row r="31" spans="2:45">
      <c r="B31" s="11">
        <v>27</v>
      </c>
      <c r="C31" s="263">
        <v>29.29</v>
      </c>
      <c r="D31" s="258">
        <f t="shared" si="0"/>
        <v>1464.5</v>
      </c>
      <c r="E31" s="258">
        <v>1.76</v>
      </c>
      <c r="F31" s="53" t="s">
        <v>167</v>
      </c>
      <c r="G31" s="515">
        <v>29.9</v>
      </c>
      <c r="H31" s="364">
        <f t="shared" si="1"/>
        <v>1495</v>
      </c>
      <c r="I31" s="52">
        <v>1.84</v>
      </c>
      <c r="J31" s="531">
        <v>20.5</v>
      </c>
      <c r="K31" s="258">
        <f t="shared" si="2"/>
        <v>1025</v>
      </c>
      <c r="L31" s="388" t="s">
        <v>75</v>
      </c>
      <c r="M31" s="532">
        <v>8.83</v>
      </c>
      <c r="N31" s="259">
        <f t="shared" si="3"/>
        <v>441.5</v>
      </c>
      <c r="O31" s="41" t="s">
        <v>75</v>
      </c>
      <c r="Q31" s="27">
        <v>27</v>
      </c>
      <c r="R31" s="17">
        <v>17.95</v>
      </c>
      <c r="S31" s="327">
        <f t="shared" si="4"/>
        <v>897.5</v>
      </c>
      <c r="T31" s="486">
        <v>2.0099999999999998</v>
      </c>
      <c r="U31" s="14">
        <v>1.74</v>
      </c>
      <c r="V31" s="30">
        <v>20</v>
      </c>
      <c r="W31" s="368">
        <f t="shared" si="5"/>
        <v>1000</v>
      </c>
      <c r="X31" s="32">
        <v>1.78</v>
      </c>
      <c r="Y31" s="17">
        <v>15.1</v>
      </c>
      <c r="Z31" s="372">
        <f t="shared" si="8"/>
        <v>755</v>
      </c>
      <c r="AA31" s="316" t="s">
        <v>75</v>
      </c>
      <c r="AB31" s="318">
        <v>11.56</v>
      </c>
      <c r="AC31" s="373">
        <f t="shared" si="6"/>
        <v>578</v>
      </c>
      <c r="AD31" s="25" t="s">
        <v>75</v>
      </c>
      <c r="AF31" s="1">
        <v>27</v>
      </c>
      <c r="AG31" s="47">
        <v>834.91</v>
      </c>
      <c r="AH31" s="394">
        <f t="shared" si="9"/>
        <v>125236.5</v>
      </c>
      <c r="AI31" s="268">
        <v>1.89</v>
      </c>
      <c r="AJ31" s="2">
        <v>1.39</v>
      </c>
      <c r="AK31" s="524">
        <v>835.7</v>
      </c>
      <c r="AL31" s="378">
        <f t="shared" si="10"/>
        <v>125355</v>
      </c>
      <c r="AM31" s="313">
        <v>1.97</v>
      </c>
      <c r="AN31" s="5">
        <v>234</v>
      </c>
      <c r="AO31" s="380">
        <f t="shared" si="7"/>
        <v>35100</v>
      </c>
      <c r="AP31" s="26" t="s">
        <v>75</v>
      </c>
      <c r="AQ31" s="45">
        <v>235.5</v>
      </c>
      <c r="AR31" s="383">
        <f t="shared" si="11"/>
        <v>35325</v>
      </c>
      <c r="AS31" s="48" t="s">
        <v>75</v>
      </c>
    </row>
    <row r="32" spans="2:45">
      <c r="B32" s="11">
        <v>28</v>
      </c>
      <c r="C32" s="263">
        <v>39.33</v>
      </c>
      <c r="D32" s="258">
        <f t="shared" si="0"/>
        <v>1966.5</v>
      </c>
      <c r="E32" s="258">
        <v>1.84</v>
      </c>
      <c r="F32" s="53" t="s">
        <v>168</v>
      </c>
      <c r="G32" s="515">
        <v>42.8</v>
      </c>
      <c r="H32" s="365">
        <f t="shared" si="1"/>
        <v>2140</v>
      </c>
      <c r="I32" s="52">
        <v>1.88</v>
      </c>
      <c r="J32" s="531">
        <v>28.9</v>
      </c>
      <c r="K32" s="258">
        <f t="shared" si="2"/>
        <v>1445</v>
      </c>
      <c r="L32" s="388" t="s">
        <v>75</v>
      </c>
      <c r="M32" s="532">
        <v>12.66</v>
      </c>
      <c r="N32" s="259">
        <f t="shared" si="3"/>
        <v>633</v>
      </c>
      <c r="O32" s="41" t="s">
        <v>75</v>
      </c>
      <c r="Q32" s="27">
        <v>28</v>
      </c>
      <c r="R32" s="17">
        <v>13.97</v>
      </c>
      <c r="S32" s="327">
        <f t="shared" si="4"/>
        <v>698.5</v>
      </c>
      <c r="T32" s="486">
        <v>2.2200000000000002</v>
      </c>
      <c r="U32" s="14">
        <v>0.35</v>
      </c>
      <c r="V32" s="30">
        <v>17.899999999999999</v>
      </c>
      <c r="W32" s="369">
        <f t="shared" si="5"/>
        <v>894.99999999999989</v>
      </c>
      <c r="X32" s="32">
        <v>1.99</v>
      </c>
      <c r="Y32" s="17">
        <v>11.8</v>
      </c>
      <c r="Z32" s="371">
        <f t="shared" si="8"/>
        <v>590</v>
      </c>
      <c r="AA32" s="316" t="s">
        <v>75</v>
      </c>
      <c r="AB32" s="318">
        <v>7.61</v>
      </c>
      <c r="AC32" s="374">
        <f t="shared" si="6"/>
        <v>380.5</v>
      </c>
      <c r="AD32" s="25" t="s">
        <v>75</v>
      </c>
      <c r="AF32" s="1">
        <v>28</v>
      </c>
      <c r="AG32" s="47">
        <v>2427.2800000000002</v>
      </c>
      <c r="AH32" s="394">
        <f t="shared" si="9"/>
        <v>364092.00000000006</v>
      </c>
      <c r="AI32" s="269">
        <v>2</v>
      </c>
      <c r="AJ32" s="2">
        <v>1.64</v>
      </c>
      <c r="AK32" s="524">
        <v>2625.3</v>
      </c>
      <c r="AL32" s="378">
        <f t="shared" si="10"/>
        <v>393795</v>
      </c>
      <c r="AM32" s="313">
        <v>2.09</v>
      </c>
      <c r="AN32" s="5">
        <v>650</v>
      </c>
      <c r="AO32" s="380">
        <f t="shared" si="7"/>
        <v>97500</v>
      </c>
      <c r="AP32" s="26" t="s">
        <v>75</v>
      </c>
      <c r="AQ32" s="45">
        <v>172.9</v>
      </c>
      <c r="AR32" s="385">
        <f t="shared" si="11"/>
        <v>25935</v>
      </c>
      <c r="AS32" s="48" t="s">
        <v>75</v>
      </c>
    </row>
    <row r="33" spans="2:45">
      <c r="B33" s="11">
        <v>29</v>
      </c>
      <c r="C33" s="263">
        <v>48.75</v>
      </c>
      <c r="D33" s="258">
        <f t="shared" si="0"/>
        <v>2437.5</v>
      </c>
      <c r="E33" s="258">
        <v>1.88</v>
      </c>
      <c r="F33" s="53" t="s">
        <v>154</v>
      </c>
      <c r="G33" s="515">
        <v>49.8</v>
      </c>
      <c r="H33" s="364">
        <f t="shared" si="1"/>
        <v>2490</v>
      </c>
      <c r="I33" s="52">
        <v>1.86</v>
      </c>
      <c r="J33" s="531">
        <v>36.4</v>
      </c>
      <c r="K33" s="258">
        <f t="shared" si="2"/>
        <v>1820</v>
      </c>
      <c r="L33" s="388" t="s">
        <v>75</v>
      </c>
      <c r="M33" s="532">
        <v>25.45</v>
      </c>
      <c r="N33" s="259">
        <f t="shared" si="3"/>
        <v>1272.5</v>
      </c>
      <c r="O33" s="41" t="s">
        <v>75</v>
      </c>
      <c r="Q33" s="27">
        <v>29</v>
      </c>
      <c r="R33" s="17">
        <v>17.82</v>
      </c>
      <c r="S33" s="327">
        <f t="shared" si="4"/>
        <v>891</v>
      </c>
      <c r="T33" s="519">
        <v>1.9</v>
      </c>
      <c r="U33" s="14">
        <v>1.38</v>
      </c>
      <c r="V33" s="30">
        <v>19.7</v>
      </c>
      <c r="W33" s="368">
        <f t="shared" si="5"/>
        <v>985</v>
      </c>
      <c r="X33" s="32">
        <v>1.84</v>
      </c>
      <c r="Y33" s="17">
        <v>16.600000000000001</v>
      </c>
      <c r="Z33" s="372">
        <f t="shared" si="8"/>
        <v>830.00000000000011</v>
      </c>
      <c r="AA33" s="316" t="s">
        <v>75</v>
      </c>
      <c r="AB33" s="318">
        <v>12.54</v>
      </c>
      <c r="AC33" s="373">
        <f t="shared" si="6"/>
        <v>627</v>
      </c>
      <c r="AD33" s="25" t="s">
        <v>75</v>
      </c>
      <c r="AF33" s="1">
        <v>29</v>
      </c>
      <c r="AG33" s="47">
        <v>1663.37</v>
      </c>
      <c r="AH33" s="395">
        <f t="shared" si="9"/>
        <v>249505.49999999997</v>
      </c>
      <c r="AI33" s="268">
        <v>1.81</v>
      </c>
      <c r="AJ33" s="2">
        <v>1.1399999999999999</v>
      </c>
      <c r="AK33" s="524">
        <v>1641.1</v>
      </c>
      <c r="AL33" s="379">
        <f t="shared" si="10"/>
        <v>246165</v>
      </c>
      <c r="AM33" s="313">
        <v>1.9</v>
      </c>
      <c r="AN33" s="5">
        <v>550</v>
      </c>
      <c r="AO33" s="380">
        <f t="shared" si="7"/>
        <v>82500</v>
      </c>
      <c r="AP33" s="26" t="s">
        <v>75</v>
      </c>
      <c r="AQ33" s="45">
        <v>608.62</v>
      </c>
      <c r="AR33" s="383">
        <f t="shared" si="11"/>
        <v>91293</v>
      </c>
      <c r="AS33" s="48" t="s">
        <v>75</v>
      </c>
    </row>
    <row r="34" spans="2:45" ht="17" thickBot="1">
      <c r="B34" s="12">
        <v>30</v>
      </c>
      <c r="C34" s="264">
        <v>89.54</v>
      </c>
      <c r="D34" s="260">
        <f t="shared" si="0"/>
        <v>4477</v>
      </c>
      <c r="E34" s="260">
        <v>1.84</v>
      </c>
      <c r="F34" s="54" t="s">
        <v>169</v>
      </c>
      <c r="G34" s="516">
        <v>94.8</v>
      </c>
      <c r="H34" s="366">
        <f t="shared" si="1"/>
        <v>4740</v>
      </c>
      <c r="I34" s="261">
        <v>1.85</v>
      </c>
      <c r="J34" s="533">
        <v>76</v>
      </c>
      <c r="K34" s="260">
        <f t="shared" si="2"/>
        <v>3800</v>
      </c>
      <c r="L34" s="389" t="s">
        <v>75</v>
      </c>
      <c r="M34" s="534">
        <v>49.04</v>
      </c>
      <c r="N34" s="535">
        <f t="shared" si="3"/>
        <v>2452</v>
      </c>
      <c r="O34" s="42" t="s">
        <v>75</v>
      </c>
      <c r="Q34" s="28">
        <v>30</v>
      </c>
      <c r="R34" s="18">
        <v>21.28</v>
      </c>
      <c r="S34" s="329">
        <f t="shared" si="4"/>
        <v>1064</v>
      </c>
      <c r="T34" s="520">
        <v>1.8</v>
      </c>
      <c r="U34" s="15">
        <v>1.25</v>
      </c>
      <c r="V34" s="31">
        <v>20.2</v>
      </c>
      <c r="W34" s="370">
        <f t="shared" si="5"/>
        <v>1010</v>
      </c>
      <c r="X34" s="33">
        <v>1.96</v>
      </c>
      <c r="Y34" s="18">
        <v>15.5</v>
      </c>
      <c r="Z34" s="393">
        <f>Y34*50</f>
        <v>775</v>
      </c>
      <c r="AA34" s="317" t="s">
        <v>75</v>
      </c>
      <c r="AB34" s="319">
        <v>10.74</v>
      </c>
      <c r="AC34" s="375">
        <f t="shared" si="6"/>
        <v>537</v>
      </c>
      <c r="AD34" s="29" t="s">
        <v>75</v>
      </c>
      <c r="AF34" s="3">
        <v>30</v>
      </c>
      <c r="AG34" s="49">
        <v>704.96</v>
      </c>
      <c r="AH34" s="403">
        <f t="shared" si="9"/>
        <v>105744</v>
      </c>
      <c r="AI34" s="270">
        <v>1.87</v>
      </c>
      <c r="AJ34" s="4">
        <v>1.29</v>
      </c>
      <c r="AK34" s="525">
        <v>701.4</v>
      </c>
      <c r="AL34" s="404">
        <f t="shared" si="10"/>
        <v>105210</v>
      </c>
      <c r="AM34" s="314">
        <v>1.92</v>
      </c>
      <c r="AN34" s="6">
        <v>190</v>
      </c>
      <c r="AO34" s="381">
        <f t="shared" si="7"/>
        <v>28500</v>
      </c>
      <c r="AP34" s="44" t="s">
        <v>75</v>
      </c>
      <c r="AQ34" s="46">
        <v>224.76</v>
      </c>
      <c r="AR34" s="384">
        <f t="shared" si="11"/>
        <v>33714</v>
      </c>
      <c r="AS34" s="50" t="s">
        <v>75</v>
      </c>
    </row>
    <row r="35" spans="2:45" ht="17" thickBot="1"/>
    <row r="36" spans="2:45" ht="17" thickBot="1">
      <c r="B36" s="121" t="s">
        <v>10</v>
      </c>
      <c r="C36" s="291">
        <f t="shared" ref="C36:K36" si="12">AVERAGE(C5:C34)</f>
        <v>55.012333333333331</v>
      </c>
      <c r="D36" s="274">
        <f t="shared" si="12"/>
        <v>2750.6166666666668</v>
      </c>
      <c r="E36" s="238">
        <f t="shared" si="12"/>
        <v>1.798333333333334</v>
      </c>
      <c r="F36" s="238">
        <f t="shared" si="12"/>
        <v>1.58</v>
      </c>
      <c r="G36" s="237">
        <f t="shared" si="12"/>
        <v>57.95000000000001</v>
      </c>
      <c r="H36" s="274">
        <f t="shared" si="12"/>
        <v>2897.5</v>
      </c>
      <c r="I36" s="238">
        <f t="shared" si="12"/>
        <v>1.8450000000000002</v>
      </c>
      <c r="J36" s="274">
        <f t="shared" si="12"/>
        <v>45.873333333333342</v>
      </c>
      <c r="K36" s="274">
        <f t="shared" si="12"/>
        <v>2293.6666666666665</v>
      </c>
      <c r="L36" s="440" t="s">
        <v>125</v>
      </c>
      <c r="M36" s="274">
        <f t="shared" ref="M36:N36" si="13">AVERAGE(M5:M34)</f>
        <v>27.342999999999996</v>
      </c>
      <c r="N36" s="274">
        <f t="shared" si="13"/>
        <v>1367.15</v>
      </c>
      <c r="O36" s="526" t="s">
        <v>126</v>
      </c>
      <c r="Q36" s="124" t="s">
        <v>10</v>
      </c>
      <c r="R36" s="275">
        <f>AVERAGE((R5:R34))</f>
        <v>28.865666666666666</v>
      </c>
      <c r="S36" s="439">
        <f>AVERAGE(S5:S34)</f>
        <v>1443.2833333333333</v>
      </c>
      <c r="T36" s="240">
        <f>AVERAGE(T5:T34)</f>
        <v>1.9219999999999999</v>
      </c>
      <c r="U36" s="439">
        <f>AVERAGE(U5:U34)</f>
        <v>1.3986666666666669</v>
      </c>
      <c r="V36" s="275">
        <f t="shared" ref="V36" si="14">AVERAGE((V5:V34))</f>
        <v>29.15333333333334</v>
      </c>
      <c r="W36" s="439">
        <f t="shared" ref="W36:X36" si="15">AVERAGE(W5:W34)</f>
        <v>1457.6666666666667</v>
      </c>
      <c r="X36" s="240">
        <f t="shared" si="15"/>
        <v>1.8590000000000002</v>
      </c>
      <c r="Y36" s="275">
        <f t="shared" ref="Y36" si="16">AVERAGE((Y5:Y34))</f>
        <v>24.733333333333338</v>
      </c>
      <c r="Z36" s="439">
        <f t="shared" ref="Z36" si="17">AVERAGE(Z5:Z34)</f>
        <v>1236.6666666666667</v>
      </c>
      <c r="AA36" s="443" t="s">
        <v>125</v>
      </c>
      <c r="AB36" s="275">
        <f t="shared" ref="AB36" si="18">AVERAGE((AB5:AB34))</f>
        <v>16.63066666666667</v>
      </c>
      <c r="AC36" s="439">
        <f t="shared" ref="AC36" si="19">AVERAGE(AC5:AC34)</f>
        <v>831.5333333333333</v>
      </c>
      <c r="AD36" s="443" t="s">
        <v>125</v>
      </c>
      <c r="AF36" s="143" t="s">
        <v>10</v>
      </c>
      <c r="AG36" s="276">
        <f>AVERAGE(AG5:AG34)</f>
        <v>1178.3033333333333</v>
      </c>
      <c r="AH36" s="441">
        <f>AVERAGE(AH5:AH34)</f>
        <v>176745.5</v>
      </c>
      <c r="AI36" s="243">
        <f>AVERAGE(AI5:AI34)</f>
        <v>1.8696666666666664</v>
      </c>
      <c r="AJ36" s="441">
        <f>AVERAGE(AJ5:AJ34)</f>
        <v>1.3400000000000003</v>
      </c>
      <c r="AK36" s="276">
        <f t="shared" ref="AK36:AR36" si="20">AVERAGE(AK5:AK34)</f>
        <v>1206.5433333333333</v>
      </c>
      <c r="AL36" s="441">
        <f t="shared" si="20"/>
        <v>180981.5</v>
      </c>
      <c r="AM36" s="243">
        <f t="shared" si="20"/>
        <v>1.8693333333333331</v>
      </c>
      <c r="AN36" s="276">
        <f t="shared" si="20"/>
        <v>362.23333333333335</v>
      </c>
      <c r="AO36" s="441">
        <f t="shared" si="20"/>
        <v>54335</v>
      </c>
      <c r="AP36" s="442" t="s">
        <v>125</v>
      </c>
      <c r="AQ36" s="276">
        <f t="shared" si="20"/>
        <v>274.23433333333338</v>
      </c>
      <c r="AR36" s="441">
        <f t="shared" si="20"/>
        <v>41135.15</v>
      </c>
      <c r="AS36" s="442" t="s">
        <v>125</v>
      </c>
    </row>
    <row r="37" spans="2:45">
      <c r="F37" s="160"/>
    </row>
    <row r="38" spans="2:45">
      <c r="B38" t="s">
        <v>132</v>
      </c>
      <c r="Q38" t="s">
        <v>132</v>
      </c>
      <c r="AF38" t="s">
        <v>133</v>
      </c>
    </row>
    <row r="59" spans="35:37">
      <c r="AI59" s="311"/>
      <c r="AJ59" s="311"/>
      <c r="AK59" s="311"/>
    </row>
    <row r="61" spans="35:37">
      <c r="AK61" s="51"/>
    </row>
    <row r="62" spans="35:37">
      <c r="AK62" s="51"/>
    </row>
  </sheetData>
  <mergeCells count="15">
    <mergeCell ref="B2:O2"/>
    <mergeCell ref="Q2:AD2"/>
    <mergeCell ref="AF2:AS2"/>
    <mergeCell ref="C3:E3"/>
    <mergeCell ref="G3:I3"/>
    <mergeCell ref="J3:L3"/>
    <mergeCell ref="M3:O3"/>
    <mergeCell ref="R3:T3"/>
    <mergeCell ref="V3:X3"/>
    <mergeCell ref="Y3:AA3"/>
    <mergeCell ref="AB3:AD3"/>
    <mergeCell ref="AG3:AI3"/>
    <mergeCell ref="AK3:AM3"/>
    <mergeCell ref="AN3:AP3"/>
    <mergeCell ref="AQ3:A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14DD2-716B-8F46-BB8A-FE3D8663772C}">
  <dimension ref="C1:AJ71"/>
  <sheetViews>
    <sheetView zoomScale="25" workbookViewId="0">
      <selection activeCell="AA10" sqref="AA10"/>
    </sheetView>
  </sheetViews>
  <sheetFormatPr baseColWidth="10" defaultRowHeight="16"/>
  <cols>
    <col min="4" max="4" width="23.6640625" bestFit="1" customWidth="1"/>
    <col min="5" max="5" width="22.6640625" bestFit="1" customWidth="1"/>
    <col min="6" max="6" width="16.1640625" bestFit="1" customWidth="1"/>
    <col min="7" max="7" width="23.6640625" bestFit="1" customWidth="1"/>
    <col min="8" max="8" width="22.6640625" bestFit="1" customWidth="1"/>
    <col min="9" max="9" width="16.1640625" bestFit="1" customWidth="1"/>
    <col min="10" max="10" width="23.6640625" bestFit="1" customWidth="1"/>
    <col min="11" max="11" width="22.6640625" bestFit="1" customWidth="1"/>
    <col min="12" max="12" width="17.5" customWidth="1"/>
    <col min="13" max="13" width="23.6640625" bestFit="1" customWidth="1"/>
    <col min="14" max="14" width="22.6640625" bestFit="1" customWidth="1"/>
    <col min="15" max="15" width="18.1640625" customWidth="1"/>
    <col min="16" max="16" width="15.5" bestFit="1" customWidth="1"/>
    <col min="17" max="17" width="12" bestFit="1" customWidth="1"/>
    <col min="19" max="19" width="23" bestFit="1" customWidth="1"/>
    <col min="20" max="20" width="20.6640625" bestFit="1" customWidth="1"/>
    <col min="21" max="21" width="19" bestFit="1" customWidth="1"/>
    <col min="22" max="22" width="17.83203125" bestFit="1" customWidth="1"/>
    <col min="23" max="23" width="16" bestFit="1" customWidth="1"/>
    <col min="24" max="24" width="14.5" bestFit="1" customWidth="1"/>
    <col min="30" max="30" width="32.83203125" bestFit="1" customWidth="1"/>
    <col min="31" max="31" width="26.83203125" bestFit="1" customWidth="1"/>
    <col min="32" max="32" width="32.33203125" bestFit="1" customWidth="1"/>
    <col min="33" max="33" width="18.6640625" customWidth="1"/>
    <col min="34" max="34" width="33.6640625" bestFit="1" customWidth="1"/>
    <col min="35" max="35" width="27.1640625" bestFit="1" customWidth="1"/>
    <col min="36" max="36" width="30.6640625" bestFit="1" customWidth="1"/>
  </cols>
  <sheetData>
    <row r="1" spans="3:36" ht="17" thickBot="1"/>
    <row r="2" spans="3:36" ht="25" thickBot="1">
      <c r="C2" s="607" t="s">
        <v>0</v>
      </c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10"/>
      <c r="S2" s="69"/>
      <c r="T2" s="69"/>
      <c r="U2" s="69"/>
      <c r="V2" s="69"/>
      <c r="W2" s="69"/>
      <c r="X2" s="69"/>
      <c r="Y2" s="161"/>
      <c r="Z2" s="158"/>
      <c r="AA2" s="158"/>
      <c r="AC2" s="158"/>
      <c r="AD2" s="68"/>
      <c r="AE2" s="68"/>
      <c r="AF2" s="68"/>
      <c r="AH2" s="619" t="s">
        <v>76</v>
      </c>
      <c r="AI2" s="620"/>
      <c r="AJ2" s="621"/>
    </row>
    <row r="3" spans="3:36" ht="22" thickBot="1">
      <c r="C3" s="257"/>
      <c r="D3" s="619" t="s">
        <v>70</v>
      </c>
      <c r="E3" s="620"/>
      <c r="F3" s="620"/>
      <c r="G3" s="321"/>
      <c r="H3" s="619" t="s">
        <v>71</v>
      </c>
      <c r="I3" s="620"/>
      <c r="J3" s="621"/>
      <c r="K3" s="619" t="s">
        <v>72</v>
      </c>
      <c r="L3" s="620"/>
      <c r="M3" s="621"/>
      <c r="N3" s="619" t="s">
        <v>73</v>
      </c>
      <c r="O3" s="620"/>
      <c r="P3" s="621"/>
      <c r="S3" s="61"/>
      <c r="T3" s="61"/>
      <c r="U3" s="405"/>
      <c r="V3" s="405"/>
      <c r="W3" s="61"/>
      <c r="X3" s="586"/>
      <c r="AC3" s="160"/>
      <c r="AD3" s="61"/>
      <c r="AE3" s="61"/>
      <c r="AF3" s="40"/>
      <c r="AH3" s="448" t="s">
        <v>129</v>
      </c>
      <c r="AI3" s="449" t="s">
        <v>130</v>
      </c>
      <c r="AJ3" s="192" t="s">
        <v>131</v>
      </c>
    </row>
    <row r="4" spans="3:36" ht="20" thickBot="1">
      <c r="C4" s="256"/>
      <c r="D4" s="387" t="s">
        <v>128</v>
      </c>
      <c r="E4" s="386" t="s">
        <v>127</v>
      </c>
      <c r="F4" s="518" t="s">
        <v>74</v>
      </c>
      <c r="G4" s="518" t="s">
        <v>144</v>
      </c>
      <c r="H4" s="138" t="s">
        <v>128</v>
      </c>
      <c r="I4" s="363" t="s">
        <v>127</v>
      </c>
      <c r="J4" s="262" t="s">
        <v>74</v>
      </c>
      <c r="K4" s="138" t="s">
        <v>128</v>
      </c>
      <c r="L4" s="363" t="s">
        <v>127</v>
      </c>
      <c r="M4" s="262" t="s">
        <v>74</v>
      </c>
      <c r="N4" s="138" t="s">
        <v>128</v>
      </c>
      <c r="O4" s="363" t="s">
        <v>127</v>
      </c>
      <c r="P4" s="262" t="s">
        <v>74</v>
      </c>
      <c r="U4" s="459"/>
      <c r="V4" s="159"/>
      <c r="W4" s="587"/>
      <c r="X4" s="51"/>
      <c r="Y4" s="51"/>
      <c r="AD4" s="225"/>
      <c r="AE4" s="51"/>
      <c r="AH4" s="278">
        <f>D5*50</f>
        <v>3865.5</v>
      </c>
      <c r="AI4" s="156">
        <f>2818.19</f>
        <v>2818.19</v>
      </c>
      <c r="AJ4" s="280">
        <f t="shared" ref="AJ4:AJ33" si="0">(AI4/AH4)*100</f>
        <v>72.906221704824731</v>
      </c>
    </row>
    <row r="5" spans="3:36">
      <c r="C5" s="10">
        <v>1</v>
      </c>
      <c r="D5" s="391">
        <v>77.31</v>
      </c>
      <c r="E5" s="474">
        <f>D5*50</f>
        <v>3865.5</v>
      </c>
      <c r="F5" s="474">
        <v>1.83</v>
      </c>
      <c r="G5" s="527" t="s">
        <v>145</v>
      </c>
      <c r="H5" s="517">
        <v>85</v>
      </c>
      <c r="I5" s="392">
        <f>H5*50</f>
        <v>4250</v>
      </c>
      <c r="J5" s="390">
        <v>1.85</v>
      </c>
      <c r="K5" s="528">
        <v>64.400000000000006</v>
      </c>
      <c r="L5" s="474">
        <f>K5*50</f>
        <v>3220.0000000000005</v>
      </c>
      <c r="M5" s="70" t="s">
        <v>75</v>
      </c>
      <c r="N5" s="529">
        <v>56.36</v>
      </c>
      <c r="O5" s="530">
        <f>N5*50</f>
        <v>2818</v>
      </c>
      <c r="P5" s="70" t="s">
        <v>75</v>
      </c>
      <c r="U5" s="459"/>
      <c r="V5" s="159"/>
      <c r="W5" s="587"/>
      <c r="X5" s="51"/>
      <c r="Y5" s="51"/>
      <c r="AE5" s="51"/>
      <c r="AH5" s="13">
        <f>D6*50</f>
        <v>4488</v>
      </c>
      <c r="AI5" s="155">
        <v>2880.23</v>
      </c>
      <c r="AJ5" s="8">
        <f t="shared" si="0"/>
        <v>64.176247771836003</v>
      </c>
    </row>
    <row r="6" spans="3:36">
      <c r="C6" s="11">
        <v>2</v>
      </c>
      <c r="D6" s="263">
        <v>89.76</v>
      </c>
      <c r="E6" s="258">
        <f>D6*50</f>
        <v>4488</v>
      </c>
      <c r="F6" s="258">
        <v>1.86</v>
      </c>
      <c r="G6" s="53" t="s">
        <v>146</v>
      </c>
      <c r="H6" s="515">
        <v>96.5</v>
      </c>
      <c r="I6" s="365">
        <f>H6*50</f>
        <v>4825</v>
      </c>
      <c r="J6" s="52">
        <v>1.86</v>
      </c>
      <c r="K6" s="531">
        <v>82</v>
      </c>
      <c r="L6" s="258">
        <f>K6*50</f>
        <v>4100</v>
      </c>
      <c r="M6" s="388" t="s">
        <v>75</v>
      </c>
      <c r="N6" s="532">
        <v>57.6</v>
      </c>
      <c r="O6" s="259">
        <f>N6*50</f>
        <v>2880</v>
      </c>
      <c r="P6" s="41" t="s">
        <v>75</v>
      </c>
      <c r="U6" s="459"/>
      <c r="V6" s="159"/>
      <c r="W6" s="587"/>
      <c r="X6" s="51"/>
      <c r="Y6" s="51"/>
      <c r="AE6" s="51"/>
      <c r="AH6" s="410">
        <f>D7*50</f>
        <v>3024.5</v>
      </c>
      <c r="AI6" s="155">
        <v>1984.62</v>
      </c>
      <c r="AJ6" s="9">
        <f t="shared" si="0"/>
        <v>65.618118697305334</v>
      </c>
    </row>
    <row r="7" spans="3:36">
      <c r="C7" s="11">
        <v>3</v>
      </c>
      <c r="D7" s="263">
        <v>60.49</v>
      </c>
      <c r="E7" s="258">
        <f t="shared" ref="E7:E34" si="1">D7*50</f>
        <v>3024.5</v>
      </c>
      <c r="F7" s="258">
        <v>1.77</v>
      </c>
      <c r="G7" s="53" t="s">
        <v>147</v>
      </c>
      <c r="H7" s="515">
        <v>64.900000000000006</v>
      </c>
      <c r="I7" s="364">
        <f t="shared" ref="I7:I34" si="2">H7*50</f>
        <v>3245.0000000000005</v>
      </c>
      <c r="J7" s="52">
        <v>1.86</v>
      </c>
      <c r="K7" s="531">
        <v>41.6</v>
      </c>
      <c r="L7" s="258">
        <f t="shared" ref="L7:L34" si="3">K7*50</f>
        <v>2080</v>
      </c>
      <c r="M7" s="388" t="s">
        <v>75</v>
      </c>
      <c r="N7" s="532">
        <v>39.69</v>
      </c>
      <c r="O7" s="259">
        <f t="shared" ref="O7:O34" si="4">N7*50</f>
        <v>1984.5</v>
      </c>
      <c r="P7" s="41" t="s">
        <v>75</v>
      </c>
      <c r="U7" s="459"/>
      <c r="V7" s="159"/>
      <c r="W7" s="587"/>
      <c r="X7" s="51"/>
      <c r="Y7" s="51"/>
      <c r="AE7" s="51"/>
      <c r="AH7" s="410">
        <f t="shared" ref="AH7:AH33" si="5">D8*50</f>
        <v>2467</v>
      </c>
      <c r="AI7" s="155">
        <v>1452.95</v>
      </c>
      <c r="AJ7" s="8">
        <f t="shared" si="0"/>
        <v>58.895419537900281</v>
      </c>
    </row>
    <row r="8" spans="3:36">
      <c r="C8" s="11">
        <v>4</v>
      </c>
      <c r="D8" s="263">
        <v>49.34</v>
      </c>
      <c r="E8" s="258">
        <f t="shared" si="1"/>
        <v>2467</v>
      </c>
      <c r="F8" s="258">
        <v>1.78</v>
      </c>
      <c r="G8" s="53" t="s">
        <v>148</v>
      </c>
      <c r="H8" s="515">
        <v>53</v>
      </c>
      <c r="I8" s="365">
        <f t="shared" si="2"/>
        <v>2650</v>
      </c>
      <c r="J8" s="52">
        <v>1.84</v>
      </c>
      <c r="K8" s="531">
        <v>38.6</v>
      </c>
      <c r="L8" s="258">
        <f t="shared" si="3"/>
        <v>1930</v>
      </c>
      <c r="M8" s="388" t="s">
        <v>75</v>
      </c>
      <c r="N8" s="532">
        <v>29.06</v>
      </c>
      <c r="O8" s="259">
        <f t="shared" si="4"/>
        <v>1453</v>
      </c>
      <c r="P8" s="41" t="s">
        <v>75</v>
      </c>
      <c r="U8" s="459"/>
      <c r="V8" s="159"/>
      <c r="W8" s="587"/>
      <c r="X8" s="51"/>
      <c r="Y8" s="51"/>
      <c r="AE8" s="51"/>
      <c r="AH8" s="13">
        <f t="shared" si="5"/>
        <v>4855</v>
      </c>
      <c r="AI8" s="155">
        <v>3223.18</v>
      </c>
      <c r="AJ8" s="9">
        <f t="shared" si="0"/>
        <v>66.388877445932025</v>
      </c>
    </row>
    <row r="9" spans="3:36">
      <c r="C9" s="11">
        <v>5</v>
      </c>
      <c r="D9" s="263">
        <v>97.1</v>
      </c>
      <c r="E9" s="258">
        <f t="shared" si="1"/>
        <v>4855</v>
      </c>
      <c r="F9" s="258">
        <v>1.84</v>
      </c>
      <c r="G9" s="53" t="s">
        <v>149</v>
      </c>
      <c r="H9" s="515">
        <v>103.6</v>
      </c>
      <c r="I9" s="364">
        <f t="shared" si="2"/>
        <v>5180</v>
      </c>
      <c r="J9" s="52">
        <v>1.88</v>
      </c>
      <c r="K9" s="531">
        <v>86</v>
      </c>
      <c r="L9" s="258">
        <f t="shared" si="3"/>
        <v>4300</v>
      </c>
      <c r="M9" s="388" t="s">
        <v>75</v>
      </c>
      <c r="N9" s="532">
        <v>64.459999999999994</v>
      </c>
      <c r="O9" s="259">
        <f t="shared" si="4"/>
        <v>3222.9999999999995</v>
      </c>
      <c r="P9" s="41" t="s">
        <v>75</v>
      </c>
      <c r="U9" s="459"/>
      <c r="V9" s="159"/>
      <c r="W9" s="587"/>
      <c r="X9" s="51"/>
      <c r="Y9" s="51"/>
      <c r="AE9" s="51"/>
      <c r="AH9" s="410">
        <f t="shared" si="5"/>
        <v>2335</v>
      </c>
      <c r="AI9" s="155">
        <v>774.11</v>
      </c>
      <c r="AJ9" s="8">
        <f t="shared" si="0"/>
        <v>33.152462526766598</v>
      </c>
    </row>
    <row r="10" spans="3:36">
      <c r="C10" s="11">
        <v>6</v>
      </c>
      <c r="D10" s="263">
        <v>46.7</v>
      </c>
      <c r="E10" s="258">
        <f t="shared" si="1"/>
        <v>2335</v>
      </c>
      <c r="F10" s="258">
        <v>1.79</v>
      </c>
      <c r="G10" s="53" t="s">
        <v>150</v>
      </c>
      <c r="H10" s="515">
        <v>48.7</v>
      </c>
      <c r="I10" s="365">
        <f t="shared" si="2"/>
        <v>2435</v>
      </c>
      <c r="J10" s="52">
        <v>1.85</v>
      </c>
      <c r="K10" s="531">
        <v>34.299999999999997</v>
      </c>
      <c r="L10" s="258">
        <f t="shared" si="3"/>
        <v>1714.9999999999998</v>
      </c>
      <c r="M10" s="388" t="s">
        <v>75</v>
      </c>
      <c r="N10" s="532">
        <v>15.48</v>
      </c>
      <c r="O10" s="259">
        <f t="shared" si="4"/>
        <v>774</v>
      </c>
      <c r="P10" s="41" t="s">
        <v>75</v>
      </c>
      <c r="U10" s="459"/>
      <c r="V10" s="159"/>
      <c r="W10" s="587"/>
      <c r="X10" s="51"/>
      <c r="Y10" s="51"/>
      <c r="AE10" s="51"/>
      <c r="AH10" s="410">
        <f t="shared" si="5"/>
        <v>1540</v>
      </c>
      <c r="AI10" s="155">
        <v>1256.5</v>
      </c>
      <c r="AJ10" s="9">
        <f t="shared" si="0"/>
        <v>81.590909090909093</v>
      </c>
    </row>
    <row r="11" spans="3:36">
      <c r="C11" s="11">
        <v>7</v>
      </c>
      <c r="D11" s="263">
        <v>30.8</v>
      </c>
      <c r="E11" s="258">
        <f t="shared" si="1"/>
        <v>1540</v>
      </c>
      <c r="F11" s="259">
        <v>1.8</v>
      </c>
      <c r="G11" s="53" t="s">
        <v>151</v>
      </c>
      <c r="H11" s="515">
        <v>32.200000000000003</v>
      </c>
      <c r="I11" s="364">
        <f t="shared" si="2"/>
        <v>1610.0000000000002</v>
      </c>
      <c r="J11" s="52">
        <v>1.82</v>
      </c>
      <c r="K11" s="531">
        <v>29</v>
      </c>
      <c r="L11" s="258">
        <f t="shared" si="3"/>
        <v>1450</v>
      </c>
      <c r="M11" s="388" t="s">
        <v>75</v>
      </c>
      <c r="N11" s="532">
        <v>25.13</v>
      </c>
      <c r="O11" s="259">
        <f t="shared" si="4"/>
        <v>1256.5</v>
      </c>
      <c r="P11" s="41" t="s">
        <v>75</v>
      </c>
      <c r="U11" s="459"/>
      <c r="V11" s="159"/>
      <c r="W11" s="587"/>
      <c r="X11" s="51"/>
      <c r="Y11" s="51"/>
      <c r="AE11" s="51"/>
      <c r="AH11" s="13">
        <f t="shared" si="5"/>
        <v>4800.5</v>
      </c>
      <c r="AI11" s="155">
        <v>3120.22</v>
      </c>
      <c r="AJ11" s="8">
        <f t="shared" si="0"/>
        <v>64.997812727840838</v>
      </c>
    </row>
    <row r="12" spans="3:36">
      <c r="C12" s="11">
        <v>8</v>
      </c>
      <c r="D12" s="263">
        <v>96.01</v>
      </c>
      <c r="E12" s="258">
        <f t="shared" si="1"/>
        <v>4800.5</v>
      </c>
      <c r="F12" s="258">
        <v>1.84</v>
      </c>
      <c r="G12" s="53" t="s">
        <v>152</v>
      </c>
      <c r="H12" s="515">
        <v>102.3</v>
      </c>
      <c r="I12" s="365">
        <f t="shared" si="2"/>
        <v>5115</v>
      </c>
      <c r="J12" s="52">
        <v>1.85</v>
      </c>
      <c r="K12" s="531">
        <v>93.2</v>
      </c>
      <c r="L12" s="258">
        <f t="shared" si="3"/>
        <v>4660</v>
      </c>
      <c r="M12" s="388" t="s">
        <v>75</v>
      </c>
      <c r="N12" s="532">
        <v>62.4</v>
      </c>
      <c r="O12" s="259">
        <f t="shared" si="4"/>
        <v>3120</v>
      </c>
      <c r="P12" s="41" t="s">
        <v>75</v>
      </c>
      <c r="U12" s="459"/>
      <c r="V12" s="159"/>
      <c r="W12" s="587"/>
      <c r="X12" s="51"/>
      <c r="Y12" s="51"/>
      <c r="AE12" s="51"/>
      <c r="AH12" s="410">
        <f t="shared" si="5"/>
        <v>3037.5</v>
      </c>
      <c r="AI12" s="155">
        <v>466.58</v>
      </c>
      <c r="AJ12" s="9">
        <f t="shared" si="0"/>
        <v>15.360658436213992</v>
      </c>
    </row>
    <row r="13" spans="3:36">
      <c r="C13" s="11">
        <v>9</v>
      </c>
      <c r="D13" s="263">
        <v>60.75</v>
      </c>
      <c r="E13" s="258">
        <f t="shared" si="1"/>
        <v>3037.5</v>
      </c>
      <c r="F13" s="258">
        <v>1.83</v>
      </c>
      <c r="G13" s="53" t="s">
        <v>153</v>
      </c>
      <c r="H13" s="515">
        <v>61.8</v>
      </c>
      <c r="I13" s="364">
        <f t="shared" si="2"/>
        <v>3090</v>
      </c>
      <c r="J13" s="52">
        <v>1.84</v>
      </c>
      <c r="K13" s="531">
        <v>40.4</v>
      </c>
      <c r="L13" s="258">
        <f t="shared" si="3"/>
        <v>2020</v>
      </c>
      <c r="M13" s="388" t="s">
        <v>75</v>
      </c>
      <c r="N13" s="532">
        <v>9.33</v>
      </c>
      <c r="O13" s="259">
        <f t="shared" si="4"/>
        <v>466.5</v>
      </c>
      <c r="P13" s="41" t="s">
        <v>75</v>
      </c>
      <c r="U13" s="459"/>
      <c r="V13" s="159"/>
      <c r="W13" s="587"/>
      <c r="X13" s="51"/>
      <c r="Y13" s="51"/>
      <c r="AE13" s="51"/>
      <c r="AH13" s="410">
        <f t="shared" si="5"/>
        <v>2600.5</v>
      </c>
      <c r="AI13" s="155">
        <v>1644.38</v>
      </c>
      <c r="AJ13" s="8">
        <f t="shared" si="0"/>
        <v>63.233224379926945</v>
      </c>
    </row>
    <row r="14" spans="3:36">
      <c r="C14" s="11">
        <v>10</v>
      </c>
      <c r="D14" s="263">
        <v>52.01</v>
      </c>
      <c r="E14" s="258">
        <f t="shared" si="1"/>
        <v>2600.5</v>
      </c>
      <c r="F14" s="258">
        <v>1.86</v>
      </c>
      <c r="G14" s="53" t="s">
        <v>154</v>
      </c>
      <c r="H14" s="515">
        <v>55.5</v>
      </c>
      <c r="I14" s="365">
        <f t="shared" si="2"/>
        <v>2775</v>
      </c>
      <c r="J14" s="52">
        <v>1.83</v>
      </c>
      <c r="K14" s="531">
        <v>46.4</v>
      </c>
      <c r="L14" s="258">
        <f t="shared" si="3"/>
        <v>2320</v>
      </c>
      <c r="M14" s="388" t="s">
        <v>75</v>
      </c>
      <c r="N14" s="532">
        <v>32.89</v>
      </c>
      <c r="O14" s="259">
        <f t="shared" si="4"/>
        <v>1644.5</v>
      </c>
      <c r="P14" s="41" t="s">
        <v>75</v>
      </c>
      <c r="U14" s="459"/>
      <c r="V14" s="159"/>
      <c r="W14" s="587"/>
      <c r="X14" s="51"/>
      <c r="Y14" s="51"/>
      <c r="AE14" s="51"/>
      <c r="AH14" s="13">
        <f t="shared" si="5"/>
        <v>3150</v>
      </c>
      <c r="AI14" s="155">
        <v>741.89</v>
      </c>
      <c r="AJ14" s="9">
        <f t="shared" si="0"/>
        <v>23.552063492063489</v>
      </c>
    </row>
    <row r="15" spans="3:36">
      <c r="C15" s="11">
        <v>11</v>
      </c>
      <c r="D15" s="263">
        <v>63</v>
      </c>
      <c r="E15" s="258">
        <f t="shared" si="1"/>
        <v>3150</v>
      </c>
      <c r="F15" s="258">
        <v>1.78</v>
      </c>
      <c r="G15" s="53" t="s">
        <v>155</v>
      </c>
      <c r="H15" s="515">
        <v>65.8</v>
      </c>
      <c r="I15" s="364">
        <f t="shared" si="2"/>
        <v>3290</v>
      </c>
      <c r="J15" s="52">
        <v>1.85</v>
      </c>
      <c r="K15" s="531">
        <v>45.6</v>
      </c>
      <c r="L15" s="258">
        <f t="shared" si="3"/>
        <v>2280</v>
      </c>
      <c r="M15" s="388" t="s">
        <v>75</v>
      </c>
      <c r="N15" s="532">
        <v>14.84</v>
      </c>
      <c r="O15" s="259">
        <f t="shared" si="4"/>
        <v>742</v>
      </c>
      <c r="P15" s="41" t="s">
        <v>75</v>
      </c>
      <c r="U15" s="459"/>
      <c r="V15" s="159"/>
      <c r="W15" s="587"/>
      <c r="X15" s="51"/>
      <c r="Y15" s="51"/>
      <c r="AE15" s="51"/>
      <c r="AH15" s="410">
        <f t="shared" si="5"/>
        <v>1762</v>
      </c>
      <c r="AI15" s="155">
        <v>1030</v>
      </c>
      <c r="AJ15" s="8">
        <f t="shared" si="0"/>
        <v>58.456299659477864</v>
      </c>
    </row>
    <row r="16" spans="3:36">
      <c r="C16" s="11">
        <v>12</v>
      </c>
      <c r="D16" s="263">
        <v>35.24</v>
      </c>
      <c r="E16" s="258">
        <f t="shared" si="1"/>
        <v>1762</v>
      </c>
      <c r="F16" s="258">
        <v>1.73</v>
      </c>
      <c r="G16" s="53">
        <v>1.55</v>
      </c>
      <c r="H16" s="515">
        <v>36.200000000000003</v>
      </c>
      <c r="I16" s="365">
        <f t="shared" si="2"/>
        <v>1810.0000000000002</v>
      </c>
      <c r="J16" s="52">
        <v>1.87</v>
      </c>
      <c r="K16" s="531">
        <v>28.4</v>
      </c>
      <c r="L16" s="258">
        <f t="shared" si="3"/>
        <v>1420</v>
      </c>
      <c r="M16" s="388" t="s">
        <v>75</v>
      </c>
      <c r="N16" s="532">
        <v>20.6</v>
      </c>
      <c r="O16" s="259">
        <f t="shared" si="4"/>
        <v>1030</v>
      </c>
      <c r="P16" s="41" t="s">
        <v>75</v>
      </c>
      <c r="U16" s="459"/>
      <c r="V16" s="159"/>
      <c r="W16" s="587"/>
      <c r="X16" s="51"/>
      <c r="Y16" s="51"/>
      <c r="AE16" s="51"/>
      <c r="AH16" s="410">
        <f t="shared" si="5"/>
        <v>4036.9999999999995</v>
      </c>
      <c r="AI16" s="155">
        <v>1610.72</v>
      </c>
      <c r="AJ16" s="9">
        <f t="shared" si="0"/>
        <v>39.89893485261333</v>
      </c>
    </row>
    <row r="17" spans="3:36">
      <c r="C17" s="11">
        <v>13</v>
      </c>
      <c r="D17" s="263">
        <v>80.739999999999995</v>
      </c>
      <c r="E17" s="258">
        <f t="shared" si="1"/>
        <v>4036.9999999999995</v>
      </c>
      <c r="F17" s="258">
        <v>1.82</v>
      </c>
      <c r="G17" s="53" t="s">
        <v>156</v>
      </c>
      <c r="H17" s="515">
        <v>88.5</v>
      </c>
      <c r="I17" s="364">
        <f t="shared" si="2"/>
        <v>4425</v>
      </c>
      <c r="J17" s="52">
        <v>1.85</v>
      </c>
      <c r="K17" s="531">
        <v>69.599999999999994</v>
      </c>
      <c r="L17" s="258">
        <f t="shared" si="3"/>
        <v>3479.9999999999995</v>
      </c>
      <c r="M17" s="388" t="s">
        <v>75</v>
      </c>
      <c r="N17" s="532">
        <v>32.21</v>
      </c>
      <c r="O17" s="259">
        <f t="shared" si="4"/>
        <v>1610.5</v>
      </c>
      <c r="P17" s="41" t="s">
        <v>75</v>
      </c>
      <c r="U17" s="459"/>
      <c r="V17" s="159"/>
      <c r="W17" s="587"/>
      <c r="X17" s="51"/>
      <c r="Y17" s="51"/>
      <c r="AE17" s="51"/>
      <c r="AH17" s="13">
        <f t="shared" si="5"/>
        <v>877.99999999999989</v>
      </c>
      <c r="AI17" s="155">
        <v>482.26</v>
      </c>
      <c r="AJ17" s="8">
        <f t="shared" si="0"/>
        <v>54.92710706150342</v>
      </c>
    </row>
    <row r="18" spans="3:36">
      <c r="C18" s="11">
        <v>14</v>
      </c>
      <c r="D18" s="263">
        <v>17.559999999999999</v>
      </c>
      <c r="E18" s="258">
        <f t="shared" si="1"/>
        <v>877.99999999999989</v>
      </c>
      <c r="F18" s="259">
        <v>1.7</v>
      </c>
      <c r="G18" s="53" t="s">
        <v>157</v>
      </c>
      <c r="H18" s="515">
        <v>17.899999999999999</v>
      </c>
      <c r="I18" s="365">
        <f t="shared" si="2"/>
        <v>894.99999999999989</v>
      </c>
      <c r="J18" s="52">
        <v>1.87</v>
      </c>
      <c r="K18" s="531">
        <v>14.8</v>
      </c>
      <c r="L18" s="258">
        <f t="shared" si="3"/>
        <v>740</v>
      </c>
      <c r="M18" s="388" t="s">
        <v>75</v>
      </c>
      <c r="N18" s="532">
        <v>9.65</v>
      </c>
      <c r="O18" s="259">
        <f t="shared" si="4"/>
        <v>482.5</v>
      </c>
      <c r="P18" s="41" t="s">
        <v>75</v>
      </c>
      <c r="U18" s="459"/>
      <c r="V18" s="159"/>
      <c r="W18" s="587"/>
      <c r="X18" s="51"/>
      <c r="Y18" s="51"/>
      <c r="AE18" s="51"/>
      <c r="AH18" s="410">
        <f t="shared" si="5"/>
        <v>2614</v>
      </c>
      <c r="AI18" s="155">
        <v>862.18</v>
      </c>
      <c r="AJ18" s="9">
        <f t="shared" si="0"/>
        <v>32.983167559296092</v>
      </c>
    </row>
    <row r="19" spans="3:36">
      <c r="C19" s="11">
        <v>15</v>
      </c>
      <c r="D19" s="263">
        <v>52.28</v>
      </c>
      <c r="E19" s="258">
        <f t="shared" si="1"/>
        <v>2614</v>
      </c>
      <c r="F19" s="258">
        <v>1.77</v>
      </c>
      <c r="G19" s="53" t="s">
        <v>146</v>
      </c>
      <c r="H19" s="515">
        <v>57.5</v>
      </c>
      <c r="I19" s="364">
        <f t="shared" si="2"/>
        <v>2875</v>
      </c>
      <c r="J19" s="52">
        <v>1.86</v>
      </c>
      <c r="K19" s="531">
        <v>41.6</v>
      </c>
      <c r="L19" s="258">
        <f t="shared" si="3"/>
        <v>2080</v>
      </c>
      <c r="M19" s="388" t="s">
        <v>75</v>
      </c>
      <c r="N19" s="532">
        <v>17.239999999999998</v>
      </c>
      <c r="O19" s="259">
        <f t="shared" si="4"/>
        <v>861.99999999999989</v>
      </c>
      <c r="P19" s="41" t="s">
        <v>75</v>
      </c>
      <c r="U19" s="459"/>
      <c r="V19" s="159"/>
      <c r="W19" s="587"/>
      <c r="X19" s="51"/>
      <c r="Y19" s="51"/>
      <c r="AE19" s="51"/>
      <c r="AH19" s="410">
        <f t="shared" si="5"/>
        <v>4463</v>
      </c>
      <c r="AI19" s="155">
        <v>2624.57</v>
      </c>
      <c r="AJ19" s="8">
        <f t="shared" si="0"/>
        <v>58.807304503697068</v>
      </c>
    </row>
    <row r="20" spans="3:36">
      <c r="C20" s="11">
        <v>16</v>
      </c>
      <c r="D20" s="263">
        <v>89.26</v>
      </c>
      <c r="E20" s="258">
        <f t="shared" si="1"/>
        <v>4463</v>
      </c>
      <c r="F20" s="258">
        <v>1.83</v>
      </c>
      <c r="G20" s="53" t="s">
        <v>158</v>
      </c>
      <c r="H20" s="515">
        <v>92.4</v>
      </c>
      <c r="I20" s="365">
        <f t="shared" si="2"/>
        <v>4620</v>
      </c>
      <c r="J20" s="52">
        <v>1.85</v>
      </c>
      <c r="K20" s="531">
        <v>84.8</v>
      </c>
      <c r="L20" s="258">
        <f t="shared" si="3"/>
        <v>4240</v>
      </c>
      <c r="M20" s="388" t="s">
        <v>75</v>
      </c>
      <c r="N20" s="532">
        <v>52.49</v>
      </c>
      <c r="O20" s="259">
        <f t="shared" si="4"/>
        <v>2624.5</v>
      </c>
      <c r="P20" s="41" t="s">
        <v>75</v>
      </c>
      <c r="U20" s="459"/>
      <c r="V20" s="159"/>
      <c r="W20" s="587"/>
      <c r="X20" s="51"/>
      <c r="Y20" s="51"/>
      <c r="AE20" s="51"/>
      <c r="AH20" s="13">
        <f t="shared" si="5"/>
        <v>2361</v>
      </c>
      <c r="AI20" s="155">
        <v>865.38</v>
      </c>
      <c r="AJ20" s="9">
        <f t="shared" si="0"/>
        <v>36.653113087674718</v>
      </c>
    </row>
    <row r="21" spans="3:36">
      <c r="C21" s="11">
        <v>17</v>
      </c>
      <c r="D21" s="263">
        <v>47.22</v>
      </c>
      <c r="E21" s="258">
        <f t="shared" si="1"/>
        <v>2361</v>
      </c>
      <c r="F21" s="258">
        <v>1.8</v>
      </c>
      <c r="G21" s="53" t="s">
        <v>159</v>
      </c>
      <c r="H21" s="515">
        <v>49.4</v>
      </c>
      <c r="I21" s="364">
        <f t="shared" si="2"/>
        <v>2470</v>
      </c>
      <c r="J21" s="52">
        <v>1.84</v>
      </c>
      <c r="K21" s="531">
        <v>36.700000000000003</v>
      </c>
      <c r="L21" s="258">
        <f t="shared" si="3"/>
        <v>1835.0000000000002</v>
      </c>
      <c r="M21" s="388" t="s">
        <v>75</v>
      </c>
      <c r="N21" s="532">
        <v>17.309999999999999</v>
      </c>
      <c r="O21" s="259">
        <f t="shared" si="4"/>
        <v>865.49999999999989</v>
      </c>
      <c r="P21" s="41" t="s">
        <v>75</v>
      </c>
      <c r="U21" s="459"/>
      <c r="V21" s="159"/>
      <c r="W21" s="587"/>
      <c r="X21" s="51"/>
      <c r="Y21" s="51"/>
      <c r="AE21" s="51"/>
      <c r="AH21" s="410">
        <f t="shared" si="5"/>
        <v>3208.5</v>
      </c>
      <c r="AI21" s="155">
        <v>1628.03</v>
      </c>
      <c r="AJ21" s="8">
        <f t="shared" si="0"/>
        <v>50.741156303568644</v>
      </c>
    </row>
    <row r="22" spans="3:36">
      <c r="C22" s="11">
        <v>18</v>
      </c>
      <c r="D22" s="263">
        <v>64.17</v>
      </c>
      <c r="E22" s="258">
        <f t="shared" si="1"/>
        <v>3208.5</v>
      </c>
      <c r="F22" s="258">
        <v>1.82</v>
      </c>
      <c r="G22" s="53" t="s">
        <v>160</v>
      </c>
      <c r="H22" s="515">
        <v>65.5</v>
      </c>
      <c r="I22" s="365">
        <f t="shared" si="2"/>
        <v>3275</v>
      </c>
      <c r="J22" s="52">
        <v>1.84</v>
      </c>
      <c r="K22" s="531">
        <v>63.6</v>
      </c>
      <c r="L22" s="258">
        <f t="shared" si="3"/>
        <v>3180</v>
      </c>
      <c r="M22" s="388" t="s">
        <v>75</v>
      </c>
      <c r="N22" s="532">
        <v>32.56</v>
      </c>
      <c r="O22" s="259">
        <f t="shared" si="4"/>
        <v>1628</v>
      </c>
      <c r="P22" s="41" t="s">
        <v>75</v>
      </c>
      <c r="U22" s="459"/>
      <c r="V22" s="159"/>
      <c r="W22" s="587"/>
      <c r="X22" s="51"/>
      <c r="Y22" s="51"/>
      <c r="AE22" s="51"/>
      <c r="AH22" s="410">
        <f t="shared" si="5"/>
        <v>2195.5</v>
      </c>
      <c r="AI22" s="155">
        <v>1280.8900000000001</v>
      </c>
      <c r="AJ22" s="9">
        <f t="shared" si="0"/>
        <v>58.341607834206336</v>
      </c>
    </row>
    <row r="23" spans="3:36">
      <c r="C23" s="11">
        <v>19</v>
      </c>
      <c r="D23" s="263">
        <v>43.91</v>
      </c>
      <c r="E23" s="258">
        <f t="shared" si="1"/>
        <v>2195.5</v>
      </c>
      <c r="F23" s="258">
        <v>1.77</v>
      </c>
      <c r="G23" s="53" t="s">
        <v>161</v>
      </c>
      <c r="H23" s="515">
        <v>44.4</v>
      </c>
      <c r="I23" s="364">
        <f t="shared" si="2"/>
        <v>2220</v>
      </c>
      <c r="J23" s="52">
        <v>1.83</v>
      </c>
      <c r="K23" s="531">
        <v>40.4</v>
      </c>
      <c r="L23" s="258">
        <f t="shared" si="3"/>
        <v>2020</v>
      </c>
      <c r="M23" s="388" t="s">
        <v>75</v>
      </c>
      <c r="N23" s="532">
        <v>25.62</v>
      </c>
      <c r="O23" s="259">
        <f t="shared" si="4"/>
        <v>1281</v>
      </c>
      <c r="P23" s="41" t="s">
        <v>75</v>
      </c>
      <c r="U23" s="459"/>
      <c r="V23" s="159"/>
      <c r="W23" s="587"/>
      <c r="X23" s="51"/>
      <c r="Y23" s="51"/>
      <c r="AE23" s="51"/>
      <c r="AH23" s="13">
        <f t="shared" si="5"/>
        <v>1349</v>
      </c>
      <c r="AI23" s="155">
        <v>616.47</v>
      </c>
      <c r="AJ23" s="8">
        <f t="shared" si="0"/>
        <v>45.698295033358043</v>
      </c>
    </row>
    <row r="24" spans="3:36">
      <c r="C24" s="11">
        <v>20</v>
      </c>
      <c r="D24" s="263">
        <v>26.98</v>
      </c>
      <c r="E24" s="258">
        <f t="shared" si="1"/>
        <v>1349</v>
      </c>
      <c r="F24" s="258">
        <v>1.73</v>
      </c>
      <c r="G24" s="53" t="s">
        <v>162</v>
      </c>
      <c r="H24" s="515">
        <v>28</v>
      </c>
      <c r="I24" s="365">
        <f t="shared" si="2"/>
        <v>1400</v>
      </c>
      <c r="J24" s="52">
        <v>1.84</v>
      </c>
      <c r="K24" s="531">
        <v>23.3</v>
      </c>
      <c r="L24" s="258">
        <f t="shared" si="3"/>
        <v>1165</v>
      </c>
      <c r="M24" s="388" t="s">
        <v>75</v>
      </c>
      <c r="N24" s="532">
        <v>12.33</v>
      </c>
      <c r="O24" s="259">
        <f t="shared" si="4"/>
        <v>616.5</v>
      </c>
      <c r="P24" s="41" t="s">
        <v>75</v>
      </c>
      <c r="U24" s="459"/>
      <c r="V24" s="159"/>
      <c r="W24" s="587"/>
      <c r="X24" s="51"/>
      <c r="Y24" s="51"/>
      <c r="AE24" s="51"/>
      <c r="AH24" s="410">
        <f t="shared" si="5"/>
        <v>2712.5</v>
      </c>
      <c r="AI24" s="155">
        <v>984.09</v>
      </c>
      <c r="AJ24" s="9">
        <f t="shared" si="0"/>
        <v>36.279815668202765</v>
      </c>
    </row>
    <row r="25" spans="3:36">
      <c r="C25" s="11">
        <v>21</v>
      </c>
      <c r="D25" s="263">
        <v>54.25</v>
      </c>
      <c r="E25" s="258">
        <f t="shared" si="1"/>
        <v>2712.5</v>
      </c>
      <c r="F25" s="258">
        <v>1.8</v>
      </c>
      <c r="G25" s="53" t="s">
        <v>163</v>
      </c>
      <c r="H25" s="515">
        <v>54.2</v>
      </c>
      <c r="I25" s="364">
        <f t="shared" si="2"/>
        <v>2710</v>
      </c>
      <c r="J25" s="52">
        <v>1.86</v>
      </c>
      <c r="K25" s="531">
        <v>42.8</v>
      </c>
      <c r="L25" s="258">
        <f t="shared" si="3"/>
        <v>2140</v>
      </c>
      <c r="M25" s="388" t="s">
        <v>75</v>
      </c>
      <c r="N25" s="532">
        <v>19.68</v>
      </c>
      <c r="O25" s="259">
        <f t="shared" si="4"/>
        <v>984</v>
      </c>
      <c r="P25" s="41" t="s">
        <v>75</v>
      </c>
      <c r="U25" s="459"/>
      <c r="V25" s="159"/>
      <c r="W25" s="587"/>
      <c r="X25" s="51"/>
      <c r="Y25" s="51"/>
      <c r="AE25" s="51"/>
      <c r="AH25" s="410">
        <f t="shared" si="5"/>
        <v>4630</v>
      </c>
      <c r="AI25" s="155">
        <v>1898.71</v>
      </c>
      <c r="AJ25" s="8">
        <f t="shared" si="0"/>
        <v>41.008855291576673</v>
      </c>
    </row>
    <row r="26" spans="3:36">
      <c r="C26" s="11">
        <v>22</v>
      </c>
      <c r="D26" s="263">
        <v>92.6</v>
      </c>
      <c r="E26" s="258">
        <f t="shared" si="1"/>
        <v>4630</v>
      </c>
      <c r="F26" s="258">
        <v>1.84</v>
      </c>
      <c r="G26" s="53" t="s">
        <v>145</v>
      </c>
      <c r="H26" s="515">
        <v>99.9</v>
      </c>
      <c r="I26" s="365">
        <f t="shared" si="2"/>
        <v>4995</v>
      </c>
      <c r="J26" s="52">
        <v>1.85</v>
      </c>
      <c r="K26" s="531">
        <v>82.4</v>
      </c>
      <c r="L26" s="258">
        <f t="shared" si="3"/>
        <v>4120</v>
      </c>
      <c r="M26" s="388" t="s">
        <v>75</v>
      </c>
      <c r="N26" s="532">
        <v>37.97</v>
      </c>
      <c r="O26" s="259">
        <f t="shared" si="4"/>
        <v>1898.5</v>
      </c>
      <c r="P26" s="41" t="s">
        <v>75</v>
      </c>
      <c r="U26" s="459"/>
      <c r="V26" s="159"/>
      <c r="W26" s="587"/>
      <c r="X26" s="51"/>
      <c r="Y26" s="51"/>
      <c r="AE26" s="51"/>
      <c r="AH26" s="13">
        <f t="shared" si="5"/>
        <v>919</v>
      </c>
      <c r="AI26" s="155">
        <v>164.8</v>
      </c>
      <c r="AJ26" s="9">
        <f t="shared" si="0"/>
        <v>17.932535364526661</v>
      </c>
    </row>
    <row r="27" spans="3:36">
      <c r="C27" s="11">
        <v>23</v>
      </c>
      <c r="D27" s="263">
        <v>18.38</v>
      </c>
      <c r="E27" s="258">
        <f t="shared" si="1"/>
        <v>919</v>
      </c>
      <c r="F27" s="258">
        <v>1.75</v>
      </c>
      <c r="G27" s="53" t="s">
        <v>164</v>
      </c>
      <c r="H27" s="515">
        <v>19.600000000000001</v>
      </c>
      <c r="I27" s="364">
        <f t="shared" si="2"/>
        <v>980.00000000000011</v>
      </c>
      <c r="J27" s="52">
        <v>1.8</v>
      </c>
      <c r="K27" s="531">
        <v>13.3</v>
      </c>
      <c r="L27" s="258">
        <f t="shared" si="3"/>
        <v>665</v>
      </c>
      <c r="M27" s="388" t="s">
        <v>75</v>
      </c>
      <c r="N27" s="532">
        <v>3.3</v>
      </c>
      <c r="O27" s="259">
        <f t="shared" si="4"/>
        <v>165</v>
      </c>
      <c r="P27" s="41" t="s">
        <v>75</v>
      </c>
      <c r="U27" s="459"/>
      <c r="V27" s="159"/>
      <c r="W27" s="587"/>
      <c r="X27" s="51"/>
      <c r="Y27" s="51"/>
      <c r="AE27" s="51"/>
      <c r="AH27" s="410">
        <f t="shared" si="5"/>
        <v>2032</v>
      </c>
      <c r="AI27" s="155">
        <v>608.5</v>
      </c>
      <c r="AJ27" s="8">
        <f t="shared" si="0"/>
        <v>29.945866141732285</v>
      </c>
    </row>
    <row r="28" spans="3:36">
      <c r="C28" s="11">
        <v>24</v>
      </c>
      <c r="D28" s="263">
        <v>40.64</v>
      </c>
      <c r="E28" s="258">
        <f t="shared" si="1"/>
        <v>2032</v>
      </c>
      <c r="F28" s="258">
        <v>1.77</v>
      </c>
      <c r="G28" s="53" t="s">
        <v>165</v>
      </c>
      <c r="H28" s="515">
        <v>39.700000000000003</v>
      </c>
      <c r="I28" s="365">
        <f t="shared" si="2"/>
        <v>1985.0000000000002</v>
      </c>
      <c r="J28" s="52">
        <v>1.84</v>
      </c>
      <c r="K28" s="531">
        <v>31.5</v>
      </c>
      <c r="L28" s="258">
        <f t="shared" si="3"/>
        <v>1575</v>
      </c>
      <c r="M28" s="388" t="s">
        <v>75</v>
      </c>
      <c r="N28" s="532">
        <v>12.17</v>
      </c>
      <c r="O28" s="259">
        <f t="shared" si="4"/>
        <v>608.5</v>
      </c>
      <c r="P28" s="41" t="s">
        <v>75</v>
      </c>
      <c r="U28" s="459"/>
      <c r="V28" s="159"/>
      <c r="W28" s="587"/>
      <c r="X28" s="51"/>
      <c r="Y28" s="51"/>
      <c r="AE28" s="51"/>
      <c r="AH28" s="410">
        <f t="shared" si="5"/>
        <v>1893.4999999999998</v>
      </c>
      <c r="AI28" s="155">
        <v>795.42</v>
      </c>
      <c r="AJ28" s="9">
        <f t="shared" si="0"/>
        <v>42.007921837866384</v>
      </c>
    </row>
    <row r="29" spans="3:36">
      <c r="C29" s="11">
        <v>25</v>
      </c>
      <c r="D29" s="263">
        <v>37.869999999999997</v>
      </c>
      <c r="E29" s="258">
        <f t="shared" si="1"/>
        <v>1893.4999999999998</v>
      </c>
      <c r="F29" s="258">
        <v>1.84</v>
      </c>
      <c r="G29" s="53" t="s">
        <v>166</v>
      </c>
      <c r="H29" s="515">
        <v>40.4</v>
      </c>
      <c r="I29" s="364">
        <f t="shared" si="2"/>
        <v>2020</v>
      </c>
      <c r="J29" s="52">
        <v>1.83</v>
      </c>
      <c r="K29" s="531">
        <v>26.4</v>
      </c>
      <c r="L29" s="258">
        <f t="shared" si="3"/>
        <v>1320</v>
      </c>
      <c r="M29" s="388" t="s">
        <v>75</v>
      </c>
      <c r="N29" s="532">
        <v>15.91</v>
      </c>
      <c r="O29" s="259">
        <f t="shared" si="4"/>
        <v>795.5</v>
      </c>
      <c r="P29" s="41" t="s">
        <v>75</v>
      </c>
      <c r="U29" s="459"/>
      <c r="V29" s="159"/>
      <c r="W29" s="587"/>
      <c r="X29" s="51"/>
      <c r="Y29" s="51"/>
      <c r="AE29" s="51"/>
      <c r="AH29" s="13">
        <f t="shared" si="5"/>
        <v>954.5</v>
      </c>
      <c r="AI29" s="155">
        <v>401.35</v>
      </c>
      <c r="AJ29" s="8">
        <f t="shared" si="0"/>
        <v>42.048192771084345</v>
      </c>
    </row>
    <row r="30" spans="3:36">
      <c r="C30" s="11">
        <v>26</v>
      </c>
      <c r="D30" s="263">
        <v>19.09</v>
      </c>
      <c r="E30" s="258">
        <f t="shared" si="1"/>
        <v>954.5</v>
      </c>
      <c r="F30" s="258">
        <v>1.68</v>
      </c>
      <c r="G30" s="53" t="s">
        <v>170</v>
      </c>
      <c r="H30" s="515">
        <v>18.3</v>
      </c>
      <c r="I30" s="365">
        <f t="shared" si="2"/>
        <v>915</v>
      </c>
      <c r="J30" s="52">
        <v>1.76</v>
      </c>
      <c r="K30" s="531">
        <v>13.3</v>
      </c>
      <c r="L30" s="258">
        <f t="shared" si="3"/>
        <v>665</v>
      </c>
      <c r="M30" s="388" t="s">
        <v>75</v>
      </c>
      <c r="N30" s="532">
        <v>8.0299999999999994</v>
      </c>
      <c r="O30" s="259">
        <f t="shared" si="4"/>
        <v>401.49999999999994</v>
      </c>
      <c r="P30" s="41" t="s">
        <v>75</v>
      </c>
      <c r="U30" s="459"/>
      <c r="V30" s="159"/>
      <c r="W30" s="587"/>
      <c r="X30" s="51"/>
      <c r="Y30" s="51"/>
      <c r="AE30" s="51"/>
      <c r="AH30" s="410">
        <f t="shared" si="5"/>
        <v>1464.5</v>
      </c>
      <c r="AI30" s="155">
        <v>441.39</v>
      </c>
      <c r="AJ30" s="9">
        <f t="shared" si="0"/>
        <v>30.139296688289519</v>
      </c>
    </row>
    <row r="31" spans="3:36">
      <c r="C31" s="11">
        <v>27</v>
      </c>
      <c r="D31" s="263">
        <v>29.29</v>
      </c>
      <c r="E31" s="258">
        <f t="shared" si="1"/>
        <v>1464.5</v>
      </c>
      <c r="F31" s="258">
        <v>1.76</v>
      </c>
      <c r="G31" s="53" t="s">
        <v>167</v>
      </c>
      <c r="H31" s="515">
        <v>29.9</v>
      </c>
      <c r="I31" s="364">
        <f t="shared" si="2"/>
        <v>1495</v>
      </c>
      <c r="J31" s="52">
        <v>1.84</v>
      </c>
      <c r="K31" s="531">
        <v>20.5</v>
      </c>
      <c r="L31" s="258">
        <f t="shared" si="3"/>
        <v>1025</v>
      </c>
      <c r="M31" s="388" t="s">
        <v>75</v>
      </c>
      <c r="N31" s="532">
        <v>8.83</v>
      </c>
      <c r="O31" s="259">
        <f t="shared" si="4"/>
        <v>441.5</v>
      </c>
      <c r="P31" s="41" t="s">
        <v>75</v>
      </c>
      <c r="U31" s="459"/>
      <c r="V31" s="159"/>
      <c r="W31" s="587"/>
      <c r="X31" s="51"/>
      <c r="Y31" s="51"/>
      <c r="AE31" s="51"/>
      <c r="AH31" s="410">
        <f t="shared" si="5"/>
        <v>1966.5</v>
      </c>
      <c r="AI31" s="155">
        <v>633.08000000000004</v>
      </c>
      <c r="AJ31" s="8">
        <f t="shared" si="0"/>
        <v>32.193236714975846</v>
      </c>
    </row>
    <row r="32" spans="3:36">
      <c r="C32" s="11">
        <v>28</v>
      </c>
      <c r="D32" s="263">
        <v>39.33</v>
      </c>
      <c r="E32" s="258">
        <f t="shared" si="1"/>
        <v>1966.5</v>
      </c>
      <c r="F32" s="258">
        <v>1.84</v>
      </c>
      <c r="G32" s="53" t="s">
        <v>168</v>
      </c>
      <c r="H32" s="515">
        <v>42.8</v>
      </c>
      <c r="I32" s="365">
        <f t="shared" si="2"/>
        <v>2140</v>
      </c>
      <c r="J32" s="52">
        <v>1.88</v>
      </c>
      <c r="K32" s="531">
        <v>28.9</v>
      </c>
      <c r="L32" s="258">
        <f t="shared" si="3"/>
        <v>1445</v>
      </c>
      <c r="M32" s="388" t="s">
        <v>75</v>
      </c>
      <c r="N32" s="532">
        <v>12.66</v>
      </c>
      <c r="O32" s="259">
        <f t="shared" si="4"/>
        <v>633</v>
      </c>
      <c r="P32" s="41" t="s">
        <v>75</v>
      </c>
      <c r="U32" s="459"/>
      <c r="V32" s="159"/>
      <c r="W32" s="587"/>
      <c r="X32" s="51"/>
      <c r="Y32" s="51"/>
      <c r="AE32" s="51"/>
      <c r="AH32" s="13">
        <f t="shared" si="5"/>
        <v>2437.5</v>
      </c>
      <c r="AI32" s="155">
        <v>1272.32</v>
      </c>
      <c r="AJ32" s="9">
        <f t="shared" si="0"/>
        <v>52.197743589743581</v>
      </c>
    </row>
    <row r="33" spans="3:36" ht="17" thickBot="1">
      <c r="C33" s="11">
        <v>29</v>
      </c>
      <c r="D33" s="263">
        <v>48.75</v>
      </c>
      <c r="E33" s="258">
        <f t="shared" si="1"/>
        <v>2437.5</v>
      </c>
      <c r="F33" s="258">
        <v>1.88</v>
      </c>
      <c r="G33" s="53" t="s">
        <v>154</v>
      </c>
      <c r="H33" s="515">
        <v>49.8</v>
      </c>
      <c r="I33" s="364">
        <f t="shared" si="2"/>
        <v>2490</v>
      </c>
      <c r="J33" s="52">
        <v>1.86</v>
      </c>
      <c r="K33" s="531">
        <v>36.4</v>
      </c>
      <c r="L33" s="258">
        <f t="shared" si="3"/>
        <v>1820</v>
      </c>
      <c r="M33" s="388" t="s">
        <v>75</v>
      </c>
      <c r="N33" s="532">
        <v>25.45</v>
      </c>
      <c r="O33" s="259">
        <f t="shared" si="4"/>
        <v>1272.5</v>
      </c>
      <c r="P33" s="41" t="s">
        <v>75</v>
      </c>
      <c r="U33" s="459"/>
      <c r="V33" s="159"/>
      <c r="W33" s="587"/>
      <c r="X33" s="51"/>
      <c r="Y33" s="51"/>
      <c r="AE33" s="51"/>
      <c r="AH33" s="450">
        <f t="shared" si="5"/>
        <v>4477</v>
      </c>
      <c r="AI33" s="157">
        <v>2452.17</v>
      </c>
      <c r="AJ33" s="281">
        <f t="shared" si="0"/>
        <v>54.772615590797415</v>
      </c>
    </row>
    <row r="34" spans="3:36" ht="17" thickBot="1">
      <c r="C34" s="12">
        <v>30</v>
      </c>
      <c r="D34" s="264">
        <v>89.54</v>
      </c>
      <c r="E34" s="260">
        <f t="shared" si="1"/>
        <v>4477</v>
      </c>
      <c r="F34" s="260">
        <v>1.84</v>
      </c>
      <c r="G34" s="54" t="s">
        <v>169</v>
      </c>
      <c r="H34" s="516">
        <v>94.8</v>
      </c>
      <c r="I34" s="366">
        <f t="shared" si="2"/>
        <v>4740</v>
      </c>
      <c r="J34" s="261">
        <v>1.85</v>
      </c>
      <c r="K34" s="533">
        <v>76</v>
      </c>
      <c r="L34" s="260">
        <f t="shared" si="3"/>
        <v>3800</v>
      </c>
      <c r="M34" s="389" t="s">
        <v>75</v>
      </c>
      <c r="N34" s="534">
        <v>49.04</v>
      </c>
      <c r="O34" s="535">
        <f t="shared" si="4"/>
        <v>2452</v>
      </c>
      <c r="P34" s="42" t="s">
        <v>75</v>
      </c>
    </row>
    <row r="35" spans="3:36" ht="17" thickBot="1">
      <c r="AD35" s="641"/>
      <c r="AE35" s="641"/>
      <c r="AF35" s="51"/>
      <c r="AH35" s="636" t="s">
        <v>79</v>
      </c>
      <c r="AI35" s="637"/>
      <c r="AJ35" s="282">
        <f>AVERAGE(AJ4:AJ33)</f>
        <v>47.496836045523679</v>
      </c>
    </row>
    <row r="36" spans="3:36" ht="17" thickBot="1">
      <c r="C36" s="121" t="s">
        <v>10</v>
      </c>
      <c r="D36" s="291">
        <f t="shared" ref="D36:L36" si="6">AVERAGE(D5:D34)</f>
        <v>55.012333333333331</v>
      </c>
      <c r="E36" s="274">
        <f t="shared" si="6"/>
        <v>2750.6166666666668</v>
      </c>
      <c r="F36" s="238">
        <f t="shared" si="6"/>
        <v>1.798333333333334</v>
      </c>
      <c r="G36" s="238">
        <f t="shared" si="6"/>
        <v>1.55</v>
      </c>
      <c r="H36" s="237">
        <f t="shared" si="6"/>
        <v>57.95000000000001</v>
      </c>
      <c r="I36" s="274">
        <f t="shared" si="6"/>
        <v>2897.5</v>
      </c>
      <c r="J36" s="238">
        <f t="shared" si="6"/>
        <v>1.8450000000000002</v>
      </c>
      <c r="K36" s="274">
        <f t="shared" si="6"/>
        <v>45.873333333333342</v>
      </c>
      <c r="L36" s="274">
        <f t="shared" si="6"/>
        <v>2293.6666666666665</v>
      </c>
      <c r="M36" s="440" t="s">
        <v>125</v>
      </c>
      <c r="N36" s="274">
        <f t="shared" ref="N36:O36" si="7">AVERAGE(N5:N34)</f>
        <v>27.342999999999996</v>
      </c>
      <c r="O36" s="274">
        <f t="shared" si="7"/>
        <v>1367.15</v>
      </c>
      <c r="P36" s="526" t="s">
        <v>126</v>
      </c>
    </row>
    <row r="37" spans="3:36">
      <c r="G37" s="160"/>
    </row>
    <row r="38" spans="3:36">
      <c r="C38" t="s">
        <v>132</v>
      </c>
    </row>
    <row r="39" spans="3:36" ht="17" thickBot="1">
      <c r="AD39" s="310"/>
    </row>
    <row r="40" spans="3:36" ht="22" thickBot="1">
      <c r="C40" s="638" t="s">
        <v>139</v>
      </c>
      <c r="D40" s="639"/>
      <c r="E40" s="639"/>
      <c r="F40" s="639"/>
      <c r="G40" s="640"/>
      <c r="AD40" s="310"/>
    </row>
    <row r="41" spans="3:36" ht="22" thickBot="1">
      <c r="C41" s="476"/>
      <c r="D41" s="475" t="s">
        <v>77</v>
      </c>
      <c r="E41" s="472" t="s">
        <v>71</v>
      </c>
      <c r="F41" s="472" t="s">
        <v>72</v>
      </c>
      <c r="G41" s="473" t="s">
        <v>73</v>
      </c>
      <c r="AD41" s="310"/>
    </row>
    <row r="42" spans="3:36">
      <c r="C42" s="10">
        <v>1</v>
      </c>
      <c r="D42" s="278">
        <f>D5*50</f>
        <v>3865.5</v>
      </c>
      <c r="E42" s="474">
        <f>H5*50</f>
        <v>4250</v>
      </c>
      <c r="F42" s="541">
        <f>K5*50</f>
        <v>3220.0000000000005</v>
      </c>
      <c r="G42" s="162">
        <f>N5*50</f>
        <v>2818</v>
      </c>
      <c r="AD42" s="310"/>
    </row>
    <row r="43" spans="3:36">
      <c r="C43" s="11">
        <v>2</v>
      </c>
      <c r="D43" s="13">
        <f>D6*50</f>
        <v>4488</v>
      </c>
      <c r="E43" s="258">
        <f>H6*50</f>
        <v>4825</v>
      </c>
      <c r="F43" s="73">
        <f>K6*50</f>
        <v>4100</v>
      </c>
      <c r="G43" s="123">
        <f>N6*50</f>
        <v>2880</v>
      </c>
      <c r="AD43" s="310"/>
    </row>
    <row r="44" spans="3:36">
      <c r="C44" s="11">
        <v>3</v>
      </c>
      <c r="D44" s="410">
        <f>D7*50</f>
        <v>3024.5</v>
      </c>
      <c r="E44" s="258">
        <f>H7*50</f>
        <v>3245.0000000000005</v>
      </c>
      <c r="F44" s="73">
        <f>K7*50</f>
        <v>2080</v>
      </c>
      <c r="G44" s="123">
        <f>N7*50</f>
        <v>1984.5</v>
      </c>
      <c r="AD44" s="310"/>
    </row>
    <row r="45" spans="3:36">
      <c r="C45" s="11">
        <v>4</v>
      </c>
      <c r="D45" s="410">
        <f t="shared" ref="D45:D71" si="8">D8*50</f>
        <v>2467</v>
      </c>
      <c r="E45" s="258">
        <f t="shared" ref="E45:E71" si="9">H8*50</f>
        <v>2650</v>
      </c>
      <c r="F45" s="542">
        <f t="shared" ref="F45:F71" si="10">K8*50</f>
        <v>1930</v>
      </c>
      <c r="G45" s="123">
        <f t="shared" ref="G45:G71" si="11">N8*50</f>
        <v>1453</v>
      </c>
      <c r="AB45" s="159"/>
      <c r="AD45" s="310"/>
    </row>
    <row r="46" spans="3:36">
      <c r="C46" s="11">
        <v>5</v>
      </c>
      <c r="D46" s="13">
        <f t="shared" si="8"/>
        <v>4855</v>
      </c>
      <c r="E46" s="258">
        <f t="shared" si="9"/>
        <v>5180</v>
      </c>
      <c r="F46" s="73">
        <f t="shared" si="10"/>
        <v>4300</v>
      </c>
      <c r="G46" s="123">
        <f t="shared" si="11"/>
        <v>3222.9999999999995</v>
      </c>
      <c r="AB46" s="159"/>
      <c r="AD46" s="310"/>
    </row>
    <row r="47" spans="3:36">
      <c r="C47" s="11">
        <v>6</v>
      </c>
      <c r="D47" s="410">
        <f t="shared" si="8"/>
        <v>2335</v>
      </c>
      <c r="E47" s="258">
        <f t="shared" si="9"/>
        <v>2435</v>
      </c>
      <c r="F47" s="73">
        <f t="shared" si="10"/>
        <v>1714.9999999999998</v>
      </c>
      <c r="G47" s="123">
        <f t="shared" si="11"/>
        <v>774</v>
      </c>
      <c r="AB47" s="159"/>
      <c r="AD47" s="310"/>
    </row>
    <row r="48" spans="3:36">
      <c r="C48" s="11">
        <v>7</v>
      </c>
      <c r="D48" s="410">
        <f t="shared" si="8"/>
        <v>1540</v>
      </c>
      <c r="E48" s="258">
        <f t="shared" si="9"/>
        <v>1610.0000000000002</v>
      </c>
      <c r="F48" s="542">
        <f t="shared" si="10"/>
        <v>1450</v>
      </c>
      <c r="G48" s="123">
        <f t="shared" si="11"/>
        <v>1256.5</v>
      </c>
      <c r="AB48" s="159"/>
      <c r="AD48" s="310"/>
    </row>
    <row r="49" spans="3:30">
      <c r="C49" s="11">
        <v>8</v>
      </c>
      <c r="D49" s="13">
        <f t="shared" si="8"/>
        <v>4800.5</v>
      </c>
      <c r="E49" s="258">
        <f t="shared" si="9"/>
        <v>5115</v>
      </c>
      <c r="F49" s="73">
        <f t="shared" si="10"/>
        <v>4660</v>
      </c>
      <c r="G49" s="123">
        <f t="shared" si="11"/>
        <v>3120</v>
      </c>
      <c r="AB49" s="159"/>
      <c r="AD49" s="310"/>
    </row>
    <row r="50" spans="3:30">
      <c r="C50" s="11">
        <v>9</v>
      </c>
      <c r="D50" s="410">
        <f t="shared" si="8"/>
        <v>3037.5</v>
      </c>
      <c r="E50" s="258">
        <f t="shared" si="9"/>
        <v>3090</v>
      </c>
      <c r="F50" s="73">
        <f t="shared" si="10"/>
        <v>2020</v>
      </c>
      <c r="G50" s="123">
        <f t="shared" si="11"/>
        <v>466.5</v>
      </c>
      <c r="AB50" s="159"/>
      <c r="AD50" s="310"/>
    </row>
    <row r="51" spans="3:30">
      <c r="C51" s="11">
        <v>10</v>
      </c>
      <c r="D51" s="410">
        <f t="shared" si="8"/>
        <v>2600.5</v>
      </c>
      <c r="E51" s="258">
        <f t="shared" si="9"/>
        <v>2775</v>
      </c>
      <c r="F51" s="542">
        <f t="shared" si="10"/>
        <v>2320</v>
      </c>
      <c r="G51" s="123">
        <f t="shared" si="11"/>
        <v>1644.5</v>
      </c>
      <c r="AB51" s="159"/>
      <c r="AD51" s="310"/>
    </row>
    <row r="52" spans="3:30">
      <c r="C52" s="11">
        <v>11</v>
      </c>
      <c r="D52" s="13">
        <f t="shared" si="8"/>
        <v>3150</v>
      </c>
      <c r="E52" s="258">
        <f t="shared" si="9"/>
        <v>3290</v>
      </c>
      <c r="F52" s="73">
        <f t="shared" si="10"/>
        <v>2280</v>
      </c>
      <c r="G52" s="123">
        <f t="shared" si="11"/>
        <v>742</v>
      </c>
      <c r="AB52" s="159"/>
      <c r="AD52" s="310"/>
    </row>
    <row r="53" spans="3:30">
      <c r="C53" s="11">
        <v>12</v>
      </c>
      <c r="D53" s="410">
        <f t="shared" si="8"/>
        <v>1762</v>
      </c>
      <c r="E53" s="258">
        <f t="shared" si="9"/>
        <v>1810.0000000000002</v>
      </c>
      <c r="F53" s="73">
        <f t="shared" si="10"/>
        <v>1420</v>
      </c>
      <c r="G53" s="123">
        <f t="shared" si="11"/>
        <v>1030</v>
      </c>
      <c r="AB53" s="159"/>
      <c r="AD53" s="310"/>
    </row>
    <row r="54" spans="3:30">
      <c r="C54" s="11">
        <v>13</v>
      </c>
      <c r="D54" s="410">
        <f t="shared" si="8"/>
        <v>4036.9999999999995</v>
      </c>
      <c r="E54" s="258">
        <f t="shared" si="9"/>
        <v>4425</v>
      </c>
      <c r="F54" s="542">
        <f t="shared" si="10"/>
        <v>3479.9999999999995</v>
      </c>
      <c r="G54" s="123">
        <f t="shared" si="11"/>
        <v>1610.5</v>
      </c>
      <c r="AB54" s="159"/>
      <c r="AD54" s="310"/>
    </row>
    <row r="55" spans="3:30">
      <c r="C55" s="11">
        <v>14</v>
      </c>
      <c r="D55" s="13">
        <f t="shared" si="8"/>
        <v>877.99999999999989</v>
      </c>
      <c r="E55" s="258">
        <f t="shared" si="9"/>
        <v>894.99999999999989</v>
      </c>
      <c r="F55" s="73">
        <f t="shared" si="10"/>
        <v>740</v>
      </c>
      <c r="G55" s="123">
        <f t="shared" si="11"/>
        <v>482.5</v>
      </c>
      <c r="U55" s="159"/>
      <c r="W55" s="310"/>
    </row>
    <row r="56" spans="3:30">
      <c r="C56" s="11">
        <v>15</v>
      </c>
      <c r="D56" s="410">
        <f t="shared" si="8"/>
        <v>2614</v>
      </c>
      <c r="E56" s="258">
        <f t="shared" si="9"/>
        <v>2875</v>
      </c>
      <c r="F56" s="73">
        <f t="shared" si="10"/>
        <v>2080</v>
      </c>
      <c r="G56" s="123">
        <f t="shared" si="11"/>
        <v>861.99999999999989</v>
      </c>
      <c r="U56" s="159"/>
      <c r="W56" s="310"/>
    </row>
    <row r="57" spans="3:30">
      <c r="C57" s="11">
        <v>16</v>
      </c>
      <c r="D57" s="410">
        <f t="shared" si="8"/>
        <v>4463</v>
      </c>
      <c r="E57" s="258">
        <f t="shared" si="9"/>
        <v>4620</v>
      </c>
      <c r="F57" s="542">
        <f t="shared" si="10"/>
        <v>4240</v>
      </c>
      <c r="G57" s="123">
        <f t="shared" si="11"/>
        <v>2624.5</v>
      </c>
      <c r="U57" s="159"/>
      <c r="W57" s="310"/>
    </row>
    <row r="58" spans="3:30">
      <c r="C58" s="11">
        <v>17</v>
      </c>
      <c r="D58" s="13">
        <f t="shared" si="8"/>
        <v>2361</v>
      </c>
      <c r="E58" s="258">
        <f t="shared" si="9"/>
        <v>2470</v>
      </c>
      <c r="F58" s="73">
        <f t="shared" si="10"/>
        <v>1835.0000000000002</v>
      </c>
      <c r="G58" s="123">
        <f t="shared" si="11"/>
        <v>865.49999999999989</v>
      </c>
      <c r="U58" s="159"/>
      <c r="W58" s="310"/>
    </row>
    <row r="59" spans="3:30">
      <c r="C59" s="11">
        <v>18</v>
      </c>
      <c r="D59" s="410">
        <f t="shared" si="8"/>
        <v>3208.5</v>
      </c>
      <c r="E59" s="258">
        <f t="shared" si="9"/>
        <v>3275</v>
      </c>
      <c r="F59" s="73">
        <f t="shared" si="10"/>
        <v>3180</v>
      </c>
      <c r="G59" s="123">
        <f t="shared" si="11"/>
        <v>1628</v>
      </c>
      <c r="U59" s="159"/>
      <c r="W59" s="310"/>
    </row>
    <row r="60" spans="3:30">
      <c r="C60" s="11">
        <v>19</v>
      </c>
      <c r="D60" s="410">
        <f t="shared" si="8"/>
        <v>2195.5</v>
      </c>
      <c r="E60" s="258">
        <f t="shared" si="9"/>
        <v>2220</v>
      </c>
      <c r="F60" s="542">
        <f t="shared" si="10"/>
        <v>2020</v>
      </c>
      <c r="G60" s="123">
        <f t="shared" si="11"/>
        <v>1281</v>
      </c>
      <c r="U60" s="159"/>
      <c r="W60" s="310"/>
    </row>
    <row r="61" spans="3:30">
      <c r="C61" s="11">
        <v>20</v>
      </c>
      <c r="D61" s="13">
        <f t="shared" si="8"/>
        <v>1349</v>
      </c>
      <c r="E61" s="258">
        <f t="shared" si="9"/>
        <v>1400</v>
      </c>
      <c r="F61" s="73">
        <f t="shared" si="10"/>
        <v>1165</v>
      </c>
      <c r="G61" s="123">
        <f t="shared" si="11"/>
        <v>616.5</v>
      </c>
      <c r="U61" s="159"/>
      <c r="W61" s="310"/>
    </row>
    <row r="62" spans="3:30">
      <c r="C62" s="11">
        <v>21</v>
      </c>
      <c r="D62" s="410">
        <f t="shared" si="8"/>
        <v>2712.5</v>
      </c>
      <c r="E62" s="258">
        <f t="shared" si="9"/>
        <v>2710</v>
      </c>
      <c r="F62" s="73">
        <f t="shared" si="10"/>
        <v>2140</v>
      </c>
      <c r="G62" s="123">
        <f t="shared" si="11"/>
        <v>984</v>
      </c>
      <c r="U62" s="159"/>
      <c r="W62" s="310"/>
    </row>
    <row r="63" spans="3:30">
      <c r="C63" s="11">
        <v>22</v>
      </c>
      <c r="D63" s="410">
        <f t="shared" si="8"/>
        <v>4630</v>
      </c>
      <c r="E63" s="258">
        <f t="shared" si="9"/>
        <v>4995</v>
      </c>
      <c r="F63" s="542">
        <f t="shared" si="10"/>
        <v>4120</v>
      </c>
      <c r="G63" s="123">
        <f t="shared" si="11"/>
        <v>1898.5</v>
      </c>
      <c r="U63" s="159"/>
      <c r="W63" s="310"/>
    </row>
    <row r="64" spans="3:30">
      <c r="C64" s="11">
        <v>23</v>
      </c>
      <c r="D64" s="13">
        <f t="shared" si="8"/>
        <v>919</v>
      </c>
      <c r="E64" s="258">
        <f t="shared" si="9"/>
        <v>980.00000000000011</v>
      </c>
      <c r="F64" s="73">
        <f t="shared" si="10"/>
        <v>665</v>
      </c>
      <c r="G64" s="123">
        <f t="shared" si="11"/>
        <v>165</v>
      </c>
      <c r="U64" s="159"/>
      <c r="W64" s="310"/>
    </row>
    <row r="65" spans="3:23">
      <c r="C65" s="11">
        <v>24</v>
      </c>
      <c r="D65" s="410">
        <f t="shared" si="8"/>
        <v>2032</v>
      </c>
      <c r="E65" s="258">
        <f t="shared" si="9"/>
        <v>1985.0000000000002</v>
      </c>
      <c r="F65" s="73">
        <f t="shared" si="10"/>
        <v>1575</v>
      </c>
      <c r="G65" s="123">
        <f t="shared" si="11"/>
        <v>608.5</v>
      </c>
      <c r="U65" s="159"/>
      <c r="W65" s="310"/>
    </row>
    <row r="66" spans="3:23">
      <c r="C66" s="11">
        <v>25</v>
      </c>
      <c r="D66" s="410">
        <f t="shared" si="8"/>
        <v>1893.4999999999998</v>
      </c>
      <c r="E66" s="258">
        <f t="shared" si="9"/>
        <v>2020</v>
      </c>
      <c r="F66" s="542">
        <f t="shared" si="10"/>
        <v>1320</v>
      </c>
      <c r="G66" s="123">
        <f t="shared" si="11"/>
        <v>795.5</v>
      </c>
      <c r="U66" s="159"/>
      <c r="W66" s="310"/>
    </row>
    <row r="67" spans="3:23">
      <c r="C67" s="11">
        <v>26</v>
      </c>
      <c r="D67" s="13">
        <f t="shared" si="8"/>
        <v>954.5</v>
      </c>
      <c r="E67" s="258">
        <f t="shared" si="9"/>
        <v>915</v>
      </c>
      <c r="F67" s="73">
        <f t="shared" si="10"/>
        <v>665</v>
      </c>
      <c r="G67" s="123">
        <f t="shared" si="11"/>
        <v>401.49999999999994</v>
      </c>
      <c r="U67" s="159"/>
    </row>
    <row r="68" spans="3:23">
      <c r="C68" s="11">
        <v>27</v>
      </c>
      <c r="D68" s="410">
        <f t="shared" si="8"/>
        <v>1464.5</v>
      </c>
      <c r="E68" s="258">
        <f t="shared" si="9"/>
        <v>1495</v>
      </c>
      <c r="F68" s="73">
        <f t="shared" si="10"/>
        <v>1025</v>
      </c>
      <c r="G68" s="123">
        <f t="shared" si="11"/>
        <v>441.5</v>
      </c>
    </row>
    <row r="69" spans="3:23">
      <c r="C69" s="11">
        <v>28</v>
      </c>
      <c r="D69" s="410">
        <f t="shared" si="8"/>
        <v>1966.5</v>
      </c>
      <c r="E69" s="258">
        <f t="shared" si="9"/>
        <v>2140</v>
      </c>
      <c r="F69" s="542">
        <f t="shared" si="10"/>
        <v>1445</v>
      </c>
      <c r="G69" s="123">
        <f t="shared" si="11"/>
        <v>633</v>
      </c>
    </row>
    <row r="70" spans="3:23">
      <c r="C70" s="11">
        <v>29</v>
      </c>
      <c r="D70" s="13">
        <f t="shared" si="8"/>
        <v>2437.5</v>
      </c>
      <c r="E70" s="258">
        <f t="shared" si="9"/>
        <v>2490</v>
      </c>
      <c r="F70" s="73">
        <f t="shared" si="10"/>
        <v>1820</v>
      </c>
      <c r="G70" s="123">
        <f t="shared" si="11"/>
        <v>1272.5</v>
      </c>
    </row>
    <row r="71" spans="3:23" ht="17" thickBot="1">
      <c r="C71" s="12">
        <v>30</v>
      </c>
      <c r="D71" s="450">
        <f t="shared" si="8"/>
        <v>4477</v>
      </c>
      <c r="E71" s="260">
        <f t="shared" si="9"/>
        <v>4740</v>
      </c>
      <c r="F71" s="74">
        <f t="shared" si="10"/>
        <v>3800</v>
      </c>
      <c r="G71" s="163">
        <f t="shared" si="11"/>
        <v>2452</v>
      </c>
    </row>
  </sheetData>
  <mergeCells count="9">
    <mergeCell ref="AH2:AJ2"/>
    <mergeCell ref="AH35:AI35"/>
    <mergeCell ref="C40:G40"/>
    <mergeCell ref="C2:P2"/>
    <mergeCell ref="D3:F3"/>
    <mergeCell ref="H3:J3"/>
    <mergeCell ref="K3:M3"/>
    <mergeCell ref="N3:P3"/>
    <mergeCell ref="AD35:AE3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CBE13-0192-DC4C-9AFA-679FB34CB694}">
  <dimension ref="B2:AE75"/>
  <sheetViews>
    <sheetView zoomScale="31" workbookViewId="0">
      <selection activeCell="V26" sqref="V26"/>
    </sheetView>
  </sheetViews>
  <sheetFormatPr baseColWidth="10" defaultRowHeight="16"/>
  <cols>
    <col min="2" max="2" width="16" customWidth="1"/>
    <col min="3" max="3" width="22.5" bestFit="1" customWidth="1"/>
    <col min="4" max="4" width="21.6640625" bestFit="1" customWidth="1"/>
    <col min="5" max="5" width="14.6640625" bestFit="1" customWidth="1"/>
    <col min="6" max="6" width="22.5" bestFit="1" customWidth="1"/>
    <col min="7" max="7" width="21.6640625" bestFit="1" customWidth="1"/>
    <col min="8" max="8" width="14.6640625" bestFit="1" customWidth="1"/>
    <col min="9" max="9" width="22.5" bestFit="1" customWidth="1"/>
    <col min="10" max="10" width="21.6640625" bestFit="1" customWidth="1"/>
    <col min="11" max="11" width="14.6640625" bestFit="1" customWidth="1"/>
    <col min="12" max="12" width="22.5" bestFit="1" customWidth="1"/>
    <col min="13" max="13" width="21.6640625" bestFit="1" customWidth="1"/>
    <col min="14" max="14" width="15.5" customWidth="1"/>
    <col min="22" max="22" width="31.6640625" bestFit="1" customWidth="1"/>
    <col min="23" max="23" width="14.6640625" bestFit="1" customWidth="1"/>
    <col min="28" max="28" width="33.5" bestFit="1" customWidth="1"/>
    <col min="29" max="29" width="27" bestFit="1" customWidth="1"/>
    <col min="30" max="30" width="26.1640625" bestFit="1" customWidth="1"/>
    <col min="31" max="31" width="14.6640625" bestFit="1" customWidth="1"/>
  </cols>
  <sheetData>
    <row r="2" spans="2:31" ht="17" thickBot="1"/>
    <row r="3" spans="2:31" ht="25" thickBot="1">
      <c r="B3" s="611" t="s">
        <v>1</v>
      </c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3"/>
      <c r="O3" s="69"/>
      <c r="Q3" s="158"/>
      <c r="R3" s="158"/>
      <c r="T3" s="68"/>
      <c r="U3" s="68"/>
      <c r="V3" s="68"/>
      <c r="W3" s="68"/>
      <c r="AB3" s="628" t="s">
        <v>76</v>
      </c>
      <c r="AC3" s="627"/>
      <c r="AD3" s="642"/>
      <c r="AE3" s="68"/>
    </row>
    <row r="4" spans="2:31" ht="22" thickBot="1">
      <c r="B4" s="36"/>
      <c r="C4" s="646" t="s">
        <v>70</v>
      </c>
      <c r="D4" s="647"/>
      <c r="E4" s="648"/>
      <c r="F4" s="627" t="s">
        <v>71</v>
      </c>
      <c r="G4" s="627"/>
      <c r="H4" s="627"/>
      <c r="I4" s="628" t="s">
        <v>72</v>
      </c>
      <c r="J4" s="627"/>
      <c r="K4" s="627"/>
      <c r="L4" s="629" t="s">
        <v>73</v>
      </c>
      <c r="M4" s="627"/>
      <c r="N4" s="630"/>
      <c r="O4" s="61"/>
      <c r="Q4" s="405"/>
      <c r="R4" s="405"/>
      <c r="T4" s="61"/>
      <c r="U4" s="61"/>
      <c r="V4" s="588"/>
      <c r="W4" s="61"/>
      <c r="AB4" s="43" t="s">
        <v>129</v>
      </c>
      <c r="AC4" s="367" t="s">
        <v>130</v>
      </c>
      <c r="AD4" s="454" t="s">
        <v>78</v>
      </c>
    </row>
    <row r="5" spans="2:31" ht="20" thickBot="1">
      <c r="B5" s="266"/>
      <c r="C5" s="460" t="s">
        <v>128</v>
      </c>
      <c r="D5" s="461" t="s">
        <v>127</v>
      </c>
      <c r="E5" s="462" t="s">
        <v>74</v>
      </c>
      <c r="F5" s="460" t="s">
        <v>128</v>
      </c>
      <c r="G5" s="461" t="s">
        <v>127</v>
      </c>
      <c r="H5" s="462" t="s">
        <v>74</v>
      </c>
      <c r="I5" s="460" t="s">
        <v>128</v>
      </c>
      <c r="J5" s="461" t="s">
        <v>127</v>
      </c>
      <c r="K5" s="462" t="s">
        <v>74</v>
      </c>
      <c r="L5" s="460" t="s">
        <v>128</v>
      </c>
      <c r="M5" s="461" t="s">
        <v>127</v>
      </c>
      <c r="N5" s="465" t="s">
        <v>74</v>
      </c>
      <c r="O5" s="64"/>
      <c r="Q5" s="159"/>
      <c r="R5" s="310"/>
      <c r="U5" s="51"/>
      <c r="V5" s="63"/>
      <c r="AB5" s="177">
        <f>C6*50</f>
        <v>1586.5</v>
      </c>
      <c r="AC5" s="451">
        <v>784.12</v>
      </c>
      <c r="AD5" s="175">
        <f>(AC5/AB5)*100</f>
        <v>49.424519382288054</v>
      </c>
    </row>
    <row r="6" spans="2:31">
      <c r="B6" s="27">
        <v>1</v>
      </c>
      <c r="C6" s="20">
        <v>31.73</v>
      </c>
      <c r="D6" s="326">
        <f>C6*50</f>
        <v>1586.5</v>
      </c>
      <c r="E6" s="19">
        <v>1.87</v>
      </c>
      <c r="F6" s="34">
        <v>28.2</v>
      </c>
      <c r="G6" s="368">
        <f>F6*50</f>
        <v>1410</v>
      </c>
      <c r="H6" s="35">
        <v>1.87</v>
      </c>
      <c r="I6" s="20">
        <v>20.399999999999999</v>
      </c>
      <c r="J6" s="371">
        <f>I6*50</f>
        <v>1019.9999999999999</v>
      </c>
      <c r="K6" s="315" t="s">
        <v>75</v>
      </c>
      <c r="L6" s="320">
        <v>15.68</v>
      </c>
      <c r="M6" s="373">
        <f>L6*50</f>
        <v>784</v>
      </c>
      <c r="N6" s="24" t="s">
        <v>75</v>
      </c>
      <c r="O6" s="64"/>
      <c r="Q6" s="159"/>
      <c r="R6" s="310"/>
      <c r="U6" s="51"/>
      <c r="V6" s="63"/>
      <c r="AB6" s="176">
        <f>C7*50</f>
        <v>769.5</v>
      </c>
      <c r="AC6" s="452">
        <v>489.52</v>
      </c>
      <c r="AD6" s="176">
        <f>(AC6/AB6)*100</f>
        <v>63.615334632878493</v>
      </c>
    </row>
    <row r="7" spans="2:31">
      <c r="B7" s="27">
        <v>2</v>
      </c>
      <c r="C7" s="17">
        <v>15.39</v>
      </c>
      <c r="D7" s="327">
        <f>C7*50</f>
        <v>769.5</v>
      </c>
      <c r="E7" s="16">
        <v>2.1800000000000002</v>
      </c>
      <c r="F7" s="30">
        <v>15.7</v>
      </c>
      <c r="G7" s="369">
        <f>F7*50</f>
        <v>785</v>
      </c>
      <c r="H7" s="32">
        <v>1.85</v>
      </c>
      <c r="I7" s="17">
        <v>12.3</v>
      </c>
      <c r="J7" s="372">
        <f>I7*50</f>
        <v>615</v>
      </c>
      <c r="K7" s="316" t="s">
        <v>75</v>
      </c>
      <c r="L7" s="318">
        <v>9.7899999999999991</v>
      </c>
      <c r="M7" s="374">
        <f>L7*50</f>
        <v>489.49999999999994</v>
      </c>
      <c r="N7" s="25" t="s">
        <v>75</v>
      </c>
      <c r="O7" s="64"/>
      <c r="Q7" s="159"/>
      <c r="R7" s="310"/>
      <c r="U7" s="51"/>
      <c r="V7" s="63"/>
      <c r="AB7" s="176">
        <f>C8*50</f>
        <v>1017.5000000000001</v>
      </c>
      <c r="AC7" s="452">
        <v>521.92999999999995</v>
      </c>
      <c r="AD7" s="176">
        <f t="shared" ref="AD7:AD34" si="0">(AC7/AB7)*100</f>
        <v>51.295331695331683</v>
      </c>
    </row>
    <row r="8" spans="2:31">
      <c r="B8" s="27">
        <v>3</v>
      </c>
      <c r="C8" s="17">
        <v>20.350000000000001</v>
      </c>
      <c r="D8" s="327">
        <f t="shared" ref="D8:D35" si="1">C8*50</f>
        <v>1017.5000000000001</v>
      </c>
      <c r="E8" s="16">
        <v>1.92</v>
      </c>
      <c r="F8" s="30">
        <v>16.3</v>
      </c>
      <c r="G8" s="368">
        <f t="shared" ref="G8:G35" si="2">F8*50</f>
        <v>815</v>
      </c>
      <c r="H8" s="32">
        <v>1.75</v>
      </c>
      <c r="I8" s="17">
        <v>11.3</v>
      </c>
      <c r="J8" s="372">
        <f>I8*50</f>
        <v>565</v>
      </c>
      <c r="K8" s="316" t="s">
        <v>75</v>
      </c>
      <c r="L8" s="318">
        <v>10.44</v>
      </c>
      <c r="M8" s="373">
        <f t="shared" ref="M8:M35" si="3">L8*50</f>
        <v>522</v>
      </c>
      <c r="N8" s="25" t="s">
        <v>75</v>
      </c>
      <c r="O8" s="64"/>
      <c r="Q8" s="159"/>
      <c r="R8" s="310"/>
      <c r="U8" s="51"/>
      <c r="V8" s="63"/>
      <c r="AB8" s="177">
        <f t="shared" ref="AB8:AB34" si="4">C9*50</f>
        <v>1509.5</v>
      </c>
      <c r="AC8" s="452">
        <v>903.44</v>
      </c>
      <c r="AD8" s="176">
        <f t="shared" si="0"/>
        <v>59.850281550182181</v>
      </c>
    </row>
    <row r="9" spans="2:31">
      <c r="B9" s="27">
        <v>4</v>
      </c>
      <c r="C9" s="17">
        <v>30.19</v>
      </c>
      <c r="D9" s="327">
        <f t="shared" si="1"/>
        <v>1509.5</v>
      </c>
      <c r="E9" s="16">
        <v>1.92</v>
      </c>
      <c r="F9" s="30">
        <v>32.200000000000003</v>
      </c>
      <c r="G9" s="369">
        <f t="shared" si="2"/>
        <v>1610.0000000000002</v>
      </c>
      <c r="H9" s="32">
        <v>1.85</v>
      </c>
      <c r="I9" s="17">
        <v>19.3</v>
      </c>
      <c r="J9" s="371">
        <f t="shared" ref="J9:J34" si="5">I9*50</f>
        <v>965</v>
      </c>
      <c r="K9" s="316" t="s">
        <v>75</v>
      </c>
      <c r="L9" s="318">
        <v>18.07</v>
      </c>
      <c r="M9" s="374">
        <f t="shared" si="3"/>
        <v>903.5</v>
      </c>
      <c r="N9" s="25" t="s">
        <v>75</v>
      </c>
      <c r="O9" s="64"/>
      <c r="Q9" s="159"/>
      <c r="R9" s="310"/>
      <c r="U9" s="51"/>
      <c r="V9" s="63"/>
      <c r="AB9" s="176">
        <f t="shared" si="4"/>
        <v>1849.5</v>
      </c>
      <c r="AC9" s="452">
        <v>1031.18</v>
      </c>
      <c r="AD9" s="176">
        <f t="shared" si="0"/>
        <v>55.754528250878622</v>
      </c>
    </row>
    <row r="10" spans="2:31">
      <c r="B10" s="27">
        <v>5</v>
      </c>
      <c r="C10" s="17">
        <v>36.99</v>
      </c>
      <c r="D10" s="327">
        <f t="shared" si="1"/>
        <v>1849.5</v>
      </c>
      <c r="E10" s="16">
        <v>1.93</v>
      </c>
      <c r="F10" s="30">
        <v>38.4</v>
      </c>
      <c r="G10" s="368">
        <f t="shared" si="2"/>
        <v>1920</v>
      </c>
      <c r="H10" s="32">
        <v>1.85</v>
      </c>
      <c r="I10" s="17">
        <v>25.3</v>
      </c>
      <c r="J10" s="372">
        <f t="shared" si="5"/>
        <v>1265</v>
      </c>
      <c r="K10" s="316" t="s">
        <v>75</v>
      </c>
      <c r="L10" s="318">
        <v>20.260000000000002</v>
      </c>
      <c r="M10" s="373">
        <f t="shared" si="3"/>
        <v>1013.0000000000001</v>
      </c>
      <c r="N10" s="25" t="s">
        <v>75</v>
      </c>
      <c r="O10" s="64"/>
      <c r="Q10" s="159"/>
      <c r="R10" s="310"/>
      <c r="U10" s="51"/>
      <c r="V10" s="63"/>
      <c r="AB10" s="176">
        <f t="shared" si="4"/>
        <v>1337</v>
      </c>
      <c r="AC10" s="452">
        <v>671.54</v>
      </c>
      <c r="AD10" s="176">
        <f t="shared" si="0"/>
        <v>50.227374719521315</v>
      </c>
    </row>
    <row r="11" spans="2:31">
      <c r="B11" s="27">
        <v>6</v>
      </c>
      <c r="C11" s="17">
        <v>26.74</v>
      </c>
      <c r="D11" s="327">
        <f t="shared" si="1"/>
        <v>1337</v>
      </c>
      <c r="E11" s="22">
        <v>2</v>
      </c>
      <c r="F11" s="30">
        <v>27.2</v>
      </c>
      <c r="G11" s="369">
        <f t="shared" si="2"/>
        <v>1360</v>
      </c>
      <c r="H11" s="32">
        <v>1.86</v>
      </c>
      <c r="I11" s="17">
        <v>18</v>
      </c>
      <c r="J11" s="372">
        <f t="shared" si="5"/>
        <v>900</v>
      </c>
      <c r="K11" s="316" t="s">
        <v>75</v>
      </c>
      <c r="L11" s="318">
        <v>13.43</v>
      </c>
      <c r="M11" s="374">
        <f t="shared" si="3"/>
        <v>671.5</v>
      </c>
      <c r="N11" s="25" t="s">
        <v>75</v>
      </c>
      <c r="O11" s="64"/>
      <c r="Q11" s="159"/>
      <c r="R11" s="310"/>
      <c r="U11" s="51"/>
      <c r="V11" s="63"/>
      <c r="AB11" s="177">
        <f t="shared" si="4"/>
        <v>1051.5</v>
      </c>
      <c r="AC11" s="452">
        <v>498.87</v>
      </c>
      <c r="AD11" s="176">
        <f t="shared" si="0"/>
        <v>47.443651925820255</v>
      </c>
    </row>
    <row r="12" spans="2:31">
      <c r="B12" s="27">
        <v>7</v>
      </c>
      <c r="C12" s="17">
        <v>21.03</v>
      </c>
      <c r="D12" s="327">
        <f t="shared" si="1"/>
        <v>1051.5</v>
      </c>
      <c r="E12" s="16">
        <v>1.89</v>
      </c>
      <c r="F12" s="30">
        <v>17.399999999999999</v>
      </c>
      <c r="G12" s="368">
        <f t="shared" si="2"/>
        <v>869.99999999999989</v>
      </c>
      <c r="H12" s="32">
        <v>1.85</v>
      </c>
      <c r="I12" s="17">
        <v>12.3</v>
      </c>
      <c r="J12" s="371">
        <f t="shared" si="5"/>
        <v>615</v>
      </c>
      <c r="K12" s="316" t="s">
        <v>75</v>
      </c>
      <c r="L12" s="318">
        <v>9.98</v>
      </c>
      <c r="M12" s="373">
        <f t="shared" si="3"/>
        <v>499</v>
      </c>
      <c r="N12" s="25" t="s">
        <v>75</v>
      </c>
      <c r="O12" s="64"/>
      <c r="Q12" s="159"/>
      <c r="R12" s="310"/>
      <c r="U12" s="51"/>
      <c r="V12" s="63"/>
      <c r="AB12" s="176">
        <f t="shared" si="4"/>
        <v>2715.5</v>
      </c>
      <c r="AC12" s="452">
        <v>1768.36</v>
      </c>
      <c r="AD12" s="176">
        <f t="shared" si="0"/>
        <v>65.120972196648864</v>
      </c>
    </row>
    <row r="13" spans="2:31">
      <c r="B13" s="27">
        <v>8</v>
      </c>
      <c r="C13" s="17">
        <v>54.31</v>
      </c>
      <c r="D13" s="327">
        <f t="shared" si="1"/>
        <v>2715.5</v>
      </c>
      <c r="E13" s="16">
        <v>1.88</v>
      </c>
      <c r="F13" s="30">
        <v>50.2</v>
      </c>
      <c r="G13" s="369">
        <f t="shared" si="2"/>
        <v>2510</v>
      </c>
      <c r="H13" s="32">
        <v>1.88</v>
      </c>
      <c r="I13" s="17">
        <v>36.6</v>
      </c>
      <c r="J13" s="372">
        <f t="shared" si="5"/>
        <v>1830</v>
      </c>
      <c r="K13" s="316" t="s">
        <v>75</v>
      </c>
      <c r="L13" s="318">
        <v>35.369999999999997</v>
      </c>
      <c r="M13" s="374">
        <f t="shared" si="3"/>
        <v>1768.4999999999998</v>
      </c>
      <c r="N13" s="25" t="s">
        <v>75</v>
      </c>
      <c r="O13" s="64"/>
      <c r="Q13" s="159"/>
      <c r="R13" s="310"/>
      <c r="U13" s="51"/>
      <c r="V13" s="63"/>
      <c r="AB13" s="176">
        <f t="shared" si="4"/>
        <v>4145.5</v>
      </c>
      <c r="AC13" s="452">
        <v>2033.45</v>
      </c>
      <c r="AD13" s="176">
        <f t="shared" si="0"/>
        <v>49.051984079121944</v>
      </c>
    </row>
    <row r="14" spans="2:31">
      <c r="B14" s="27">
        <v>9</v>
      </c>
      <c r="C14" s="17">
        <v>82.91</v>
      </c>
      <c r="D14" s="327">
        <f t="shared" si="1"/>
        <v>4145.5</v>
      </c>
      <c r="E14" s="16">
        <v>1.89</v>
      </c>
      <c r="F14" s="30">
        <v>84.2</v>
      </c>
      <c r="G14" s="368">
        <f t="shared" si="2"/>
        <v>4210</v>
      </c>
      <c r="H14" s="32">
        <v>1.86</v>
      </c>
      <c r="I14" s="17">
        <v>69.599999999999994</v>
      </c>
      <c r="J14" s="372">
        <f t="shared" si="5"/>
        <v>3479.9999999999995</v>
      </c>
      <c r="K14" s="316" t="s">
        <v>75</v>
      </c>
      <c r="L14" s="318">
        <v>40.67</v>
      </c>
      <c r="M14" s="373">
        <f t="shared" si="3"/>
        <v>2033.5</v>
      </c>
      <c r="N14" s="25" t="s">
        <v>75</v>
      </c>
      <c r="O14" s="64"/>
      <c r="Q14" s="159"/>
      <c r="R14" s="310"/>
      <c r="U14" s="51"/>
      <c r="V14" s="63"/>
      <c r="AB14" s="177">
        <f t="shared" si="4"/>
        <v>793</v>
      </c>
      <c r="AC14" s="452">
        <v>401.57</v>
      </c>
      <c r="AD14" s="176">
        <f t="shared" si="0"/>
        <v>50.639344262295083</v>
      </c>
    </row>
    <row r="15" spans="2:31">
      <c r="B15" s="27">
        <v>10</v>
      </c>
      <c r="C15" s="17">
        <v>15.86</v>
      </c>
      <c r="D15" s="327">
        <f t="shared" si="1"/>
        <v>793</v>
      </c>
      <c r="E15" s="16">
        <v>2.11</v>
      </c>
      <c r="F15" s="30">
        <v>16.7</v>
      </c>
      <c r="G15" s="369">
        <f t="shared" si="2"/>
        <v>835</v>
      </c>
      <c r="H15" s="32">
        <v>1.88</v>
      </c>
      <c r="I15" s="17">
        <v>10.8</v>
      </c>
      <c r="J15" s="371">
        <f t="shared" si="5"/>
        <v>540</v>
      </c>
      <c r="K15" s="316" t="s">
        <v>75</v>
      </c>
      <c r="L15" s="318">
        <v>8.0299999999999994</v>
      </c>
      <c r="M15" s="374">
        <f t="shared" si="3"/>
        <v>401.49999999999994</v>
      </c>
      <c r="N15" s="25" t="s">
        <v>75</v>
      </c>
      <c r="O15" s="64"/>
      <c r="Q15" s="159"/>
      <c r="R15" s="310"/>
      <c r="U15" s="51"/>
      <c r="V15" s="63"/>
      <c r="AB15" s="176">
        <f t="shared" si="4"/>
        <v>2911.5</v>
      </c>
      <c r="AC15" s="452">
        <v>1614.14</v>
      </c>
      <c r="AD15" s="176">
        <f t="shared" si="0"/>
        <v>55.440151124849734</v>
      </c>
    </row>
    <row r="16" spans="2:31">
      <c r="B16" s="27">
        <v>11</v>
      </c>
      <c r="C16" s="17">
        <v>58.23</v>
      </c>
      <c r="D16" s="327">
        <f t="shared" si="1"/>
        <v>2911.5</v>
      </c>
      <c r="E16" s="16">
        <v>1.86</v>
      </c>
      <c r="F16" s="30">
        <v>59.7</v>
      </c>
      <c r="G16" s="368">
        <f t="shared" si="2"/>
        <v>2985</v>
      </c>
      <c r="H16" s="32">
        <v>1.84</v>
      </c>
      <c r="I16" s="17">
        <v>67</v>
      </c>
      <c r="J16" s="372">
        <f t="shared" si="5"/>
        <v>3350</v>
      </c>
      <c r="K16" s="316" t="s">
        <v>75</v>
      </c>
      <c r="L16" s="318">
        <v>32.28</v>
      </c>
      <c r="M16" s="373">
        <f t="shared" si="3"/>
        <v>1614</v>
      </c>
      <c r="N16" s="25" t="s">
        <v>75</v>
      </c>
      <c r="O16" s="64"/>
      <c r="Q16" s="159"/>
      <c r="R16" s="310"/>
      <c r="U16" s="51"/>
      <c r="V16" s="63"/>
      <c r="AB16" s="176">
        <f t="shared" si="4"/>
        <v>724.5</v>
      </c>
      <c r="AC16" s="452">
        <v>395.09</v>
      </c>
      <c r="AD16" s="176">
        <f t="shared" si="0"/>
        <v>54.5327812284334</v>
      </c>
    </row>
    <row r="17" spans="2:30">
      <c r="B17" s="27">
        <v>12</v>
      </c>
      <c r="C17" s="17">
        <v>14.49</v>
      </c>
      <c r="D17" s="327">
        <f t="shared" si="1"/>
        <v>724.5</v>
      </c>
      <c r="E17" s="16">
        <v>1.79</v>
      </c>
      <c r="F17" s="30">
        <v>14.5</v>
      </c>
      <c r="G17" s="369">
        <f t="shared" si="2"/>
        <v>725</v>
      </c>
      <c r="H17" s="32">
        <v>1.83</v>
      </c>
      <c r="I17" s="17">
        <v>11.9</v>
      </c>
      <c r="J17" s="372">
        <f t="shared" si="5"/>
        <v>595</v>
      </c>
      <c r="K17" s="316" t="s">
        <v>75</v>
      </c>
      <c r="L17" s="318">
        <v>7.9</v>
      </c>
      <c r="M17" s="374">
        <f t="shared" si="3"/>
        <v>395</v>
      </c>
      <c r="N17" s="25" t="s">
        <v>75</v>
      </c>
      <c r="O17" s="64"/>
      <c r="Q17" s="159"/>
      <c r="R17" s="310"/>
      <c r="U17" s="51"/>
      <c r="V17" s="63"/>
      <c r="AB17" s="177">
        <f t="shared" si="4"/>
        <v>1813</v>
      </c>
      <c r="AC17" s="452">
        <v>1069.43</v>
      </c>
      <c r="AD17" s="176">
        <f t="shared" si="0"/>
        <v>58.986762272476568</v>
      </c>
    </row>
    <row r="18" spans="2:30">
      <c r="B18" s="27">
        <v>13</v>
      </c>
      <c r="C18" s="17">
        <v>36.26</v>
      </c>
      <c r="D18" s="327">
        <f t="shared" si="1"/>
        <v>1813</v>
      </c>
      <c r="E18" s="16">
        <v>1.82</v>
      </c>
      <c r="F18" s="30">
        <v>35.6</v>
      </c>
      <c r="G18" s="368">
        <f t="shared" si="2"/>
        <v>1780</v>
      </c>
      <c r="H18" s="32">
        <v>1.84</v>
      </c>
      <c r="I18" s="17">
        <v>41.4</v>
      </c>
      <c r="J18" s="371">
        <f t="shared" si="5"/>
        <v>2070</v>
      </c>
      <c r="K18" s="316" t="s">
        <v>75</v>
      </c>
      <c r="L18" s="318">
        <v>21.39</v>
      </c>
      <c r="M18" s="373">
        <f t="shared" si="3"/>
        <v>1069.5</v>
      </c>
      <c r="N18" s="25" t="s">
        <v>75</v>
      </c>
      <c r="O18" s="64"/>
      <c r="Q18" s="159"/>
      <c r="R18" s="310"/>
      <c r="U18" s="51"/>
      <c r="V18" s="63"/>
      <c r="AB18" s="176">
        <f t="shared" si="4"/>
        <v>961.5</v>
      </c>
      <c r="AC18" s="452">
        <v>320.66000000000003</v>
      </c>
      <c r="AD18" s="176">
        <f t="shared" si="0"/>
        <v>33.34997399895996</v>
      </c>
    </row>
    <row r="19" spans="2:30">
      <c r="B19" s="27">
        <v>14</v>
      </c>
      <c r="C19" s="17">
        <v>19.23</v>
      </c>
      <c r="D19" s="327">
        <f t="shared" si="1"/>
        <v>961.5</v>
      </c>
      <c r="E19" s="16">
        <v>1.92</v>
      </c>
      <c r="F19" s="30">
        <v>18.5</v>
      </c>
      <c r="G19" s="369">
        <f t="shared" si="2"/>
        <v>925</v>
      </c>
      <c r="H19" s="32">
        <v>1.94</v>
      </c>
      <c r="I19" s="17">
        <v>11.1</v>
      </c>
      <c r="J19" s="372">
        <f t="shared" si="5"/>
        <v>555</v>
      </c>
      <c r="K19" s="316" t="s">
        <v>75</v>
      </c>
      <c r="L19" s="318">
        <v>6.41</v>
      </c>
      <c r="M19" s="374">
        <f t="shared" si="3"/>
        <v>320.5</v>
      </c>
      <c r="N19" s="25" t="s">
        <v>75</v>
      </c>
      <c r="O19" s="64"/>
      <c r="Q19" s="159"/>
      <c r="R19" s="310"/>
      <c r="U19" s="51"/>
      <c r="V19" s="63"/>
      <c r="AB19" s="176">
        <f t="shared" si="4"/>
        <v>1462</v>
      </c>
      <c r="AC19" s="452">
        <v>798.05</v>
      </c>
      <c r="AD19" s="176">
        <f t="shared" si="0"/>
        <v>54.586183310533507</v>
      </c>
    </row>
    <row r="20" spans="2:30">
      <c r="B20" s="27">
        <v>15</v>
      </c>
      <c r="C20" s="17">
        <v>29.24</v>
      </c>
      <c r="D20" s="327">
        <f t="shared" si="1"/>
        <v>1462</v>
      </c>
      <c r="E20" s="16">
        <v>1.85</v>
      </c>
      <c r="F20" s="30">
        <v>29.3</v>
      </c>
      <c r="G20" s="368">
        <f t="shared" si="2"/>
        <v>1465</v>
      </c>
      <c r="H20" s="32">
        <v>1.82</v>
      </c>
      <c r="I20" s="17">
        <v>25.7</v>
      </c>
      <c r="J20" s="372">
        <f t="shared" si="5"/>
        <v>1285</v>
      </c>
      <c r="K20" s="316" t="s">
        <v>75</v>
      </c>
      <c r="L20" s="318">
        <v>15.96</v>
      </c>
      <c r="M20" s="373">
        <f t="shared" si="3"/>
        <v>798</v>
      </c>
      <c r="N20" s="25" t="s">
        <v>75</v>
      </c>
      <c r="O20" s="64"/>
      <c r="Q20" s="159"/>
      <c r="R20" s="310"/>
      <c r="U20" s="51"/>
      <c r="V20" s="63"/>
      <c r="AB20" s="177">
        <f t="shared" si="4"/>
        <v>1532</v>
      </c>
      <c r="AC20" s="452">
        <v>829.8</v>
      </c>
      <c r="AD20" s="176">
        <f t="shared" si="0"/>
        <v>54.164490861618795</v>
      </c>
    </row>
    <row r="21" spans="2:30">
      <c r="B21" s="27">
        <v>16</v>
      </c>
      <c r="C21" s="17">
        <v>30.64</v>
      </c>
      <c r="D21" s="327">
        <f t="shared" si="1"/>
        <v>1532</v>
      </c>
      <c r="E21" s="16">
        <v>1.84</v>
      </c>
      <c r="F21" s="30">
        <v>29.4</v>
      </c>
      <c r="G21" s="369">
        <f t="shared" si="2"/>
        <v>1470</v>
      </c>
      <c r="H21" s="32">
        <v>1.83</v>
      </c>
      <c r="I21" s="17">
        <v>30.9</v>
      </c>
      <c r="J21" s="371">
        <f t="shared" si="5"/>
        <v>1545</v>
      </c>
      <c r="K21" s="316" t="s">
        <v>75</v>
      </c>
      <c r="L21" s="318">
        <v>16.600000000000001</v>
      </c>
      <c r="M21" s="374">
        <f t="shared" si="3"/>
        <v>830.00000000000011</v>
      </c>
      <c r="N21" s="25" t="s">
        <v>75</v>
      </c>
      <c r="O21" s="64"/>
      <c r="Q21" s="159"/>
      <c r="R21" s="310"/>
      <c r="U21" s="51"/>
      <c r="V21" s="63"/>
      <c r="AB21" s="176">
        <f t="shared" si="4"/>
        <v>1575</v>
      </c>
      <c r="AC21" s="452">
        <v>1026.6600000000001</v>
      </c>
      <c r="AD21" s="176">
        <f t="shared" si="0"/>
        <v>65.184761904761913</v>
      </c>
    </row>
    <row r="22" spans="2:30">
      <c r="B22" s="27">
        <v>17</v>
      </c>
      <c r="C22" s="17">
        <v>31.5</v>
      </c>
      <c r="D22" s="327">
        <f t="shared" si="1"/>
        <v>1575</v>
      </c>
      <c r="E22" s="22">
        <v>1.9</v>
      </c>
      <c r="F22" s="30">
        <v>29.6</v>
      </c>
      <c r="G22" s="368">
        <f t="shared" si="2"/>
        <v>1480</v>
      </c>
      <c r="H22" s="32">
        <v>1.89</v>
      </c>
      <c r="I22" s="17">
        <v>31.2</v>
      </c>
      <c r="J22" s="372">
        <f t="shared" si="5"/>
        <v>1560</v>
      </c>
      <c r="K22" s="316" t="s">
        <v>75</v>
      </c>
      <c r="L22" s="318">
        <v>20.53</v>
      </c>
      <c r="M22" s="373">
        <f t="shared" si="3"/>
        <v>1026.5</v>
      </c>
      <c r="N22" s="25" t="s">
        <v>75</v>
      </c>
      <c r="O22" s="64"/>
      <c r="Q22" s="159"/>
      <c r="R22" s="310"/>
      <c r="U22" s="51"/>
      <c r="V22" s="63"/>
      <c r="AB22" s="176">
        <f t="shared" si="4"/>
        <v>1977</v>
      </c>
      <c r="AC22" s="452">
        <v>1518.7</v>
      </c>
      <c r="AD22" s="176">
        <f t="shared" si="0"/>
        <v>76.818411734951951</v>
      </c>
    </row>
    <row r="23" spans="2:30">
      <c r="B23" s="27">
        <v>18</v>
      </c>
      <c r="C23" s="17">
        <v>39.54</v>
      </c>
      <c r="D23" s="327">
        <f t="shared" si="1"/>
        <v>1977</v>
      </c>
      <c r="E23" s="16">
        <v>1.84</v>
      </c>
      <c r="F23" s="30">
        <v>40.9</v>
      </c>
      <c r="G23" s="369">
        <f t="shared" si="2"/>
        <v>2045</v>
      </c>
      <c r="H23" s="32">
        <v>1.82</v>
      </c>
      <c r="I23" s="17">
        <v>47.7</v>
      </c>
      <c r="J23" s="372">
        <f t="shared" si="5"/>
        <v>2385</v>
      </c>
      <c r="K23" s="316" t="s">
        <v>75</v>
      </c>
      <c r="L23" s="318">
        <v>30.37</v>
      </c>
      <c r="M23" s="374">
        <f t="shared" si="3"/>
        <v>1518.5</v>
      </c>
      <c r="N23" s="25" t="s">
        <v>75</v>
      </c>
      <c r="O23" s="64"/>
      <c r="Q23" s="159"/>
      <c r="R23" s="310"/>
      <c r="U23" s="51"/>
      <c r="V23" s="63"/>
      <c r="AB23" s="177">
        <f t="shared" si="4"/>
        <v>1244</v>
      </c>
      <c r="AC23" s="452">
        <v>735.8</v>
      </c>
      <c r="AD23" s="176">
        <f t="shared" si="0"/>
        <v>59.147909967845656</v>
      </c>
    </row>
    <row r="24" spans="2:30">
      <c r="B24" s="27">
        <v>19</v>
      </c>
      <c r="C24" s="17">
        <v>24.88</v>
      </c>
      <c r="D24" s="327">
        <f t="shared" si="1"/>
        <v>1244</v>
      </c>
      <c r="E24" s="16">
        <v>1.89</v>
      </c>
      <c r="F24" s="30">
        <v>25.2</v>
      </c>
      <c r="G24" s="368">
        <f t="shared" si="2"/>
        <v>1260</v>
      </c>
      <c r="H24" s="32">
        <v>1.84</v>
      </c>
      <c r="I24" s="17">
        <v>18.899999999999999</v>
      </c>
      <c r="J24" s="371">
        <f t="shared" si="5"/>
        <v>944.99999999999989</v>
      </c>
      <c r="K24" s="316" t="s">
        <v>75</v>
      </c>
      <c r="L24" s="318">
        <v>14.72</v>
      </c>
      <c r="M24" s="373">
        <f t="shared" si="3"/>
        <v>736</v>
      </c>
      <c r="N24" s="25" t="s">
        <v>75</v>
      </c>
      <c r="O24" s="64"/>
      <c r="Q24" s="159"/>
      <c r="R24" s="310"/>
      <c r="U24" s="51"/>
      <c r="V24" s="63"/>
      <c r="AB24" s="176">
        <f t="shared" si="4"/>
        <v>1396.5</v>
      </c>
      <c r="AC24" s="452">
        <v>907.34</v>
      </c>
      <c r="AD24" s="176">
        <f t="shared" si="0"/>
        <v>64.972431077694239</v>
      </c>
    </row>
    <row r="25" spans="2:30">
      <c r="B25" s="27">
        <v>20</v>
      </c>
      <c r="C25" s="17">
        <v>27.93</v>
      </c>
      <c r="D25" s="327">
        <f t="shared" si="1"/>
        <v>1396.5</v>
      </c>
      <c r="E25" s="16">
        <v>1.89</v>
      </c>
      <c r="F25" s="30">
        <v>28.5</v>
      </c>
      <c r="G25" s="369">
        <f t="shared" si="2"/>
        <v>1425</v>
      </c>
      <c r="H25" s="32">
        <v>1.83</v>
      </c>
      <c r="I25" s="17">
        <v>23.2</v>
      </c>
      <c r="J25" s="372">
        <f t="shared" si="5"/>
        <v>1160</v>
      </c>
      <c r="K25" s="316" t="s">
        <v>75</v>
      </c>
      <c r="L25" s="318">
        <v>18.149999999999999</v>
      </c>
      <c r="M25" s="374">
        <f t="shared" si="3"/>
        <v>907.49999999999989</v>
      </c>
      <c r="N25" s="25" t="s">
        <v>75</v>
      </c>
      <c r="O25" s="64"/>
      <c r="Q25" s="159"/>
      <c r="R25" s="310"/>
      <c r="U25" s="51"/>
      <c r="V25" s="63"/>
      <c r="AB25" s="176">
        <f t="shared" si="4"/>
        <v>1385.5</v>
      </c>
      <c r="AC25" s="452">
        <v>933.75</v>
      </c>
      <c r="AD25" s="176">
        <f t="shared" si="0"/>
        <v>67.394442439552506</v>
      </c>
    </row>
    <row r="26" spans="2:30">
      <c r="B26" s="27">
        <v>21</v>
      </c>
      <c r="C26" s="17">
        <v>27.71</v>
      </c>
      <c r="D26" s="327">
        <f t="shared" si="1"/>
        <v>1385.5</v>
      </c>
      <c r="E26" s="16">
        <v>1.92</v>
      </c>
      <c r="F26" s="30">
        <v>32</v>
      </c>
      <c r="G26" s="368">
        <f t="shared" si="2"/>
        <v>1600</v>
      </c>
      <c r="H26" s="32">
        <v>1.87</v>
      </c>
      <c r="I26" s="17">
        <v>27.6</v>
      </c>
      <c r="J26" s="372">
        <f t="shared" si="5"/>
        <v>1380</v>
      </c>
      <c r="K26" s="316" t="s">
        <v>75</v>
      </c>
      <c r="L26" s="318">
        <v>18.670000000000002</v>
      </c>
      <c r="M26" s="373">
        <f t="shared" si="3"/>
        <v>933.50000000000011</v>
      </c>
      <c r="N26" s="25" t="s">
        <v>75</v>
      </c>
      <c r="O26" s="64"/>
      <c r="Q26" s="159"/>
      <c r="R26" s="310"/>
      <c r="U26" s="51"/>
      <c r="V26" s="63"/>
      <c r="AB26" s="177">
        <f t="shared" si="4"/>
        <v>1989.9999999999998</v>
      </c>
      <c r="AC26" s="452">
        <v>1211.79</v>
      </c>
      <c r="AD26" s="176">
        <f t="shared" si="0"/>
        <v>60.893969849246233</v>
      </c>
    </row>
    <row r="27" spans="2:30">
      <c r="B27" s="27">
        <v>22</v>
      </c>
      <c r="C27" s="17">
        <v>39.799999999999997</v>
      </c>
      <c r="D27" s="327">
        <f t="shared" si="1"/>
        <v>1989.9999999999998</v>
      </c>
      <c r="E27" s="16">
        <v>1.83</v>
      </c>
      <c r="F27" s="30">
        <v>40</v>
      </c>
      <c r="G27" s="369">
        <f t="shared" si="2"/>
        <v>2000</v>
      </c>
      <c r="H27" s="32">
        <v>1.89</v>
      </c>
      <c r="I27" s="17">
        <v>37</v>
      </c>
      <c r="J27" s="371">
        <f t="shared" si="5"/>
        <v>1850</v>
      </c>
      <c r="K27" s="316" t="s">
        <v>75</v>
      </c>
      <c r="L27" s="318">
        <v>24.24</v>
      </c>
      <c r="M27" s="374">
        <f t="shared" si="3"/>
        <v>1212</v>
      </c>
      <c r="N27" s="25" t="s">
        <v>75</v>
      </c>
      <c r="O27" s="64"/>
      <c r="Q27" s="159"/>
      <c r="R27" s="310"/>
      <c r="U27" s="51"/>
      <c r="V27" s="63"/>
      <c r="AB27" s="176">
        <f t="shared" si="4"/>
        <v>959.50000000000011</v>
      </c>
      <c r="AC27" s="452">
        <v>601.28</v>
      </c>
      <c r="AD27" s="176">
        <f t="shared" si="0"/>
        <v>62.665971860343916</v>
      </c>
    </row>
    <row r="28" spans="2:30">
      <c r="B28" s="27">
        <v>23</v>
      </c>
      <c r="C28" s="17">
        <v>19.190000000000001</v>
      </c>
      <c r="D28" s="327">
        <f t="shared" si="1"/>
        <v>959.50000000000011</v>
      </c>
      <c r="E28" s="16">
        <v>1.85</v>
      </c>
      <c r="F28" s="30">
        <v>20.5</v>
      </c>
      <c r="G28" s="368">
        <f t="shared" si="2"/>
        <v>1025</v>
      </c>
      <c r="H28" s="32">
        <v>1.88</v>
      </c>
      <c r="I28" s="17">
        <v>17.100000000000001</v>
      </c>
      <c r="J28" s="372">
        <f t="shared" si="5"/>
        <v>855.00000000000011</v>
      </c>
      <c r="K28" s="316" t="s">
        <v>75</v>
      </c>
      <c r="L28" s="318">
        <v>12.03</v>
      </c>
      <c r="M28" s="373">
        <f t="shared" si="3"/>
        <v>601.5</v>
      </c>
      <c r="N28" s="25" t="s">
        <v>75</v>
      </c>
      <c r="O28" s="64"/>
      <c r="Q28" s="159"/>
      <c r="R28" s="310"/>
      <c r="U28" s="51"/>
      <c r="V28" s="63"/>
      <c r="AB28" s="176">
        <f t="shared" si="4"/>
        <v>1415.5</v>
      </c>
      <c r="AC28" s="452">
        <v>921.8</v>
      </c>
      <c r="AD28" s="176">
        <f t="shared" si="0"/>
        <v>65.121865065347933</v>
      </c>
    </row>
    <row r="29" spans="2:30">
      <c r="B29" s="27">
        <v>24</v>
      </c>
      <c r="C29" s="17">
        <v>28.31</v>
      </c>
      <c r="D29" s="327">
        <f t="shared" si="1"/>
        <v>1415.5</v>
      </c>
      <c r="E29" s="22">
        <v>1.9</v>
      </c>
      <c r="F29" s="30">
        <v>28.6</v>
      </c>
      <c r="G29" s="369">
        <f t="shared" si="2"/>
        <v>1430</v>
      </c>
      <c r="H29" s="32">
        <v>1.83</v>
      </c>
      <c r="I29" s="17">
        <v>23.6</v>
      </c>
      <c r="J29" s="372">
        <f t="shared" si="5"/>
        <v>1180</v>
      </c>
      <c r="K29" s="316" t="s">
        <v>75</v>
      </c>
      <c r="L29" s="318">
        <v>18.440000000000001</v>
      </c>
      <c r="M29" s="374">
        <f t="shared" si="3"/>
        <v>922.00000000000011</v>
      </c>
      <c r="N29" s="25" t="s">
        <v>75</v>
      </c>
      <c r="O29" s="64"/>
      <c r="Q29" s="159"/>
      <c r="R29" s="310"/>
      <c r="U29" s="51"/>
      <c r="V29" s="63"/>
      <c r="AB29" s="177">
        <f t="shared" si="4"/>
        <v>712.5</v>
      </c>
      <c r="AC29" s="452">
        <v>295.69</v>
      </c>
      <c r="AD29" s="176">
        <f t="shared" si="0"/>
        <v>41.500350877192979</v>
      </c>
    </row>
    <row r="30" spans="2:30">
      <c r="B30" s="27">
        <v>25</v>
      </c>
      <c r="C30" s="17">
        <v>14.25</v>
      </c>
      <c r="D30" s="327">
        <f t="shared" si="1"/>
        <v>712.5</v>
      </c>
      <c r="E30" s="16">
        <v>1.96</v>
      </c>
      <c r="F30" s="30">
        <v>15.9</v>
      </c>
      <c r="G30" s="368">
        <f t="shared" si="2"/>
        <v>795</v>
      </c>
      <c r="H30" s="32">
        <v>1.89</v>
      </c>
      <c r="I30" s="17">
        <v>10.1</v>
      </c>
      <c r="J30" s="371">
        <f t="shared" si="5"/>
        <v>505</v>
      </c>
      <c r="K30" s="316" t="s">
        <v>75</v>
      </c>
      <c r="L30" s="318">
        <v>5.91</v>
      </c>
      <c r="M30" s="373">
        <f t="shared" si="3"/>
        <v>295.5</v>
      </c>
      <c r="N30" s="25" t="s">
        <v>75</v>
      </c>
      <c r="O30" s="64"/>
      <c r="Q30" s="159"/>
      <c r="R30" s="310"/>
      <c r="U30" s="51"/>
      <c r="V30" s="63"/>
      <c r="AB30" s="176">
        <f t="shared" si="4"/>
        <v>912.5</v>
      </c>
      <c r="AC30" s="452">
        <v>557.72</v>
      </c>
      <c r="AD30" s="176">
        <f t="shared" si="0"/>
        <v>61.120000000000005</v>
      </c>
    </row>
    <row r="31" spans="2:30">
      <c r="B31" s="27">
        <v>26</v>
      </c>
      <c r="C31" s="17">
        <v>18.25</v>
      </c>
      <c r="D31" s="327">
        <f t="shared" si="1"/>
        <v>912.5</v>
      </c>
      <c r="E31" s="16">
        <v>2.08</v>
      </c>
      <c r="F31" s="30">
        <v>22.1</v>
      </c>
      <c r="G31" s="369">
        <f t="shared" si="2"/>
        <v>1105</v>
      </c>
      <c r="H31" s="32">
        <v>1.86</v>
      </c>
      <c r="I31" s="17">
        <v>22.7</v>
      </c>
      <c r="J31" s="372">
        <f t="shared" si="5"/>
        <v>1135</v>
      </c>
      <c r="K31" s="316" t="s">
        <v>75</v>
      </c>
      <c r="L31" s="318">
        <v>11.15</v>
      </c>
      <c r="M31" s="374">
        <f t="shared" si="3"/>
        <v>557.5</v>
      </c>
      <c r="N31" s="25" t="s">
        <v>75</v>
      </c>
      <c r="O31" s="64"/>
      <c r="Q31" s="159"/>
      <c r="R31" s="310"/>
      <c r="U31" s="51"/>
      <c r="V31" s="63"/>
      <c r="AB31" s="176">
        <f t="shared" si="4"/>
        <v>897.5</v>
      </c>
      <c r="AC31" s="452">
        <v>577.95000000000005</v>
      </c>
      <c r="AD31" s="176">
        <f t="shared" si="0"/>
        <v>64.395543175487475</v>
      </c>
    </row>
    <row r="32" spans="2:30">
      <c r="B32" s="27">
        <v>27</v>
      </c>
      <c r="C32" s="17">
        <v>17.95</v>
      </c>
      <c r="D32" s="327">
        <f t="shared" si="1"/>
        <v>897.5</v>
      </c>
      <c r="E32" s="16">
        <v>2.0099999999999998</v>
      </c>
      <c r="F32" s="30">
        <v>20</v>
      </c>
      <c r="G32" s="368">
        <f t="shared" si="2"/>
        <v>1000</v>
      </c>
      <c r="H32" s="32">
        <v>1.78</v>
      </c>
      <c r="I32" s="17">
        <v>15.1</v>
      </c>
      <c r="J32" s="372">
        <f t="shared" si="5"/>
        <v>755</v>
      </c>
      <c r="K32" s="316" t="s">
        <v>75</v>
      </c>
      <c r="L32" s="318">
        <v>11.56</v>
      </c>
      <c r="M32" s="373">
        <f t="shared" si="3"/>
        <v>578</v>
      </c>
      <c r="N32" s="25" t="s">
        <v>75</v>
      </c>
      <c r="O32" s="64"/>
      <c r="Q32" s="159"/>
      <c r="R32" s="310"/>
      <c r="U32" s="51"/>
      <c r="V32" s="63"/>
      <c r="AB32" s="177">
        <f t="shared" si="4"/>
        <v>698.5</v>
      </c>
      <c r="AC32" s="452">
        <v>380.46</v>
      </c>
      <c r="AD32" s="176">
        <f t="shared" si="0"/>
        <v>54.468146027201151</v>
      </c>
    </row>
    <row r="33" spans="2:30">
      <c r="B33" s="27">
        <v>28</v>
      </c>
      <c r="C33" s="17">
        <v>13.97</v>
      </c>
      <c r="D33" s="327">
        <f t="shared" si="1"/>
        <v>698.5</v>
      </c>
      <c r="E33" s="16">
        <v>2.2200000000000002</v>
      </c>
      <c r="F33" s="30">
        <v>17.899999999999999</v>
      </c>
      <c r="G33" s="369">
        <f t="shared" si="2"/>
        <v>894.99999999999989</v>
      </c>
      <c r="H33" s="32">
        <v>1.99</v>
      </c>
      <c r="I33" s="17">
        <v>11.8</v>
      </c>
      <c r="J33" s="371">
        <f t="shared" si="5"/>
        <v>590</v>
      </c>
      <c r="K33" s="316" t="s">
        <v>75</v>
      </c>
      <c r="L33" s="318">
        <v>7.61</v>
      </c>
      <c r="M33" s="374">
        <f t="shared" si="3"/>
        <v>380.5</v>
      </c>
      <c r="N33" s="25" t="s">
        <v>75</v>
      </c>
      <c r="O33" s="64"/>
      <c r="Q33" s="159"/>
      <c r="R33" s="310"/>
      <c r="U33" s="51"/>
      <c r="V33" s="63"/>
      <c r="AB33" s="176">
        <f t="shared" si="4"/>
        <v>891</v>
      </c>
      <c r="AC33" s="452">
        <v>627.21</v>
      </c>
      <c r="AD33" s="176">
        <f t="shared" si="0"/>
        <v>70.393939393939391</v>
      </c>
    </row>
    <row r="34" spans="2:30" ht="17" thickBot="1">
      <c r="B34" s="27">
        <v>29</v>
      </c>
      <c r="C34" s="17">
        <v>17.82</v>
      </c>
      <c r="D34" s="327">
        <f t="shared" si="1"/>
        <v>891</v>
      </c>
      <c r="E34" s="22">
        <v>1.9</v>
      </c>
      <c r="F34" s="30">
        <v>19.7</v>
      </c>
      <c r="G34" s="368">
        <f t="shared" si="2"/>
        <v>985</v>
      </c>
      <c r="H34" s="32">
        <v>1.84</v>
      </c>
      <c r="I34" s="17">
        <v>16.600000000000001</v>
      </c>
      <c r="J34" s="372">
        <f t="shared" si="5"/>
        <v>830.00000000000011</v>
      </c>
      <c r="K34" s="316" t="s">
        <v>75</v>
      </c>
      <c r="L34" s="318">
        <v>12.54</v>
      </c>
      <c r="M34" s="373">
        <f t="shared" si="3"/>
        <v>627</v>
      </c>
      <c r="N34" s="25" t="s">
        <v>75</v>
      </c>
      <c r="O34" s="64"/>
      <c r="Q34" s="159"/>
      <c r="R34" s="310"/>
      <c r="U34" s="51"/>
      <c r="V34" s="63"/>
      <c r="AB34" s="178">
        <f t="shared" si="4"/>
        <v>1064</v>
      </c>
      <c r="AC34" s="453">
        <v>536.77</v>
      </c>
      <c r="AD34" s="178">
        <f t="shared" si="0"/>
        <v>50.448308270676691</v>
      </c>
    </row>
    <row r="35" spans="2:30" ht="17" thickBot="1">
      <c r="B35" s="28">
        <v>30</v>
      </c>
      <c r="C35" s="18">
        <v>21.28</v>
      </c>
      <c r="D35" s="329">
        <f t="shared" si="1"/>
        <v>1064</v>
      </c>
      <c r="E35" s="23">
        <v>1.8</v>
      </c>
      <c r="F35" s="31">
        <v>20.2</v>
      </c>
      <c r="G35" s="370">
        <f t="shared" si="2"/>
        <v>1010</v>
      </c>
      <c r="H35" s="33">
        <v>1.96</v>
      </c>
      <c r="I35" s="18">
        <v>15.5</v>
      </c>
      <c r="J35" s="393">
        <f>I35*50</f>
        <v>775</v>
      </c>
      <c r="K35" s="317" t="s">
        <v>75</v>
      </c>
      <c r="L35" s="319">
        <v>10.74</v>
      </c>
      <c r="M35" s="375">
        <f t="shared" si="3"/>
        <v>537</v>
      </c>
      <c r="N35" s="29" t="s">
        <v>75</v>
      </c>
    </row>
    <row r="36" spans="2:30" ht="17" thickBot="1">
      <c r="T36" s="589"/>
      <c r="U36" s="589"/>
      <c r="V36" s="589"/>
      <c r="W36" s="51"/>
      <c r="AB36" s="643" t="s">
        <v>79</v>
      </c>
      <c r="AC36" s="644"/>
      <c r="AD36" s="458">
        <f>AVERAGE(AD5:AD34)</f>
        <v>57.26699057120269</v>
      </c>
    </row>
    <row r="37" spans="2:30" ht="17" thickBot="1">
      <c r="B37" s="124" t="s">
        <v>10</v>
      </c>
      <c r="C37" s="275"/>
      <c r="D37" s="275"/>
      <c r="E37" s="240">
        <f>AVERAGE(E6:E35)</f>
        <v>1.9219999999999999</v>
      </c>
      <c r="F37" s="239"/>
      <c r="G37" s="239"/>
      <c r="H37" s="240">
        <f>AVERAGE(H6:H35)</f>
        <v>1.8590000000000002</v>
      </c>
      <c r="I37" s="239"/>
      <c r="J37" s="239"/>
      <c r="K37" s="239"/>
      <c r="L37" s="239"/>
      <c r="M37" s="376"/>
      <c r="N37" s="241"/>
    </row>
    <row r="43" spans="2:30" ht="17" thickBot="1"/>
    <row r="44" spans="2:30" ht="22" thickBot="1">
      <c r="B44" s="629" t="s">
        <v>140</v>
      </c>
      <c r="C44" s="645"/>
      <c r="D44" s="645"/>
      <c r="E44" s="645"/>
      <c r="F44" s="630"/>
    </row>
    <row r="45" spans="2:30" ht="22" thickBot="1">
      <c r="B45" s="477"/>
      <c r="C45" s="478" t="s">
        <v>77</v>
      </c>
      <c r="D45" s="479" t="s">
        <v>71</v>
      </c>
      <c r="E45" s="479" t="s">
        <v>72</v>
      </c>
      <c r="F45" s="480" t="s">
        <v>73</v>
      </c>
    </row>
    <row r="46" spans="2:30">
      <c r="B46" s="481">
        <v>1</v>
      </c>
      <c r="C46" s="484">
        <f t="shared" ref="C46:C75" si="6">C6*50</f>
        <v>1586.5</v>
      </c>
      <c r="D46" s="485">
        <f>F6*50</f>
        <v>1410</v>
      </c>
      <c r="E46" s="298">
        <f>I6*50</f>
        <v>1019.9999999999999</v>
      </c>
      <c r="F46" s="144">
        <f>L6*50</f>
        <v>784</v>
      </c>
    </row>
    <row r="47" spans="2:30">
      <c r="B47" s="482">
        <v>2</v>
      </c>
      <c r="C47" s="17">
        <f t="shared" si="6"/>
        <v>769.5</v>
      </c>
      <c r="D47" s="486">
        <f>F7*50</f>
        <v>785</v>
      </c>
      <c r="E47" s="95">
        <f>I7*50</f>
        <v>615</v>
      </c>
      <c r="F47" s="142">
        <f>L7*50</f>
        <v>489.49999999999994</v>
      </c>
    </row>
    <row r="48" spans="2:30">
      <c r="B48" s="482">
        <v>3</v>
      </c>
      <c r="C48" s="487">
        <f t="shared" si="6"/>
        <v>1017.5000000000001</v>
      </c>
      <c r="D48" s="486">
        <f>F8*50</f>
        <v>815</v>
      </c>
      <c r="E48" s="95">
        <f>I8*50</f>
        <v>565</v>
      </c>
      <c r="F48" s="142">
        <f>L8*50</f>
        <v>522</v>
      </c>
    </row>
    <row r="49" spans="2:6">
      <c r="B49" s="482">
        <v>4</v>
      </c>
      <c r="C49" s="487">
        <f t="shared" si="6"/>
        <v>1509.5</v>
      </c>
      <c r="D49" s="486">
        <f>F9*50</f>
        <v>1610.0000000000002</v>
      </c>
      <c r="E49" s="95">
        <f>I9*50</f>
        <v>965</v>
      </c>
      <c r="F49" s="142">
        <f>L9*50</f>
        <v>903.5</v>
      </c>
    </row>
    <row r="50" spans="2:6">
      <c r="B50" s="482">
        <v>5</v>
      </c>
      <c r="C50" s="17">
        <f t="shared" si="6"/>
        <v>1849.5</v>
      </c>
      <c r="D50" s="486">
        <f>F10*50</f>
        <v>1920</v>
      </c>
      <c r="E50" s="95">
        <f t="shared" ref="E50:E75" si="7">I10*50</f>
        <v>1265</v>
      </c>
      <c r="F50" s="142">
        <f t="shared" ref="F50:F75" si="8">L10*50</f>
        <v>1013.0000000000001</v>
      </c>
    </row>
    <row r="51" spans="2:6">
      <c r="B51" s="482">
        <v>6</v>
      </c>
      <c r="C51" s="487">
        <f t="shared" si="6"/>
        <v>1337</v>
      </c>
      <c r="D51" s="486">
        <f t="shared" ref="D51:D75" si="9">F11*50</f>
        <v>1360</v>
      </c>
      <c r="E51" s="95">
        <f t="shared" si="7"/>
        <v>900</v>
      </c>
      <c r="F51" s="142">
        <f t="shared" si="8"/>
        <v>671.5</v>
      </c>
    </row>
    <row r="52" spans="2:6">
      <c r="B52" s="482">
        <v>7</v>
      </c>
      <c r="C52" s="487">
        <f t="shared" si="6"/>
        <v>1051.5</v>
      </c>
      <c r="D52" s="486">
        <f t="shared" si="9"/>
        <v>869.99999999999989</v>
      </c>
      <c r="E52" s="95">
        <f t="shared" si="7"/>
        <v>615</v>
      </c>
      <c r="F52" s="142">
        <f t="shared" si="8"/>
        <v>499</v>
      </c>
    </row>
    <row r="53" spans="2:6">
      <c r="B53" s="482">
        <v>8</v>
      </c>
      <c r="C53" s="17">
        <f t="shared" si="6"/>
        <v>2715.5</v>
      </c>
      <c r="D53" s="486">
        <f t="shared" si="9"/>
        <v>2510</v>
      </c>
      <c r="E53" s="95">
        <f t="shared" si="7"/>
        <v>1830</v>
      </c>
      <c r="F53" s="142">
        <f t="shared" si="8"/>
        <v>1768.4999999999998</v>
      </c>
    </row>
    <row r="54" spans="2:6">
      <c r="B54" s="482">
        <v>9</v>
      </c>
      <c r="C54" s="487">
        <f t="shared" si="6"/>
        <v>4145.5</v>
      </c>
      <c r="D54" s="486">
        <f t="shared" si="9"/>
        <v>4210</v>
      </c>
      <c r="E54" s="95">
        <f t="shared" si="7"/>
        <v>3479.9999999999995</v>
      </c>
      <c r="F54" s="142">
        <f t="shared" si="8"/>
        <v>2033.5</v>
      </c>
    </row>
    <row r="55" spans="2:6">
      <c r="B55" s="482">
        <v>10</v>
      </c>
      <c r="C55" s="487">
        <f t="shared" si="6"/>
        <v>793</v>
      </c>
      <c r="D55" s="486">
        <f t="shared" si="9"/>
        <v>835</v>
      </c>
      <c r="E55" s="95">
        <f t="shared" si="7"/>
        <v>540</v>
      </c>
      <c r="F55" s="142">
        <f t="shared" si="8"/>
        <v>401.49999999999994</v>
      </c>
    </row>
    <row r="56" spans="2:6">
      <c r="B56" s="482">
        <v>11</v>
      </c>
      <c r="C56" s="17">
        <f t="shared" si="6"/>
        <v>2911.5</v>
      </c>
      <c r="D56" s="486">
        <f t="shared" si="9"/>
        <v>2985</v>
      </c>
      <c r="E56" s="95">
        <f t="shared" si="7"/>
        <v>3350</v>
      </c>
      <c r="F56" s="142">
        <f t="shared" si="8"/>
        <v>1614</v>
      </c>
    </row>
    <row r="57" spans="2:6">
      <c r="B57" s="482">
        <v>12</v>
      </c>
      <c r="C57" s="487">
        <f t="shared" si="6"/>
        <v>724.5</v>
      </c>
      <c r="D57" s="486">
        <f t="shared" si="9"/>
        <v>725</v>
      </c>
      <c r="E57" s="95">
        <f t="shared" si="7"/>
        <v>595</v>
      </c>
      <c r="F57" s="142">
        <f t="shared" si="8"/>
        <v>395</v>
      </c>
    </row>
    <row r="58" spans="2:6">
      <c r="B58" s="482">
        <v>13</v>
      </c>
      <c r="C58" s="487">
        <f t="shared" si="6"/>
        <v>1813</v>
      </c>
      <c r="D58" s="486">
        <f t="shared" si="9"/>
        <v>1780</v>
      </c>
      <c r="E58" s="95">
        <f t="shared" si="7"/>
        <v>2070</v>
      </c>
      <c r="F58" s="142">
        <f t="shared" si="8"/>
        <v>1069.5</v>
      </c>
    </row>
    <row r="59" spans="2:6">
      <c r="B59" s="482">
        <v>14</v>
      </c>
      <c r="C59" s="17">
        <f t="shared" si="6"/>
        <v>961.5</v>
      </c>
      <c r="D59" s="486">
        <f t="shared" si="9"/>
        <v>925</v>
      </c>
      <c r="E59" s="95">
        <f t="shared" si="7"/>
        <v>555</v>
      </c>
      <c r="F59" s="142">
        <f t="shared" si="8"/>
        <v>320.5</v>
      </c>
    </row>
    <row r="60" spans="2:6">
      <c r="B60" s="482">
        <v>15</v>
      </c>
      <c r="C60" s="487">
        <f t="shared" si="6"/>
        <v>1462</v>
      </c>
      <c r="D60" s="486">
        <f t="shared" si="9"/>
        <v>1465</v>
      </c>
      <c r="E60" s="95">
        <f t="shared" si="7"/>
        <v>1285</v>
      </c>
      <c r="F60" s="142">
        <f t="shared" si="8"/>
        <v>798</v>
      </c>
    </row>
    <row r="61" spans="2:6">
      <c r="B61" s="482">
        <v>16</v>
      </c>
      <c r="C61" s="487">
        <f t="shared" si="6"/>
        <v>1532</v>
      </c>
      <c r="D61" s="486">
        <f t="shared" si="9"/>
        <v>1470</v>
      </c>
      <c r="E61" s="95">
        <f t="shared" si="7"/>
        <v>1545</v>
      </c>
      <c r="F61" s="142">
        <f t="shared" si="8"/>
        <v>830.00000000000011</v>
      </c>
    </row>
    <row r="62" spans="2:6">
      <c r="B62" s="482">
        <v>17</v>
      </c>
      <c r="C62" s="17">
        <f t="shared" si="6"/>
        <v>1575</v>
      </c>
      <c r="D62" s="486">
        <f t="shared" si="9"/>
        <v>1480</v>
      </c>
      <c r="E62" s="95">
        <f t="shared" si="7"/>
        <v>1560</v>
      </c>
      <c r="F62" s="142">
        <f t="shared" si="8"/>
        <v>1026.5</v>
      </c>
    </row>
    <row r="63" spans="2:6">
      <c r="B63" s="482">
        <v>18</v>
      </c>
      <c r="C63" s="487">
        <f t="shared" si="6"/>
        <v>1977</v>
      </c>
      <c r="D63" s="486">
        <f t="shared" si="9"/>
        <v>2045</v>
      </c>
      <c r="E63" s="95">
        <f t="shared" si="7"/>
        <v>2385</v>
      </c>
      <c r="F63" s="142">
        <f t="shared" si="8"/>
        <v>1518.5</v>
      </c>
    </row>
    <row r="64" spans="2:6">
      <c r="B64" s="482">
        <v>19</v>
      </c>
      <c r="C64" s="17">
        <f t="shared" si="6"/>
        <v>1244</v>
      </c>
      <c r="D64" s="486">
        <f t="shared" si="9"/>
        <v>1260</v>
      </c>
      <c r="E64" s="95">
        <f t="shared" si="7"/>
        <v>944.99999999999989</v>
      </c>
      <c r="F64" s="142">
        <f t="shared" si="8"/>
        <v>736</v>
      </c>
    </row>
    <row r="65" spans="2:6">
      <c r="B65" s="482">
        <v>20</v>
      </c>
      <c r="C65" s="487">
        <f t="shared" si="6"/>
        <v>1396.5</v>
      </c>
      <c r="D65" s="486">
        <f t="shared" si="9"/>
        <v>1425</v>
      </c>
      <c r="E65" s="95">
        <f t="shared" si="7"/>
        <v>1160</v>
      </c>
      <c r="F65" s="142">
        <f t="shared" si="8"/>
        <v>907.49999999999989</v>
      </c>
    </row>
    <row r="66" spans="2:6">
      <c r="B66" s="482">
        <v>21</v>
      </c>
      <c r="C66" s="487">
        <f t="shared" si="6"/>
        <v>1385.5</v>
      </c>
      <c r="D66" s="486">
        <f t="shared" si="9"/>
        <v>1600</v>
      </c>
      <c r="E66" s="95">
        <f t="shared" si="7"/>
        <v>1380</v>
      </c>
      <c r="F66" s="142">
        <f t="shared" si="8"/>
        <v>933.50000000000011</v>
      </c>
    </row>
    <row r="67" spans="2:6">
      <c r="B67" s="482">
        <v>22</v>
      </c>
      <c r="C67" s="17">
        <f t="shared" si="6"/>
        <v>1989.9999999999998</v>
      </c>
      <c r="D67" s="486">
        <f t="shared" si="9"/>
        <v>2000</v>
      </c>
      <c r="E67" s="95">
        <f t="shared" si="7"/>
        <v>1850</v>
      </c>
      <c r="F67" s="142">
        <f t="shared" si="8"/>
        <v>1212</v>
      </c>
    </row>
    <row r="68" spans="2:6">
      <c r="B68" s="482">
        <v>23</v>
      </c>
      <c r="C68" s="487">
        <f t="shared" si="6"/>
        <v>959.50000000000011</v>
      </c>
      <c r="D68" s="486">
        <f t="shared" si="9"/>
        <v>1025</v>
      </c>
      <c r="E68" s="95">
        <f t="shared" si="7"/>
        <v>855.00000000000011</v>
      </c>
      <c r="F68" s="142">
        <f t="shared" si="8"/>
        <v>601.5</v>
      </c>
    </row>
    <row r="69" spans="2:6">
      <c r="B69" s="482">
        <v>24</v>
      </c>
      <c r="C69" s="487">
        <f t="shared" si="6"/>
        <v>1415.5</v>
      </c>
      <c r="D69" s="486">
        <f t="shared" si="9"/>
        <v>1430</v>
      </c>
      <c r="E69" s="95">
        <f t="shared" si="7"/>
        <v>1180</v>
      </c>
      <c r="F69" s="142">
        <f t="shared" si="8"/>
        <v>922.00000000000011</v>
      </c>
    </row>
    <row r="70" spans="2:6">
      <c r="B70" s="482">
        <v>25</v>
      </c>
      <c r="C70" s="17">
        <f t="shared" si="6"/>
        <v>712.5</v>
      </c>
      <c r="D70" s="486">
        <f t="shared" si="9"/>
        <v>795</v>
      </c>
      <c r="E70" s="95">
        <f t="shared" si="7"/>
        <v>505</v>
      </c>
      <c r="F70" s="142">
        <f t="shared" si="8"/>
        <v>295.5</v>
      </c>
    </row>
    <row r="71" spans="2:6">
      <c r="B71" s="482">
        <v>26</v>
      </c>
      <c r="C71" s="487">
        <f t="shared" si="6"/>
        <v>912.5</v>
      </c>
      <c r="D71" s="486">
        <f t="shared" si="9"/>
        <v>1105</v>
      </c>
      <c r="E71" s="95">
        <f t="shared" si="7"/>
        <v>1135</v>
      </c>
      <c r="F71" s="142">
        <f t="shared" si="8"/>
        <v>557.5</v>
      </c>
    </row>
    <row r="72" spans="2:6">
      <c r="B72" s="482">
        <v>27</v>
      </c>
      <c r="C72" s="487">
        <f t="shared" si="6"/>
        <v>897.5</v>
      </c>
      <c r="D72" s="486">
        <f t="shared" si="9"/>
        <v>1000</v>
      </c>
      <c r="E72" s="95">
        <f t="shared" si="7"/>
        <v>755</v>
      </c>
      <c r="F72" s="142">
        <f t="shared" si="8"/>
        <v>578</v>
      </c>
    </row>
    <row r="73" spans="2:6">
      <c r="B73" s="482">
        <v>28</v>
      </c>
      <c r="C73" s="17">
        <f t="shared" si="6"/>
        <v>698.5</v>
      </c>
      <c r="D73" s="486">
        <f t="shared" si="9"/>
        <v>894.99999999999989</v>
      </c>
      <c r="E73" s="95">
        <f t="shared" si="7"/>
        <v>590</v>
      </c>
      <c r="F73" s="142">
        <f t="shared" si="8"/>
        <v>380.5</v>
      </c>
    </row>
    <row r="74" spans="2:6">
      <c r="B74" s="482">
        <v>29</v>
      </c>
      <c r="C74" s="487">
        <f t="shared" si="6"/>
        <v>891</v>
      </c>
      <c r="D74" s="486">
        <f t="shared" si="9"/>
        <v>985</v>
      </c>
      <c r="E74" s="95">
        <f t="shared" si="7"/>
        <v>830.00000000000011</v>
      </c>
      <c r="F74" s="142">
        <f t="shared" si="8"/>
        <v>627</v>
      </c>
    </row>
    <row r="75" spans="2:6" ht="17" thickBot="1">
      <c r="B75" s="483">
        <v>30</v>
      </c>
      <c r="C75" s="488">
        <f t="shared" si="6"/>
        <v>1064</v>
      </c>
      <c r="D75" s="489">
        <f t="shared" si="9"/>
        <v>1010</v>
      </c>
      <c r="E75" s="99">
        <f t="shared" si="7"/>
        <v>775</v>
      </c>
      <c r="F75" s="145">
        <f t="shared" si="8"/>
        <v>537</v>
      </c>
    </row>
  </sheetData>
  <mergeCells count="8">
    <mergeCell ref="AB3:AD3"/>
    <mergeCell ref="AB36:AC36"/>
    <mergeCell ref="B44:F44"/>
    <mergeCell ref="B3:N3"/>
    <mergeCell ref="C4:E4"/>
    <mergeCell ref="F4:H4"/>
    <mergeCell ref="I4:K4"/>
    <mergeCell ref="L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D312F-246F-D645-AD7B-DDCBAFC5F229}">
  <dimension ref="B1:AN71"/>
  <sheetViews>
    <sheetView topLeftCell="A2" zoomScale="38" workbookViewId="0">
      <selection activeCell="V55" sqref="V55"/>
    </sheetView>
  </sheetViews>
  <sheetFormatPr baseColWidth="10" defaultRowHeight="16"/>
  <cols>
    <col min="3" max="3" width="23" bestFit="1" customWidth="1"/>
    <col min="4" max="4" width="22.5" bestFit="1" customWidth="1"/>
    <col min="5" max="5" width="15.5" bestFit="1" customWidth="1"/>
    <col min="6" max="6" width="23" bestFit="1" customWidth="1"/>
    <col min="7" max="7" width="22.5" bestFit="1" customWidth="1"/>
    <col min="8" max="8" width="15.5" bestFit="1" customWidth="1"/>
    <col min="9" max="9" width="23" bestFit="1" customWidth="1"/>
    <col min="10" max="10" width="22.5" bestFit="1" customWidth="1"/>
    <col min="11" max="11" width="15.5" bestFit="1" customWidth="1"/>
    <col min="12" max="12" width="23" bestFit="1" customWidth="1"/>
    <col min="13" max="13" width="22.5" bestFit="1" customWidth="1"/>
    <col min="14" max="14" width="15.5" bestFit="1" customWidth="1"/>
    <col min="22" max="22" width="16.33203125" customWidth="1"/>
    <col min="23" max="23" width="19" customWidth="1"/>
    <col min="24" max="24" width="17" customWidth="1"/>
    <col min="25" max="25" width="12.33203125" customWidth="1"/>
    <col min="30" max="30" width="33.5" bestFit="1" customWidth="1"/>
    <col min="31" max="31" width="27" bestFit="1" customWidth="1"/>
    <col min="32" max="32" width="14.6640625" bestFit="1" customWidth="1"/>
    <col min="38" max="38" width="31.1640625" bestFit="1" customWidth="1"/>
    <col min="39" max="39" width="25.33203125" bestFit="1" customWidth="1"/>
    <col min="40" max="40" width="13.6640625" bestFit="1" customWidth="1"/>
  </cols>
  <sheetData>
    <row r="1" spans="2:40" ht="17" thickBot="1"/>
    <row r="2" spans="2:40" ht="25" thickBot="1">
      <c r="B2" s="614" t="s">
        <v>2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6"/>
    </row>
    <row r="3" spans="2:40" ht="22" thickBot="1">
      <c r="B3" s="37"/>
      <c r="C3" s="631" t="s">
        <v>70</v>
      </c>
      <c r="D3" s="632"/>
      <c r="E3" s="632"/>
      <c r="F3" s="631" t="s">
        <v>71</v>
      </c>
      <c r="G3" s="632"/>
      <c r="H3" s="632"/>
      <c r="I3" s="633" t="s">
        <v>72</v>
      </c>
      <c r="J3" s="634"/>
      <c r="K3" s="635"/>
      <c r="L3" s="633" t="s">
        <v>73</v>
      </c>
      <c r="M3" s="634"/>
      <c r="N3" s="635"/>
      <c r="O3" s="69"/>
      <c r="P3" s="69"/>
      <c r="R3" s="158"/>
      <c r="S3" s="158"/>
      <c r="V3" s="68"/>
      <c r="W3" s="68"/>
      <c r="X3" s="68"/>
      <c r="Y3" s="68"/>
      <c r="AD3" s="649" t="s">
        <v>76</v>
      </c>
      <c r="AE3" s="650"/>
      <c r="AF3" s="651"/>
      <c r="AL3" s="652"/>
      <c r="AM3" s="652"/>
      <c r="AN3" s="652"/>
    </row>
    <row r="4" spans="2:40" ht="20" thickBot="1">
      <c r="B4" s="273"/>
      <c r="C4" s="490" t="s">
        <v>128</v>
      </c>
      <c r="D4" s="491" t="s">
        <v>127</v>
      </c>
      <c r="E4" s="492" t="s">
        <v>74</v>
      </c>
      <c r="F4" s="490" t="s">
        <v>128</v>
      </c>
      <c r="G4" s="491" t="s">
        <v>127</v>
      </c>
      <c r="H4" s="492" t="s">
        <v>74</v>
      </c>
      <c r="I4" s="490" t="s">
        <v>128</v>
      </c>
      <c r="J4" s="491" t="s">
        <v>127</v>
      </c>
      <c r="K4" s="492" t="s">
        <v>74</v>
      </c>
      <c r="L4" s="490" t="s">
        <v>128</v>
      </c>
      <c r="M4" s="491" t="s">
        <v>127</v>
      </c>
      <c r="N4" s="493" t="s">
        <v>74</v>
      </c>
      <c r="O4" s="61"/>
      <c r="P4" s="61"/>
      <c r="R4" s="405"/>
      <c r="S4" s="405"/>
      <c r="V4" s="61"/>
      <c r="W4" s="61"/>
      <c r="X4" s="590"/>
      <c r="Y4" s="40"/>
      <c r="AD4" s="455" t="s">
        <v>129</v>
      </c>
      <c r="AE4" s="377" t="s">
        <v>130</v>
      </c>
      <c r="AF4" s="455" t="s">
        <v>78</v>
      </c>
      <c r="AL4" s="405"/>
      <c r="AM4" s="405"/>
      <c r="AN4" s="405"/>
    </row>
    <row r="5" spans="2:40">
      <c r="B5" s="7">
        <v>1</v>
      </c>
      <c r="C5" s="101">
        <v>2076.38</v>
      </c>
      <c r="D5" s="396">
        <f>C5*150</f>
        <v>311457</v>
      </c>
      <c r="E5" s="397">
        <v>1.93</v>
      </c>
      <c r="F5" s="398">
        <v>2220.1</v>
      </c>
      <c r="G5" s="399">
        <f>F5*150</f>
        <v>333015</v>
      </c>
      <c r="H5" s="400">
        <v>1.89</v>
      </c>
      <c r="I5" s="401">
        <v>545</v>
      </c>
      <c r="J5" s="402">
        <f>I5*150</f>
        <v>81750</v>
      </c>
      <c r="K5" s="151" t="s">
        <v>75</v>
      </c>
      <c r="L5" s="150">
        <v>181.07</v>
      </c>
      <c r="M5" s="382">
        <f>L5*150</f>
        <v>27160.5</v>
      </c>
      <c r="N5" s="151" t="s">
        <v>75</v>
      </c>
      <c r="O5" s="63"/>
      <c r="P5" s="64"/>
      <c r="R5" s="406"/>
      <c r="S5" s="310"/>
      <c r="W5" s="51"/>
      <c r="X5" s="63"/>
      <c r="AD5" s="355">
        <f>C5*150</f>
        <v>311457</v>
      </c>
      <c r="AE5" s="355">
        <f>27160.23</f>
        <v>27160.23</v>
      </c>
      <c r="AF5" s="355">
        <f>(AE5/AD5)*100</f>
        <v>8.7203787360695042</v>
      </c>
      <c r="AL5" s="459"/>
      <c r="AM5" s="51"/>
      <c r="AN5" s="459"/>
    </row>
    <row r="6" spans="2:40">
      <c r="B6" s="1">
        <v>2</v>
      </c>
      <c r="C6" s="47">
        <v>722.98</v>
      </c>
      <c r="D6" s="395">
        <f>C6*150</f>
        <v>108447</v>
      </c>
      <c r="E6" s="268">
        <v>1.76</v>
      </c>
      <c r="F6" s="271">
        <v>776.8</v>
      </c>
      <c r="G6" s="379">
        <f>F6*150</f>
        <v>116520</v>
      </c>
      <c r="H6" s="313">
        <v>1.82</v>
      </c>
      <c r="I6" s="5">
        <v>268</v>
      </c>
      <c r="J6" s="380">
        <f>I6*150</f>
        <v>40200</v>
      </c>
      <c r="K6" s="26" t="s">
        <v>75</v>
      </c>
      <c r="L6" s="45">
        <v>289.62</v>
      </c>
      <c r="M6" s="383">
        <f>L6*150</f>
        <v>43443</v>
      </c>
      <c r="N6" s="48" t="s">
        <v>75</v>
      </c>
      <c r="O6" s="63"/>
      <c r="P6" s="64"/>
      <c r="R6" s="159"/>
      <c r="S6" s="310"/>
      <c r="W6" s="51"/>
      <c r="X6" s="63"/>
      <c r="AD6" s="356">
        <f>C6*150</f>
        <v>108447</v>
      </c>
      <c r="AE6" s="356">
        <f>43442.36</f>
        <v>43442.36</v>
      </c>
      <c r="AF6" s="356">
        <f>(AE6/AD6)*100</f>
        <v>40.058609274576526</v>
      </c>
      <c r="AL6" s="459"/>
      <c r="AM6" s="51"/>
      <c r="AN6" s="459"/>
    </row>
    <row r="7" spans="2:40">
      <c r="B7" s="1">
        <v>3</v>
      </c>
      <c r="C7" s="47">
        <v>1904.81</v>
      </c>
      <c r="D7" s="394">
        <f>C7*150</f>
        <v>285721.5</v>
      </c>
      <c r="E7" s="269">
        <v>1.8</v>
      </c>
      <c r="F7" s="271">
        <v>1820.6</v>
      </c>
      <c r="G7" s="378">
        <f>F7*150</f>
        <v>273090</v>
      </c>
      <c r="H7" s="313">
        <v>0.74</v>
      </c>
      <c r="I7" s="5">
        <v>670</v>
      </c>
      <c r="J7" s="380">
        <f t="shared" ref="J7:J34" si="0">I7*150</f>
        <v>100500</v>
      </c>
      <c r="K7" s="26" t="s">
        <v>75</v>
      </c>
      <c r="L7" s="45">
        <v>531.51</v>
      </c>
      <c r="M7" s="383">
        <f>L7*150</f>
        <v>79726.5</v>
      </c>
      <c r="N7" s="48" t="s">
        <v>75</v>
      </c>
      <c r="O7" s="63"/>
      <c r="P7" s="64"/>
      <c r="R7" s="159"/>
      <c r="S7" s="310"/>
      <c r="W7" s="51"/>
      <c r="X7" s="63"/>
      <c r="AD7" s="356">
        <f>C7*150</f>
        <v>285721.5</v>
      </c>
      <c r="AE7" s="356">
        <v>79726.73</v>
      </c>
      <c r="AF7" s="356">
        <f t="shared" ref="AF7:AF34" si="1">(AE7/AD7)*100</f>
        <v>27.903650932813946</v>
      </c>
      <c r="AL7" s="459"/>
      <c r="AM7" s="51"/>
      <c r="AN7" s="459"/>
    </row>
    <row r="8" spans="2:40">
      <c r="B8" s="1">
        <v>4</v>
      </c>
      <c r="C8" s="47">
        <v>365.64</v>
      </c>
      <c r="D8" s="394">
        <f t="shared" ref="D8:D34" si="2">C8*150</f>
        <v>54846</v>
      </c>
      <c r="E8" s="269">
        <v>1.8</v>
      </c>
      <c r="F8" s="271">
        <v>427.5</v>
      </c>
      <c r="G8" s="378">
        <f t="shared" ref="G8:G34" si="3">F8*150</f>
        <v>64125</v>
      </c>
      <c r="H8" s="313">
        <v>1.78</v>
      </c>
      <c r="I8" s="5">
        <v>246</v>
      </c>
      <c r="J8" s="380">
        <f t="shared" si="0"/>
        <v>36900</v>
      </c>
      <c r="K8" s="26" t="s">
        <v>75</v>
      </c>
      <c r="L8" s="45">
        <v>119.74</v>
      </c>
      <c r="M8" s="385">
        <f t="shared" ref="M8:M34" si="4">L8*150</f>
        <v>17961</v>
      </c>
      <c r="N8" s="48" t="s">
        <v>75</v>
      </c>
      <c r="O8" s="63"/>
      <c r="P8" s="64"/>
      <c r="R8" s="159"/>
      <c r="S8" s="310"/>
      <c r="W8" s="51"/>
      <c r="X8" s="63"/>
      <c r="AD8" s="356">
        <f t="shared" ref="AD8:AD34" si="5">C8*150</f>
        <v>54846</v>
      </c>
      <c r="AE8" s="356">
        <v>17961.29</v>
      </c>
      <c r="AF8" s="356">
        <f t="shared" si="1"/>
        <v>32.748586952558071</v>
      </c>
      <c r="AL8" s="459"/>
      <c r="AM8" s="51"/>
      <c r="AN8" s="459"/>
    </row>
    <row r="9" spans="2:40">
      <c r="B9" s="1">
        <v>5</v>
      </c>
      <c r="C9" s="47">
        <v>965.6</v>
      </c>
      <c r="D9" s="395">
        <f t="shared" si="2"/>
        <v>144840</v>
      </c>
      <c r="E9" s="269">
        <v>1.9</v>
      </c>
      <c r="F9" s="271">
        <v>1044.5</v>
      </c>
      <c r="G9" s="379">
        <f t="shared" si="3"/>
        <v>156675</v>
      </c>
      <c r="H9" s="313">
        <v>1.97</v>
      </c>
      <c r="I9" s="5">
        <v>252</v>
      </c>
      <c r="J9" s="380">
        <f t="shared" si="0"/>
        <v>37800</v>
      </c>
      <c r="K9" s="26" t="s">
        <v>75</v>
      </c>
      <c r="L9" s="45">
        <v>273.43</v>
      </c>
      <c r="M9" s="383">
        <f t="shared" si="4"/>
        <v>41014.5</v>
      </c>
      <c r="N9" s="48" t="s">
        <v>75</v>
      </c>
      <c r="O9" s="63"/>
      <c r="P9" s="64"/>
      <c r="R9" s="159"/>
      <c r="S9" s="310"/>
      <c r="W9" s="51"/>
      <c r="X9" s="63"/>
      <c r="AD9" s="356">
        <f t="shared" si="5"/>
        <v>144840</v>
      </c>
      <c r="AE9" s="356">
        <v>41015.199999999997</v>
      </c>
      <c r="AF9" s="356">
        <f t="shared" si="1"/>
        <v>28.317591825462578</v>
      </c>
      <c r="AL9" s="459"/>
      <c r="AM9" s="51"/>
      <c r="AN9" s="459"/>
    </row>
    <row r="10" spans="2:40">
      <c r="B10" s="1">
        <v>6</v>
      </c>
      <c r="C10" s="47">
        <v>945.42</v>
      </c>
      <c r="D10" s="394">
        <f t="shared" si="2"/>
        <v>141813</v>
      </c>
      <c r="E10" s="268">
        <v>1.94</v>
      </c>
      <c r="F10" s="271">
        <v>1050.2</v>
      </c>
      <c r="G10" s="378">
        <f t="shared" si="3"/>
        <v>157530</v>
      </c>
      <c r="H10" s="313">
        <v>1.98</v>
      </c>
      <c r="I10" s="5">
        <v>260</v>
      </c>
      <c r="J10" s="380">
        <f t="shared" si="0"/>
        <v>39000</v>
      </c>
      <c r="K10" s="26" t="s">
        <v>75</v>
      </c>
      <c r="L10" s="45">
        <v>304.68</v>
      </c>
      <c r="M10" s="383">
        <f t="shared" si="4"/>
        <v>45702</v>
      </c>
      <c r="N10" s="48" t="s">
        <v>75</v>
      </c>
      <c r="O10" s="63"/>
      <c r="P10" s="64"/>
      <c r="R10" s="159"/>
      <c r="S10" s="310"/>
      <c r="W10" s="51"/>
      <c r="X10" s="63"/>
      <c r="AD10" s="356">
        <f t="shared" si="5"/>
        <v>141813</v>
      </c>
      <c r="AE10" s="356">
        <v>45701.49</v>
      </c>
      <c r="AF10" s="356">
        <f t="shared" si="1"/>
        <v>32.226587125298806</v>
      </c>
      <c r="AL10" s="459"/>
      <c r="AM10" s="51"/>
      <c r="AN10" s="459"/>
    </row>
    <row r="11" spans="2:40">
      <c r="B11" s="1">
        <v>7</v>
      </c>
      <c r="C11" s="47">
        <v>460.4</v>
      </c>
      <c r="D11" s="394">
        <f t="shared" si="2"/>
        <v>69060</v>
      </c>
      <c r="E11" s="268">
        <v>1.89</v>
      </c>
      <c r="F11" s="271">
        <v>457.4</v>
      </c>
      <c r="G11" s="378">
        <f t="shared" si="3"/>
        <v>68610</v>
      </c>
      <c r="H11" s="313">
        <v>1.95</v>
      </c>
      <c r="I11" s="5">
        <v>136</v>
      </c>
      <c r="J11" s="380">
        <f t="shared" si="0"/>
        <v>20400</v>
      </c>
      <c r="K11" s="26" t="s">
        <v>75</v>
      </c>
      <c r="L11" s="45">
        <v>121.41</v>
      </c>
      <c r="M11" s="385">
        <f t="shared" si="4"/>
        <v>18211.5</v>
      </c>
      <c r="N11" s="48" t="s">
        <v>75</v>
      </c>
      <c r="O11" s="63"/>
      <c r="P11" s="64"/>
      <c r="R11" s="159"/>
      <c r="S11" s="310"/>
      <c r="W11" s="51"/>
      <c r="X11" s="63"/>
      <c r="AD11" s="356">
        <f t="shared" si="5"/>
        <v>69060</v>
      </c>
      <c r="AE11" s="356">
        <v>18211.48</v>
      </c>
      <c r="AF11" s="356">
        <f t="shared" si="1"/>
        <v>26.370518389805962</v>
      </c>
      <c r="AL11" s="459"/>
      <c r="AM11" s="51"/>
      <c r="AN11" s="459"/>
    </row>
    <row r="12" spans="2:40">
      <c r="B12" s="1">
        <v>8</v>
      </c>
      <c r="C12" s="47">
        <v>602.42999999999995</v>
      </c>
      <c r="D12" s="395">
        <f t="shared" si="2"/>
        <v>90364.499999999985</v>
      </c>
      <c r="E12" s="269">
        <v>1.8</v>
      </c>
      <c r="F12" s="271">
        <v>595.1</v>
      </c>
      <c r="G12" s="379">
        <f t="shared" si="3"/>
        <v>89265</v>
      </c>
      <c r="H12" s="313">
        <v>1.88</v>
      </c>
      <c r="I12" s="5">
        <v>206</v>
      </c>
      <c r="J12" s="380">
        <f t="shared" si="0"/>
        <v>30900</v>
      </c>
      <c r="K12" s="26" t="s">
        <v>75</v>
      </c>
      <c r="L12" s="45">
        <v>238.68</v>
      </c>
      <c r="M12" s="383">
        <f t="shared" si="4"/>
        <v>35802</v>
      </c>
      <c r="N12" s="48" t="s">
        <v>75</v>
      </c>
      <c r="O12" s="63"/>
      <c r="P12" s="64"/>
      <c r="R12" s="159"/>
      <c r="S12" s="310"/>
      <c r="W12" s="51"/>
      <c r="X12" s="63"/>
      <c r="AD12" s="356">
        <f t="shared" si="5"/>
        <v>90364.499999999985</v>
      </c>
      <c r="AE12" s="356">
        <v>35750.410000000003</v>
      </c>
      <c r="AF12" s="356">
        <f t="shared" si="1"/>
        <v>39.562449855861544</v>
      </c>
      <c r="AL12" s="459"/>
      <c r="AM12" s="51"/>
      <c r="AN12" s="459"/>
    </row>
    <row r="13" spans="2:40">
      <c r="B13" s="1">
        <v>9</v>
      </c>
      <c r="C13" s="47">
        <v>1215.2</v>
      </c>
      <c r="D13" s="394">
        <f t="shared" si="2"/>
        <v>182280</v>
      </c>
      <c r="E13" s="269">
        <v>1.9</v>
      </c>
      <c r="F13" s="271">
        <v>1290.2</v>
      </c>
      <c r="G13" s="378">
        <f t="shared" si="3"/>
        <v>193530</v>
      </c>
      <c r="H13" s="313">
        <v>1.99</v>
      </c>
      <c r="I13" s="5">
        <v>364</v>
      </c>
      <c r="J13" s="380">
        <f t="shared" si="0"/>
        <v>54600</v>
      </c>
      <c r="K13" s="26" t="s">
        <v>75</v>
      </c>
      <c r="L13" s="45">
        <v>397.05</v>
      </c>
      <c r="M13" s="383">
        <f t="shared" si="4"/>
        <v>59557.5</v>
      </c>
      <c r="N13" s="48" t="s">
        <v>75</v>
      </c>
      <c r="O13" s="63"/>
      <c r="P13" s="64"/>
      <c r="R13" s="159"/>
      <c r="S13" s="310"/>
      <c r="W13" s="51"/>
      <c r="X13" s="63"/>
      <c r="AD13" s="356">
        <f t="shared" si="5"/>
        <v>182280</v>
      </c>
      <c r="AE13" s="356">
        <v>59557.16</v>
      </c>
      <c r="AF13" s="356">
        <f t="shared" si="1"/>
        <v>32.673447443493529</v>
      </c>
      <c r="AL13" s="459"/>
      <c r="AM13" s="51"/>
      <c r="AN13" s="459"/>
    </row>
    <row r="14" spans="2:40">
      <c r="B14" s="1">
        <v>10</v>
      </c>
      <c r="C14" s="47">
        <v>1277.18</v>
      </c>
      <c r="D14" s="394">
        <f t="shared" si="2"/>
        <v>191577</v>
      </c>
      <c r="E14" s="268">
        <v>1.87</v>
      </c>
      <c r="F14" s="271">
        <v>1286.3</v>
      </c>
      <c r="G14" s="378">
        <f t="shared" si="3"/>
        <v>192945</v>
      </c>
      <c r="H14" s="313">
        <v>1.95</v>
      </c>
      <c r="I14" s="5">
        <v>347</v>
      </c>
      <c r="J14" s="380">
        <f t="shared" si="0"/>
        <v>52050</v>
      </c>
      <c r="K14" s="26" t="s">
        <v>75</v>
      </c>
      <c r="L14" s="45">
        <v>328.02</v>
      </c>
      <c r="M14" s="385">
        <f t="shared" si="4"/>
        <v>49203</v>
      </c>
      <c r="N14" s="48" t="s">
        <v>75</v>
      </c>
      <c r="O14" s="63"/>
      <c r="P14" s="64"/>
      <c r="R14" s="159"/>
      <c r="S14" s="310"/>
      <c r="W14" s="51"/>
      <c r="X14" s="63"/>
      <c r="AD14" s="356">
        <f t="shared" si="5"/>
        <v>191577</v>
      </c>
      <c r="AE14" s="356">
        <v>49202.400000000001</v>
      </c>
      <c r="AF14" s="356">
        <f t="shared" si="1"/>
        <v>25.682832490330259</v>
      </c>
      <c r="AL14" s="459"/>
      <c r="AM14" s="51"/>
      <c r="AN14" s="459"/>
    </row>
    <row r="15" spans="2:40">
      <c r="B15" s="1">
        <v>11</v>
      </c>
      <c r="C15" s="47">
        <v>1485.47</v>
      </c>
      <c r="D15" s="395">
        <f t="shared" si="2"/>
        <v>222820.5</v>
      </c>
      <c r="E15" s="268">
        <v>1.94</v>
      </c>
      <c r="F15" s="271">
        <v>1546.8</v>
      </c>
      <c r="G15" s="379">
        <f t="shared" si="3"/>
        <v>232020</v>
      </c>
      <c r="H15" s="313">
        <v>1.99</v>
      </c>
      <c r="I15" s="5">
        <v>356</v>
      </c>
      <c r="J15" s="380">
        <f t="shared" si="0"/>
        <v>53400</v>
      </c>
      <c r="K15" s="26" t="s">
        <v>75</v>
      </c>
      <c r="L15" s="45">
        <v>246.76</v>
      </c>
      <c r="M15" s="383">
        <f t="shared" si="4"/>
        <v>37014</v>
      </c>
      <c r="N15" s="48" t="s">
        <v>75</v>
      </c>
      <c r="O15" s="63"/>
      <c r="P15" s="64"/>
      <c r="R15" s="159"/>
      <c r="S15" s="310"/>
      <c r="W15" s="51"/>
      <c r="X15" s="63"/>
      <c r="AD15" s="356">
        <f t="shared" si="5"/>
        <v>222820.5</v>
      </c>
      <c r="AE15" s="356">
        <v>37014.04</v>
      </c>
      <c r="AF15" s="356">
        <f t="shared" si="1"/>
        <v>16.611595432197664</v>
      </c>
      <c r="AL15" s="459"/>
      <c r="AM15" s="51"/>
      <c r="AN15" s="459"/>
    </row>
    <row r="16" spans="2:40">
      <c r="B16" s="1">
        <v>12</v>
      </c>
      <c r="C16" s="47">
        <v>1089.9000000000001</v>
      </c>
      <c r="D16" s="394">
        <f t="shared" si="2"/>
        <v>163485</v>
      </c>
      <c r="E16" s="268">
        <v>1.86</v>
      </c>
      <c r="F16" s="271">
        <v>1078.3</v>
      </c>
      <c r="G16" s="378">
        <f t="shared" si="3"/>
        <v>161745</v>
      </c>
      <c r="H16" s="313">
        <v>1.99</v>
      </c>
      <c r="I16" s="5">
        <v>244</v>
      </c>
      <c r="J16" s="380">
        <f t="shared" si="0"/>
        <v>36600</v>
      </c>
      <c r="K16" s="26" t="s">
        <v>75</v>
      </c>
      <c r="L16" s="45">
        <v>297.33</v>
      </c>
      <c r="M16" s="383">
        <f t="shared" si="4"/>
        <v>44599.5</v>
      </c>
      <c r="N16" s="48" t="s">
        <v>75</v>
      </c>
      <c r="O16" s="63"/>
      <c r="P16" s="64"/>
      <c r="R16" s="159"/>
      <c r="S16" s="310"/>
      <c r="W16" s="51"/>
      <c r="X16" s="63"/>
      <c r="AD16" s="356">
        <f t="shared" si="5"/>
        <v>163485</v>
      </c>
      <c r="AE16" s="356">
        <v>44599.94</v>
      </c>
      <c r="AF16" s="356">
        <f t="shared" si="1"/>
        <v>27.280753585955896</v>
      </c>
      <c r="AL16" s="459"/>
      <c r="AM16" s="51"/>
      <c r="AN16" s="459"/>
    </row>
    <row r="17" spans="2:40">
      <c r="B17" s="1">
        <v>13</v>
      </c>
      <c r="C17" s="47">
        <v>1508.15</v>
      </c>
      <c r="D17" s="394">
        <f t="shared" si="2"/>
        <v>226222.5</v>
      </c>
      <c r="E17" s="268">
        <v>1.79</v>
      </c>
      <c r="F17" s="271">
        <v>1493.3</v>
      </c>
      <c r="G17" s="378">
        <f t="shared" si="3"/>
        <v>223995</v>
      </c>
      <c r="H17" s="313">
        <v>1.88</v>
      </c>
      <c r="I17" s="5">
        <v>438</v>
      </c>
      <c r="J17" s="380">
        <f t="shared" si="0"/>
        <v>65700</v>
      </c>
      <c r="K17" s="26" t="s">
        <v>75</v>
      </c>
      <c r="L17" s="45">
        <v>388.41</v>
      </c>
      <c r="M17" s="385">
        <f t="shared" si="4"/>
        <v>58261.500000000007</v>
      </c>
      <c r="N17" s="48" t="s">
        <v>75</v>
      </c>
      <c r="O17" s="63"/>
      <c r="P17" s="64"/>
      <c r="R17" s="159"/>
      <c r="S17" s="310"/>
      <c r="W17" s="51"/>
      <c r="X17" s="63"/>
      <c r="AD17" s="356">
        <f t="shared" si="5"/>
        <v>226222.5</v>
      </c>
      <c r="AE17" s="356">
        <v>58260.93</v>
      </c>
      <c r="AF17" s="356">
        <f t="shared" si="1"/>
        <v>25.753817591088417</v>
      </c>
      <c r="AL17" s="459"/>
      <c r="AM17" s="51"/>
      <c r="AN17" s="459"/>
    </row>
    <row r="18" spans="2:40">
      <c r="B18" s="1">
        <v>14</v>
      </c>
      <c r="C18" s="47">
        <v>1061.55</v>
      </c>
      <c r="D18" s="395">
        <f t="shared" si="2"/>
        <v>159232.5</v>
      </c>
      <c r="E18" s="268">
        <v>1.86</v>
      </c>
      <c r="F18" s="271">
        <v>1065.7</v>
      </c>
      <c r="G18" s="379">
        <f t="shared" si="3"/>
        <v>159855</v>
      </c>
      <c r="H18" s="313">
        <v>2.02</v>
      </c>
      <c r="I18" s="5">
        <v>297</v>
      </c>
      <c r="J18" s="380">
        <f t="shared" si="0"/>
        <v>44550</v>
      </c>
      <c r="K18" s="26" t="s">
        <v>75</v>
      </c>
      <c r="L18" s="45">
        <v>315.79000000000002</v>
      </c>
      <c r="M18" s="383">
        <f t="shared" si="4"/>
        <v>47368.5</v>
      </c>
      <c r="N18" s="48" t="s">
        <v>75</v>
      </c>
      <c r="O18" s="63"/>
      <c r="P18" s="64"/>
      <c r="R18" s="159"/>
      <c r="S18" s="310"/>
      <c r="W18" s="51"/>
      <c r="X18" s="63"/>
      <c r="AD18" s="356">
        <f t="shared" si="5"/>
        <v>159232.5</v>
      </c>
      <c r="AE18" s="356">
        <v>47368.28</v>
      </c>
      <c r="AF18" s="356">
        <f t="shared" si="1"/>
        <v>29.74787182264927</v>
      </c>
      <c r="AL18" s="459"/>
      <c r="AM18" s="51"/>
      <c r="AN18" s="459"/>
    </row>
    <row r="19" spans="2:40">
      <c r="B19" s="1">
        <v>15</v>
      </c>
      <c r="C19" s="47">
        <v>1496.4</v>
      </c>
      <c r="D19" s="394">
        <f t="shared" si="2"/>
        <v>224460</v>
      </c>
      <c r="E19" s="269">
        <v>1.9</v>
      </c>
      <c r="F19" s="271">
        <v>1502.5</v>
      </c>
      <c r="G19" s="378">
        <f t="shared" si="3"/>
        <v>225375</v>
      </c>
      <c r="H19" s="313">
        <v>1.93</v>
      </c>
      <c r="I19" s="5">
        <v>393</v>
      </c>
      <c r="J19" s="380">
        <f t="shared" si="0"/>
        <v>58950</v>
      </c>
      <c r="K19" s="26" t="s">
        <v>75</v>
      </c>
      <c r="L19" s="45">
        <v>369.5</v>
      </c>
      <c r="M19" s="383">
        <f t="shared" si="4"/>
        <v>55425</v>
      </c>
      <c r="N19" s="48" t="s">
        <v>75</v>
      </c>
      <c r="O19" s="63"/>
      <c r="P19" s="64"/>
      <c r="R19" s="159"/>
      <c r="S19" s="310"/>
      <c r="W19" s="51"/>
      <c r="X19" s="63"/>
      <c r="AD19" s="356">
        <f t="shared" si="5"/>
        <v>224460</v>
      </c>
      <c r="AE19" s="356">
        <v>55424.98</v>
      </c>
      <c r="AF19" s="356">
        <f t="shared" si="1"/>
        <v>24.692586652410231</v>
      </c>
      <c r="AL19" s="459"/>
      <c r="AM19" s="51"/>
      <c r="AN19" s="459"/>
    </row>
    <row r="20" spans="2:40">
      <c r="B20" s="1">
        <v>16</v>
      </c>
      <c r="C20" s="47">
        <v>547.22</v>
      </c>
      <c r="D20" s="394">
        <f t="shared" si="2"/>
        <v>82083</v>
      </c>
      <c r="E20" s="268">
        <v>1.79</v>
      </c>
      <c r="F20" s="271">
        <v>534</v>
      </c>
      <c r="G20" s="378">
        <f t="shared" si="3"/>
        <v>80100</v>
      </c>
      <c r="H20" s="313">
        <v>1.86</v>
      </c>
      <c r="I20" s="5">
        <v>194</v>
      </c>
      <c r="J20" s="380">
        <f t="shared" si="0"/>
        <v>29100</v>
      </c>
      <c r="K20" s="26" t="s">
        <v>75</v>
      </c>
      <c r="L20" s="45">
        <v>234.39</v>
      </c>
      <c r="M20" s="385">
        <f t="shared" si="4"/>
        <v>35158.5</v>
      </c>
      <c r="N20" s="48" t="s">
        <v>75</v>
      </c>
      <c r="O20" s="63"/>
      <c r="P20" s="64"/>
      <c r="R20" s="159"/>
      <c r="S20" s="310"/>
      <c r="W20" s="51"/>
      <c r="X20" s="63"/>
      <c r="AD20" s="356">
        <f t="shared" si="5"/>
        <v>82083</v>
      </c>
      <c r="AE20" s="356">
        <v>35158.46</v>
      </c>
      <c r="AF20" s="356">
        <f t="shared" si="1"/>
        <v>42.832815564733259</v>
      </c>
      <c r="AL20" s="459"/>
      <c r="AM20" s="51"/>
      <c r="AN20" s="459"/>
    </row>
    <row r="21" spans="2:40">
      <c r="B21" s="1">
        <v>17</v>
      </c>
      <c r="C21" s="47">
        <v>569.20000000000005</v>
      </c>
      <c r="D21" s="395">
        <f t="shared" si="2"/>
        <v>85380</v>
      </c>
      <c r="E21" s="268">
        <v>1.85</v>
      </c>
      <c r="F21" s="271">
        <v>567.70000000000005</v>
      </c>
      <c r="G21" s="379">
        <f t="shared" si="3"/>
        <v>85155</v>
      </c>
      <c r="H21" s="313">
        <v>1.94</v>
      </c>
      <c r="I21" s="5">
        <v>207</v>
      </c>
      <c r="J21" s="380">
        <f t="shared" si="0"/>
        <v>31050</v>
      </c>
      <c r="K21" s="26" t="s">
        <v>75</v>
      </c>
      <c r="L21" s="45">
        <v>204.02</v>
      </c>
      <c r="M21" s="383">
        <f t="shared" si="4"/>
        <v>30603</v>
      </c>
      <c r="N21" s="48" t="s">
        <v>75</v>
      </c>
      <c r="O21" s="63"/>
      <c r="P21" s="64"/>
      <c r="R21" s="159"/>
      <c r="S21" s="310"/>
      <c r="W21" s="51"/>
      <c r="X21" s="63"/>
      <c r="AD21" s="356">
        <f t="shared" si="5"/>
        <v>85380</v>
      </c>
      <c r="AE21" s="356">
        <v>30602.59</v>
      </c>
      <c r="AF21" s="356">
        <f t="shared" si="1"/>
        <v>35.84280862028578</v>
      </c>
      <c r="AL21" s="459"/>
      <c r="AM21" s="51"/>
      <c r="AN21" s="459"/>
    </row>
    <row r="22" spans="2:40">
      <c r="B22" s="1">
        <v>18</v>
      </c>
      <c r="C22" s="47">
        <v>2844.99</v>
      </c>
      <c r="D22" s="394">
        <f t="shared" si="2"/>
        <v>426748.49999999994</v>
      </c>
      <c r="E22" s="268">
        <v>1.79</v>
      </c>
      <c r="F22" s="271">
        <v>2842.6</v>
      </c>
      <c r="G22" s="378">
        <f t="shared" si="3"/>
        <v>426390</v>
      </c>
      <c r="H22" s="313">
        <v>1.99</v>
      </c>
      <c r="I22" s="5">
        <v>940</v>
      </c>
      <c r="J22" s="380">
        <f t="shared" si="0"/>
        <v>141000</v>
      </c>
      <c r="K22" s="26" t="s">
        <v>75</v>
      </c>
      <c r="L22" s="45">
        <v>401.88</v>
      </c>
      <c r="M22" s="383">
        <f t="shared" si="4"/>
        <v>60282</v>
      </c>
      <c r="N22" s="48" t="s">
        <v>75</v>
      </c>
      <c r="O22" s="63"/>
      <c r="P22" s="64"/>
      <c r="R22" s="159"/>
      <c r="S22" s="310"/>
      <c r="W22" s="51"/>
      <c r="X22" s="63"/>
      <c r="AD22" s="356">
        <f t="shared" si="5"/>
        <v>426748.49999999994</v>
      </c>
      <c r="AE22" s="356">
        <v>60282.62</v>
      </c>
      <c r="AF22" s="356">
        <f t="shared" si="1"/>
        <v>14.126029734140838</v>
      </c>
      <c r="AL22" s="459"/>
      <c r="AM22" s="51"/>
      <c r="AN22" s="459"/>
    </row>
    <row r="23" spans="2:40">
      <c r="B23" s="1">
        <v>19</v>
      </c>
      <c r="C23" s="47">
        <v>636.22</v>
      </c>
      <c r="D23" s="394">
        <f t="shared" si="2"/>
        <v>95433</v>
      </c>
      <c r="E23" s="268">
        <v>1.91</v>
      </c>
      <c r="F23" s="271">
        <v>662.8</v>
      </c>
      <c r="G23" s="378">
        <f t="shared" si="3"/>
        <v>99420</v>
      </c>
      <c r="H23" s="313">
        <v>1.98</v>
      </c>
      <c r="I23" s="5">
        <v>158</v>
      </c>
      <c r="J23" s="380">
        <f t="shared" si="0"/>
        <v>23700</v>
      </c>
      <c r="K23" s="26" t="s">
        <v>75</v>
      </c>
      <c r="L23" s="45">
        <v>156.99</v>
      </c>
      <c r="M23" s="385">
        <f t="shared" si="4"/>
        <v>23548.5</v>
      </c>
      <c r="N23" s="48" t="s">
        <v>75</v>
      </c>
      <c r="O23" s="63"/>
      <c r="P23" s="64"/>
      <c r="R23" s="159"/>
      <c r="S23" s="310"/>
      <c r="W23" s="51"/>
      <c r="X23" s="63"/>
      <c r="AD23" s="356">
        <f t="shared" si="5"/>
        <v>95433</v>
      </c>
      <c r="AE23" s="356">
        <v>23548.07</v>
      </c>
      <c r="AF23" s="356">
        <f t="shared" si="1"/>
        <v>24.674976161285926</v>
      </c>
      <c r="AL23" s="459"/>
      <c r="AM23" s="51"/>
      <c r="AN23" s="459"/>
    </row>
    <row r="24" spans="2:40">
      <c r="B24" s="1">
        <v>20</v>
      </c>
      <c r="C24" s="47">
        <v>456.32</v>
      </c>
      <c r="D24" s="395">
        <f t="shared" si="2"/>
        <v>68448</v>
      </c>
      <c r="E24" s="268">
        <v>1.91</v>
      </c>
      <c r="F24" s="271">
        <v>497</v>
      </c>
      <c r="G24" s="379">
        <f t="shared" si="3"/>
        <v>74550</v>
      </c>
      <c r="H24" s="313">
        <v>1.97</v>
      </c>
      <c r="I24" s="5">
        <v>91</v>
      </c>
      <c r="J24" s="380">
        <f t="shared" si="0"/>
        <v>13650</v>
      </c>
      <c r="K24" s="26" t="s">
        <v>75</v>
      </c>
      <c r="L24" s="45">
        <v>96.13</v>
      </c>
      <c r="M24" s="383">
        <f t="shared" si="4"/>
        <v>14419.5</v>
      </c>
      <c r="N24" s="48" t="s">
        <v>75</v>
      </c>
      <c r="O24" s="63"/>
      <c r="P24" s="64"/>
      <c r="R24" s="159"/>
      <c r="S24" s="310"/>
      <c r="W24" s="51"/>
      <c r="X24" s="63"/>
      <c r="AD24" s="356">
        <f t="shared" si="5"/>
        <v>68448</v>
      </c>
      <c r="AE24" s="356">
        <v>14419.07</v>
      </c>
      <c r="AF24" s="356">
        <f t="shared" si="1"/>
        <v>21.065728728377746</v>
      </c>
      <c r="AL24" s="459"/>
      <c r="AM24" s="51"/>
      <c r="AN24" s="459"/>
    </row>
    <row r="25" spans="2:40">
      <c r="B25" s="1">
        <v>21</v>
      </c>
      <c r="C25" s="47">
        <v>2493.46</v>
      </c>
      <c r="D25" s="394">
        <f t="shared" si="2"/>
        <v>374019</v>
      </c>
      <c r="E25" s="268">
        <v>1.87</v>
      </c>
      <c r="F25" s="271">
        <v>2420.3000000000002</v>
      </c>
      <c r="G25" s="378">
        <f t="shared" si="3"/>
        <v>363045</v>
      </c>
      <c r="H25" s="313">
        <v>1.21</v>
      </c>
      <c r="I25" s="5">
        <v>955</v>
      </c>
      <c r="J25" s="380">
        <f t="shared" si="0"/>
        <v>143250</v>
      </c>
      <c r="K25" s="26" t="s">
        <v>75</v>
      </c>
      <c r="L25" s="45">
        <v>316.08999999999997</v>
      </c>
      <c r="M25" s="383">
        <f t="shared" si="4"/>
        <v>47413.499999999993</v>
      </c>
      <c r="N25" s="48" t="s">
        <v>75</v>
      </c>
      <c r="O25" s="63"/>
      <c r="P25" s="64"/>
      <c r="R25" s="159"/>
      <c r="S25" s="310"/>
      <c r="W25" s="51"/>
      <c r="X25" s="63"/>
      <c r="AD25" s="356">
        <f t="shared" si="5"/>
        <v>374019</v>
      </c>
      <c r="AE25" s="356">
        <v>47412.99</v>
      </c>
      <c r="AF25" s="356">
        <f t="shared" si="1"/>
        <v>12.676626053756626</v>
      </c>
      <c r="AL25" s="459"/>
      <c r="AM25" s="51"/>
      <c r="AN25" s="459"/>
    </row>
    <row r="26" spans="2:40">
      <c r="B26" s="1">
        <v>22</v>
      </c>
      <c r="C26" s="47">
        <v>2222.6</v>
      </c>
      <c r="D26" s="394">
        <f t="shared" si="2"/>
        <v>333390</v>
      </c>
      <c r="E26" s="268">
        <v>1.87</v>
      </c>
      <c r="F26" s="271">
        <v>2301.6</v>
      </c>
      <c r="G26" s="378">
        <f t="shared" si="3"/>
        <v>345240</v>
      </c>
      <c r="H26" s="313">
        <v>1.73</v>
      </c>
      <c r="I26" s="5">
        <v>765</v>
      </c>
      <c r="J26" s="380">
        <f t="shared" si="0"/>
        <v>114750</v>
      </c>
      <c r="K26" s="26" t="s">
        <v>75</v>
      </c>
      <c r="L26" s="45">
        <v>345.85</v>
      </c>
      <c r="M26" s="385">
        <f t="shared" si="4"/>
        <v>51877.5</v>
      </c>
      <c r="N26" s="48" t="s">
        <v>75</v>
      </c>
      <c r="O26" s="63"/>
      <c r="P26" s="64"/>
      <c r="R26" s="159"/>
      <c r="S26" s="310"/>
      <c r="W26" s="51"/>
      <c r="X26" s="63"/>
      <c r="AD26" s="356">
        <f t="shared" si="5"/>
        <v>333390</v>
      </c>
      <c r="AE26" s="356">
        <v>51877.14</v>
      </c>
      <c r="AF26" s="356">
        <f t="shared" si="1"/>
        <v>15.560496715558356</v>
      </c>
      <c r="AL26" s="459"/>
      <c r="AM26" s="51"/>
      <c r="AN26" s="459"/>
    </row>
    <row r="27" spans="2:40">
      <c r="B27" s="1">
        <v>23</v>
      </c>
      <c r="C27" s="47">
        <v>1134.6500000000001</v>
      </c>
      <c r="D27" s="395">
        <f t="shared" si="2"/>
        <v>170197.5</v>
      </c>
      <c r="E27" s="268">
        <v>1.93</v>
      </c>
      <c r="F27" s="271">
        <v>1223.2</v>
      </c>
      <c r="G27" s="379">
        <f t="shared" si="3"/>
        <v>183480</v>
      </c>
      <c r="H27" s="313">
        <v>1.98</v>
      </c>
      <c r="I27" s="5">
        <v>323</v>
      </c>
      <c r="J27" s="380">
        <f t="shared" si="0"/>
        <v>48450</v>
      </c>
      <c r="K27" s="26" t="s">
        <v>75</v>
      </c>
      <c r="L27" s="45">
        <v>232.46</v>
      </c>
      <c r="M27" s="383">
        <f t="shared" si="4"/>
        <v>34869</v>
      </c>
      <c r="N27" s="48" t="s">
        <v>75</v>
      </c>
      <c r="O27" s="63"/>
      <c r="P27" s="64"/>
      <c r="R27" s="159"/>
      <c r="S27" s="310"/>
      <c r="W27" s="51"/>
      <c r="X27" s="63"/>
      <c r="AD27" s="356">
        <f t="shared" si="5"/>
        <v>170197.5</v>
      </c>
      <c r="AE27" s="356">
        <v>34868.879999999997</v>
      </c>
      <c r="AF27" s="356">
        <f t="shared" si="1"/>
        <v>20.487304455118316</v>
      </c>
      <c r="AL27" s="459"/>
      <c r="AM27" s="51"/>
      <c r="AN27" s="459"/>
    </row>
    <row r="28" spans="2:40">
      <c r="B28" s="1">
        <v>24</v>
      </c>
      <c r="C28" s="47">
        <v>844.1</v>
      </c>
      <c r="D28" s="394">
        <f t="shared" si="2"/>
        <v>126615</v>
      </c>
      <c r="E28" s="268">
        <v>1.88</v>
      </c>
      <c r="F28" s="271">
        <v>868.3</v>
      </c>
      <c r="G28" s="378">
        <f t="shared" si="3"/>
        <v>130245</v>
      </c>
      <c r="H28" s="313">
        <v>1.92</v>
      </c>
      <c r="I28" s="5">
        <v>315</v>
      </c>
      <c r="J28" s="380">
        <f t="shared" si="0"/>
        <v>47250</v>
      </c>
      <c r="K28" s="26" t="s">
        <v>75</v>
      </c>
      <c r="L28" s="45">
        <v>298.73</v>
      </c>
      <c r="M28" s="383">
        <f t="shared" si="4"/>
        <v>44809.5</v>
      </c>
      <c r="N28" s="48" t="s">
        <v>75</v>
      </c>
      <c r="O28" s="63"/>
      <c r="P28" s="64"/>
      <c r="R28" s="159"/>
      <c r="S28" s="310"/>
      <c r="W28" s="51"/>
      <c r="X28" s="63"/>
      <c r="AD28" s="356">
        <f t="shared" si="5"/>
        <v>126615</v>
      </c>
      <c r="AE28" s="356">
        <v>44808.82</v>
      </c>
      <c r="AF28" s="356">
        <f t="shared" si="1"/>
        <v>35.389819531651071</v>
      </c>
      <c r="AL28" s="459"/>
      <c r="AM28" s="51"/>
      <c r="AN28" s="459"/>
    </row>
    <row r="29" spans="2:40">
      <c r="B29" s="1">
        <v>25</v>
      </c>
      <c r="C29" s="47">
        <v>318.76</v>
      </c>
      <c r="D29" s="394">
        <f t="shared" si="2"/>
        <v>47814</v>
      </c>
      <c r="E29" s="268">
        <v>1.89</v>
      </c>
      <c r="F29" s="271">
        <v>325.2</v>
      </c>
      <c r="G29" s="378">
        <f t="shared" si="3"/>
        <v>48780</v>
      </c>
      <c r="H29" s="313">
        <v>1.91</v>
      </c>
      <c r="I29" s="5">
        <v>95</v>
      </c>
      <c r="J29" s="380">
        <f t="shared" si="0"/>
        <v>14250</v>
      </c>
      <c r="K29" s="26" t="s">
        <v>75</v>
      </c>
      <c r="L29" s="45">
        <v>124.63</v>
      </c>
      <c r="M29" s="385">
        <f t="shared" si="4"/>
        <v>18694.5</v>
      </c>
      <c r="N29" s="48" t="s">
        <v>75</v>
      </c>
      <c r="O29" s="63"/>
      <c r="P29" s="64"/>
      <c r="R29" s="159"/>
      <c r="S29" s="310"/>
      <c r="W29" s="51"/>
      <c r="X29" s="63"/>
      <c r="AD29" s="356">
        <f t="shared" si="5"/>
        <v>47814</v>
      </c>
      <c r="AE29" s="356">
        <v>18693.84</v>
      </c>
      <c r="AF29" s="356">
        <f t="shared" si="1"/>
        <v>39.097000878403811</v>
      </c>
      <c r="AL29" s="459"/>
      <c r="AM29" s="51"/>
      <c r="AN29" s="459"/>
    </row>
    <row r="30" spans="2:40">
      <c r="B30" s="1">
        <v>26</v>
      </c>
      <c r="C30" s="47">
        <v>473.55</v>
      </c>
      <c r="D30" s="395">
        <f t="shared" si="2"/>
        <v>71032.5</v>
      </c>
      <c r="E30" s="268">
        <v>1.89</v>
      </c>
      <c r="F30" s="271">
        <v>494.8</v>
      </c>
      <c r="G30" s="379">
        <f t="shared" si="3"/>
        <v>74220</v>
      </c>
      <c r="H30" s="313">
        <v>1.95</v>
      </c>
      <c r="I30" s="5">
        <v>178</v>
      </c>
      <c r="J30" s="380">
        <f t="shared" si="0"/>
        <v>26700</v>
      </c>
      <c r="K30" s="26" t="s">
        <v>75</v>
      </c>
      <c r="L30" s="45">
        <v>171.08</v>
      </c>
      <c r="M30" s="383">
        <f t="shared" si="4"/>
        <v>25662.000000000004</v>
      </c>
      <c r="N30" s="48" t="s">
        <v>75</v>
      </c>
      <c r="O30" s="63"/>
      <c r="P30" s="64"/>
      <c r="R30" s="159"/>
      <c r="S30" s="310"/>
      <c r="W30" s="51"/>
      <c r="X30" s="63"/>
      <c r="AD30" s="356">
        <f t="shared" si="5"/>
        <v>71032.5</v>
      </c>
      <c r="AE30" s="356">
        <v>25661.83</v>
      </c>
      <c r="AF30" s="356">
        <f t="shared" si="1"/>
        <v>36.126885580544119</v>
      </c>
      <c r="AL30" s="459"/>
      <c r="AM30" s="51"/>
      <c r="AN30" s="459"/>
    </row>
    <row r="31" spans="2:40">
      <c r="B31" s="1">
        <v>27</v>
      </c>
      <c r="C31" s="47">
        <v>834.91</v>
      </c>
      <c r="D31" s="394">
        <f t="shared" si="2"/>
        <v>125236.5</v>
      </c>
      <c r="E31" s="268">
        <v>1.89</v>
      </c>
      <c r="F31" s="271">
        <v>835.7</v>
      </c>
      <c r="G31" s="378">
        <f t="shared" si="3"/>
        <v>125355</v>
      </c>
      <c r="H31" s="313">
        <v>1.97</v>
      </c>
      <c r="I31" s="5">
        <v>234</v>
      </c>
      <c r="J31" s="380">
        <f t="shared" si="0"/>
        <v>35100</v>
      </c>
      <c r="K31" s="26" t="s">
        <v>75</v>
      </c>
      <c r="L31" s="45">
        <v>235.5</v>
      </c>
      <c r="M31" s="383">
        <f t="shared" si="4"/>
        <v>35325</v>
      </c>
      <c r="N31" s="48" t="s">
        <v>75</v>
      </c>
      <c r="O31" s="63"/>
      <c r="P31" s="64"/>
      <c r="R31" s="159"/>
      <c r="S31" s="310"/>
      <c r="W31" s="51"/>
      <c r="X31" s="63"/>
      <c r="AD31" s="356">
        <f t="shared" si="5"/>
        <v>125236.5</v>
      </c>
      <c r="AE31" s="356">
        <v>35325.14</v>
      </c>
      <c r="AF31" s="356">
        <f t="shared" si="1"/>
        <v>28.206744838765058</v>
      </c>
      <c r="AL31" s="459"/>
      <c r="AM31" s="51"/>
      <c r="AN31" s="459"/>
    </row>
    <row r="32" spans="2:40">
      <c r="B32" s="1">
        <v>28</v>
      </c>
      <c r="C32" s="47">
        <v>2427.2800000000002</v>
      </c>
      <c r="D32" s="394">
        <f t="shared" si="2"/>
        <v>364092.00000000006</v>
      </c>
      <c r="E32" s="269">
        <v>2</v>
      </c>
      <c r="F32" s="271">
        <v>2625.3</v>
      </c>
      <c r="G32" s="378">
        <f t="shared" si="3"/>
        <v>393795</v>
      </c>
      <c r="H32" s="313">
        <v>2.09</v>
      </c>
      <c r="I32" s="5">
        <v>650</v>
      </c>
      <c r="J32" s="380">
        <f t="shared" si="0"/>
        <v>97500</v>
      </c>
      <c r="K32" s="26" t="s">
        <v>75</v>
      </c>
      <c r="L32" s="45">
        <v>172.9</v>
      </c>
      <c r="M32" s="385">
        <f t="shared" si="4"/>
        <v>25935</v>
      </c>
      <c r="N32" s="48" t="s">
        <v>75</v>
      </c>
      <c r="O32" s="63"/>
      <c r="P32" s="64"/>
      <c r="R32" s="159"/>
      <c r="S32" s="310"/>
      <c r="W32" s="51"/>
      <c r="X32" s="63"/>
      <c r="AD32" s="356">
        <f t="shared" si="5"/>
        <v>364092.00000000006</v>
      </c>
      <c r="AE32" s="356">
        <v>25935.17</v>
      </c>
      <c r="AF32" s="356">
        <f t="shared" si="1"/>
        <v>7.1232463223580833</v>
      </c>
      <c r="AL32" s="459"/>
      <c r="AM32" s="51"/>
      <c r="AN32" s="459"/>
    </row>
    <row r="33" spans="2:40">
      <c r="B33" s="1">
        <v>29</v>
      </c>
      <c r="C33" s="47">
        <v>1663.37</v>
      </c>
      <c r="D33" s="395">
        <f t="shared" si="2"/>
        <v>249505.49999999997</v>
      </c>
      <c r="E33" s="268">
        <v>1.81</v>
      </c>
      <c r="F33" s="271">
        <v>1641.1</v>
      </c>
      <c r="G33" s="379">
        <f t="shared" si="3"/>
        <v>246165</v>
      </c>
      <c r="H33" s="313">
        <v>1.9</v>
      </c>
      <c r="I33" s="5">
        <v>550</v>
      </c>
      <c r="J33" s="380">
        <f t="shared" si="0"/>
        <v>82500</v>
      </c>
      <c r="K33" s="26" t="s">
        <v>75</v>
      </c>
      <c r="L33" s="45">
        <v>608.62</v>
      </c>
      <c r="M33" s="383">
        <f t="shared" si="4"/>
        <v>91293</v>
      </c>
      <c r="N33" s="48" t="s">
        <v>75</v>
      </c>
      <c r="O33" s="63"/>
      <c r="P33" s="64"/>
      <c r="R33" s="159"/>
      <c r="S33" s="310"/>
      <c r="W33" s="51"/>
      <c r="X33" s="63"/>
      <c r="AD33" s="356">
        <f t="shared" si="5"/>
        <v>249505.49999999997</v>
      </c>
      <c r="AE33" s="356">
        <v>91293.67</v>
      </c>
      <c r="AF33" s="356">
        <f t="shared" si="1"/>
        <v>36.589842708878159</v>
      </c>
      <c r="AL33" s="459"/>
      <c r="AM33" s="51"/>
      <c r="AN33" s="459"/>
    </row>
    <row r="34" spans="2:40" ht="17" thickBot="1">
      <c r="B34" s="3">
        <v>30</v>
      </c>
      <c r="C34" s="49">
        <v>704.96</v>
      </c>
      <c r="D34" s="403">
        <f t="shared" si="2"/>
        <v>105744</v>
      </c>
      <c r="E34" s="270">
        <v>1.87</v>
      </c>
      <c r="F34" s="272">
        <v>701.4</v>
      </c>
      <c r="G34" s="404">
        <f t="shared" si="3"/>
        <v>105210</v>
      </c>
      <c r="H34" s="314">
        <v>1.92</v>
      </c>
      <c r="I34" s="6">
        <v>190</v>
      </c>
      <c r="J34" s="381">
        <f t="shared" si="0"/>
        <v>28500</v>
      </c>
      <c r="K34" s="44" t="s">
        <v>75</v>
      </c>
      <c r="L34" s="46">
        <v>224.76</v>
      </c>
      <c r="M34" s="384">
        <f t="shared" si="4"/>
        <v>33714</v>
      </c>
      <c r="N34" s="50" t="s">
        <v>75</v>
      </c>
      <c r="O34" s="63"/>
      <c r="P34" s="64"/>
      <c r="R34" s="159"/>
      <c r="S34" s="310"/>
      <c r="W34" s="51"/>
      <c r="X34" s="63"/>
      <c r="AD34" s="357">
        <f t="shared" si="5"/>
        <v>105744</v>
      </c>
      <c r="AE34" s="357">
        <v>33714.32</v>
      </c>
      <c r="AF34" s="357">
        <f t="shared" si="1"/>
        <v>31.882962626721138</v>
      </c>
      <c r="AL34" s="459"/>
      <c r="AM34" s="51"/>
      <c r="AN34" s="459"/>
    </row>
    <row r="35" spans="2:40" ht="17" thickBot="1">
      <c r="AL35" s="159"/>
      <c r="AM35" s="159"/>
      <c r="AN35" s="159"/>
    </row>
    <row r="36" spans="2:40" ht="17" thickBot="1">
      <c r="B36" s="143" t="s">
        <v>10</v>
      </c>
      <c r="C36" s="276"/>
      <c r="D36" s="276"/>
      <c r="E36" s="243">
        <f>AVERAGE(E5:E34)</f>
        <v>1.8696666666666664</v>
      </c>
      <c r="F36" s="242"/>
      <c r="G36" s="242"/>
      <c r="H36" s="243">
        <f>AVERAGE(H5:H34)</f>
        <v>1.8693333333333331</v>
      </c>
      <c r="I36" s="242"/>
      <c r="J36" s="242"/>
      <c r="K36" s="242"/>
      <c r="L36" s="242"/>
      <c r="M36" s="286"/>
      <c r="N36" s="244"/>
      <c r="V36" s="589"/>
      <c r="W36" s="589"/>
      <c r="X36" s="589"/>
      <c r="Y36" s="51"/>
      <c r="AD36" s="456" t="s">
        <v>79</v>
      </c>
      <c r="AE36" s="143"/>
      <c r="AF36" s="457">
        <f>AVERAGE(AF5:AF34)</f>
        <v>27.334485554371678</v>
      </c>
      <c r="AG36" s="51"/>
      <c r="AL36" s="653"/>
      <c r="AM36" s="653"/>
      <c r="AN36" s="459"/>
    </row>
    <row r="39" spans="2:40" ht="17" thickBot="1"/>
    <row r="40" spans="2:40" ht="22" thickBot="1">
      <c r="B40" s="654" t="s">
        <v>141</v>
      </c>
      <c r="C40" s="655"/>
      <c r="D40" s="655"/>
      <c r="E40" s="655"/>
      <c r="F40" s="656"/>
    </row>
    <row r="41" spans="2:40" ht="22" thickBot="1">
      <c r="B41" s="576"/>
      <c r="C41" s="577" t="s">
        <v>77</v>
      </c>
      <c r="D41" s="578" t="s">
        <v>71</v>
      </c>
      <c r="E41" s="578" t="s">
        <v>72</v>
      </c>
      <c r="F41" s="579" t="s">
        <v>73</v>
      </c>
    </row>
    <row r="42" spans="2:40">
      <c r="B42" s="7">
        <v>1</v>
      </c>
      <c r="C42" s="580">
        <f>C5*150</f>
        <v>311457</v>
      </c>
      <c r="D42" s="397">
        <f>F5*150</f>
        <v>333015</v>
      </c>
      <c r="E42" s="102">
        <f>I5*150</f>
        <v>81750</v>
      </c>
      <c r="F42" s="581">
        <f>L5*150</f>
        <v>27160.5</v>
      </c>
    </row>
    <row r="43" spans="2:40">
      <c r="B43" s="1">
        <v>2</v>
      </c>
      <c r="C43" s="47">
        <f>C6*150</f>
        <v>108447</v>
      </c>
      <c r="D43" s="268">
        <f>F6*150</f>
        <v>116520</v>
      </c>
      <c r="E43" s="105">
        <f>I6*150</f>
        <v>40200</v>
      </c>
      <c r="F43" s="582">
        <f>L6*150</f>
        <v>43443</v>
      </c>
    </row>
    <row r="44" spans="2:40">
      <c r="B44" s="1">
        <v>3</v>
      </c>
      <c r="C44" s="583">
        <f>C7*150</f>
        <v>285721.5</v>
      </c>
      <c r="D44" s="268">
        <f>F7*150</f>
        <v>273090</v>
      </c>
      <c r="E44" s="105">
        <f>I7*150</f>
        <v>100500</v>
      </c>
      <c r="F44" s="582">
        <f>L7*150</f>
        <v>79726.5</v>
      </c>
    </row>
    <row r="45" spans="2:40">
      <c r="B45" s="1">
        <v>4</v>
      </c>
      <c r="C45" s="583">
        <f>C8*150</f>
        <v>54846</v>
      </c>
      <c r="D45" s="268">
        <f>F8*150</f>
        <v>64125</v>
      </c>
      <c r="E45" s="105">
        <f>I8*150</f>
        <v>36900</v>
      </c>
      <c r="F45" s="582">
        <f>L8*150</f>
        <v>17961</v>
      </c>
    </row>
    <row r="46" spans="2:40">
      <c r="B46" s="1">
        <v>5</v>
      </c>
      <c r="C46" s="583">
        <f t="shared" ref="C46:C71" si="6">C9*150</f>
        <v>144840</v>
      </c>
      <c r="D46" s="268">
        <f t="shared" ref="D46:D71" si="7">F9*150</f>
        <v>156675</v>
      </c>
      <c r="E46" s="105">
        <f>I9*150</f>
        <v>37800</v>
      </c>
      <c r="F46" s="582">
        <f>L9*150</f>
        <v>41014.5</v>
      </c>
    </row>
    <row r="47" spans="2:40">
      <c r="B47" s="1">
        <v>6</v>
      </c>
      <c r="C47" s="47">
        <f t="shared" si="6"/>
        <v>141813</v>
      </c>
      <c r="D47" s="268">
        <f t="shared" si="7"/>
        <v>157530</v>
      </c>
      <c r="E47" s="105">
        <f t="shared" ref="E47:E71" si="8">I10*150</f>
        <v>39000</v>
      </c>
      <c r="F47" s="582">
        <f t="shared" ref="F47:F71" si="9">L10*150</f>
        <v>45702</v>
      </c>
    </row>
    <row r="48" spans="2:40">
      <c r="B48" s="1">
        <v>7</v>
      </c>
      <c r="C48" s="583">
        <f t="shared" si="6"/>
        <v>69060</v>
      </c>
      <c r="D48" s="268">
        <f t="shared" si="7"/>
        <v>68610</v>
      </c>
      <c r="E48" s="105">
        <f t="shared" si="8"/>
        <v>20400</v>
      </c>
      <c r="F48" s="582">
        <f t="shared" si="9"/>
        <v>18211.5</v>
      </c>
    </row>
    <row r="49" spans="2:6">
      <c r="B49" s="1">
        <v>8</v>
      </c>
      <c r="C49" s="583">
        <f t="shared" si="6"/>
        <v>90364.499999999985</v>
      </c>
      <c r="D49" s="268">
        <f t="shared" si="7"/>
        <v>89265</v>
      </c>
      <c r="E49" s="105">
        <f t="shared" si="8"/>
        <v>30900</v>
      </c>
      <c r="F49" s="582">
        <f t="shared" si="9"/>
        <v>35802</v>
      </c>
    </row>
    <row r="50" spans="2:6">
      <c r="B50" s="1">
        <v>9</v>
      </c>
      <c r="C50" s="583">
        <f t="shared" si="6"/>
        <v>182280</v>
      </c>
      <c r="D50" s="268">
        <f t="shared" si="7"/>
        <v>193530</v>
      </c>
      <c r="E50" s="105">
        <f t="shared" si="8"/>
        <v>54600</v>
      </c>
      <c r="F50" s="582">
        <f t="shared" si="9"/>
        <v>59557.5</v>
      </c>
    </row>
    <row r="51" spans="2:6">
      <c r="B51" s="1">
        <v>10</v>
      </c>
      <c r="C51" s="47">
        <f t="shared" si="6"/>
        <v>191577</v>
      </c>
      <c r="D51" s="268">
        <f t="shared" si="7"/>
        <v>192945</v>
      </c>
      <c r="E51" s="105">
        <f t="shared" si="8"/>
        <v>52050</v>
      </c>
      <c r="F51" s="582">
        <f t="shared" si="9"/>
        <v>49203</v>
      </c>
    </row>
    <row r="52" spans="2:6">
      <c r="B52" s="1">
        <v>11</v>
      </c>
      <c r="C52" s="583">
        <f t="shared" si="6"/>
        <v>222820.5</v>
      </c>
      <c r="D52" s="268">
        <f t="shared" si="7"/>
        <v>232020</v>
      </c>
      <c r="E52" s="105">
        <f t="shared" si="8"/>
        <v>53400</v>
      </c>
      <c r="F52" s="582">
        <f t="shared" si="9"/>
        <v>37014</v>
      </c>
    </row>
    <row r="53" spans="2:6">
      <c r="B53" s="1">
        <v>12</v>
      </c>
      <c r="C53" s="583">
        <f t="shared" si="6"/>
        <v>163485</v>
      </c>
      <c r="D53" s="268">
        <f t="shared" si="7"/>
        <v>161745</v>
      </c>
      <c r="E53" s="105">
        <f t="shared" si="8"/>
        <v>36600</v>
      </c>
      <c r="F53" s="582">
        <f t="shared" si="9"/>
        <v>44599.5</v>
      </c>
    </row>
    <row r="54" spans="2:6">
      <c r="B54" s="1">
        <v>13</v>
      </c>
      <c r="C54" s="583">
        <f t="shared" si="6"/>
        <v>226222.5</v>
      </c>
      <c r="D54" s="268">
        <f t="shared" si="7"/>
        <v>223995</v>
      </c>
      <c r="E54" s="105">
        <f t="shared" si="8"/>
        <v>65700</v>
      </c>
      <c r="F54" s="582">
        <f t="shared" si="9"/>
        <v>58261.500000000007</v>
      </c>
    </row>
    <row r="55" spans="2:6">
      <c r="B55" s="1">
        <v>14</v>
      </c>
      <c r="C55" s="47">
        <f t="shared" si="6"/>
        <v>159232.5</v>
      </c>
      <c r="D55" s="268">
        <f t="shared" si="7"/>
        <v>159855</v>
      </c>
      <c r="E55" s="105">
        <f t="shared" si="8"/>
        <v>44550</v>
      </c>
      <c r="F55" s="582">
        <f t="shared" si="9"/>
        <v>47368.5</v>
      </c>
    </row>
    <row r="56" spans="2:6">
      <c r="B56" s="1">
        <v>15</v>
      </c>
      <c r="C56" s="583">
        <f t="shared" si="6"/>
        <v>224460</v>
      </c>
      <c r="D56" s="268">
        <f t="shared" si="7"/>
        <v>225375</v>
      </c>
      <c r="E56" s="105">
        <f t="shared" si="8"/>
        <v>58950</v>
      </c>
      <c r="F56" s="582">
        <f t="shared" si="9"/>
        <v>55425</v>
      </c>
    </row>
    <row r="57" spans="2:6">
      <c r="B57" s="1">
        <v>16</v>
      </c>
      <c r="C57" s="583">
        <f t="shared" si="6"/>
        <v>82083</v>
      </c>
      <c r="D57" s="268">
        <f t="shared" si="7"/>
        <v>80100</v>
      </c>
      <c r="E57" s="105">
        <f t="shared" si="8"/>
        <v>29100</v>
      </c>
      <c r="F57" s="582">
        <f t="shared" si="9"/>
        <v>35158.5</v>
      </c>
    </row>
    <row r="58" spans="2:6">
      <c r="B58" s="1">
        <v>17</v>
      </c>
      <c r="C58" s="583">
        <f t="shared" si="6"/>
        <v>85380</v>
      </c>
      <c r="D58" s="268">
        <f t="shared" si="7"/>
        <v>85155</v>
      </c>
      <c r="E58" s="105">
        <f t="shared" si="8"/>
        <v>31050</v>
      </c>
      <c r="F58" s="582">
        <f t="shared" si="9"/>
        <v>30603</v>
      </c>
    </row>
    <row r="59" spans="2:6">
      <c r="B59" s="1">
        <v>18</v>
      </c>
      <c r="C59" s="47">
        <f t="shared" si="6"/>
        <v>426748.49999999994</v>
      </c>
      <c r="D59" s="268">
        <f t="shared" si="7"/>
        <v>426390</v>
      </c>
      <c r="E59" s="105">
        <f t="shared" si="8"/>
        <v>141000</v>
      </c>
      <c r="F59" s="582">
        <f t="shared" si="9"/>
        <v>60282</v>
      </c>
    </row>
    <row r="60" spans="2:6">
      <c r="B60" s="1">
        <v>19</v>
      </c>
      <c r="C60" s="583">
        <f t="shared" si="6"/>
        <v>95433</v>
      </c>
      <c r="D60" s="268">
        <f t="shared" si="7"/>
        <v>99420</v>
      </c>
      <c r="E60" s="105">
        <f t="shared" si="8"/>
        <v>23700</v>
      </c>
      <c r="F60" s="582">
        <f t="shared" si="9"/>
        <v>23548.5</v>
      </c>
    </row>
    <row r="61" spans="2:6">
      <c r="B61" s="1">
        <v>20</v>
      </c>
      <c r="C61" s="583">
        <f t="shared" si="6"/>
        <v>68448</v>
      </c>
      <c r="D61" s="268">
        <f t="shared" si="7"/>
        <v>74550</v>
      </c>
      <c r="E61" s="105">
        <f t="shared" si="8"/>
        <v>13650</v>
      </c>
      <c r="F61" s="582">
        <f t="shared" si="9"/>
        <v>14419.5</v>
      </c>
    </row>
    <row r="62" spans="2:6">
      <c r="B62" s="1">
        <v>21</v>
      </c>
      <c r="C62" s="583">
        <f t="shared" si="6"/>
        <v>374019</v>
      </c>
      <c r="D62" s="268">
        <f t="shared" si="7"/>
        <v>363045</v>
      </c>
      <c r="E62" s="105">
        <f t="shared" si="8"/>
        <v>143250</v>
      </c>
      <c r="F62" s="582">
        <f t="shared" si="9"/>
        <v>47413.499999999993</v>
      </c>
    </row>
    <row r="63" spans="2:6">
      <c r="B63" s="1">
        <v>22</v>
      </c>
      <c r="C63" s="47">
        <f t="shared" si="6"/>
        <v>333390</v>
      </c>
      <c r="D63" s="268">
        <f t="shared" si="7"/>
        <v>345240</v>
      </c>
      <c r="E63" s="105">
        <f t="shared" si="8"/>
        <v>114750</v>
      </c>
      <c r="F63" s="582">
        <f t="shared" si="9"/>
        <v>51877.5</v>
      </c>
    </row>
    <row r="64" spans="2:6">
      <c r="B64" s="1">
        <v>23</v>
      </c>
      <c r="C64" s="583">
        <f t="shared" si="6"/>
        <v>170197.5</v>
      </c>
      <c r="D64" s="268">
        <f t="shared" si="7"/>
        <v>183480</v>
      </c>
      <c r="E64" s="105">
        <f t="shared" si="8"/>
        <v>48450</v>
      </c>
      <c r="F64" s="582">
        <f t="shared" si="9"/>
        <v>34869</v>
      </c>
    </row>
    <row r="65" spans="2:6">
      <c r="B65" s="1">
        <v>24</v>
      </c>
      <c r="C65" s="583">
        <f t="shared" si="6"/>
        <v>126615</v>
      </c>
      <c r="D65" s="268">
        <f t="shared" si="7"/>
        <v>130245</v>
      </c>
      <c r="E65" s="105">
        <f t="shared" si="8"/>
        <v>47250</v>
      </c>
      <c r="F65" s="582">
        <f t="shared" si="9"/>
        <v>44809.5</v>
      </c>
    </row>
    <row r="66" spans="2:6">
      <c r="B66" s="1">
        <v>25</v>
      </c>
      <c r="C66" s="583">
        <f t="shared" si="6"/>
        <v>47814</v>
      </c>
      <c r="D66" s="268">
        <f t="shared" si="7"/>
        <v>48780</v>
      </c>
      <c r="E66" s="105">
        <f t="shared" si="8"/>
        <v>14250</v>
      </c>
      <c r="F66" s="582">
        <f t="shared" si="9"/>
        <v>18694.5</v>
      </c>
    </row>
    <row r="67" spans="2:6">
      <c r="B67" s="1">
        <v>26</v>
      </c>
      <c r="C67" s="47">
        <f t="shared" si="6"/>
        <v>71032.5</v>
      </c>
      <c r="D67" s="268">
        <f t="shared" si="7"/>
        <v>74220</v>
      </c>
      <c r="E67" s="105">
        <f t="shared" si="8"/>
        <v>26700</v>
      </c>
      <c r="F67" s="582">
        <f t="shared" si="9"/>
        <v>25662.000000000004</v>
      </c>
    </row>
    <row r="68" spans="2:6">
      <c r="B68" s="1">
        <v>27</v>
      </c>
      <c r="C68" s="583">
        <f t="shared" si="6"/>
        <v>125236.5</v>
      </c>
      <c r="D68" s="268">
        <f t="shared" si="7"/>
        <v>125355</v>
      </c>
      <c r="E68" s="105">
        <f t="shared" si="8"/>
        <v>35100</v>
      </c>
      <c r="F68" s="582">
        <f t="shared" si="9"/>
        <v>35325</v>
      </c>
    </row>
    <row r="69" spans="2:6">
      <c r="B69" s="1">
        <v>28</v>
      </c>
      <c r="C69" s="583">
        <f t="shared" si="6"/>
        <v>364092.00000000006</v>
      </c>
      <c r="D69" s="268">
        <f t="shared" si="7"/>
        <v>393795</v>
      </c>
      <c r="E69" s="105">
        <f t="shared" si="8"/>
        <v>97500</v>
      </c>
      <c r="F69" s="582">
        <f t="shared" si="9"/>
        <v>25935</v>
      </c>
    </row>
    <row r="70" spans="2:6">
      <c r="B70" s="1">
        <v>29</v>
      </c>
      <c r="C70" s="583">
        <f t="shared" si="6"/>
        <v>249505.49999999997</v>
      </c>
      <c r="D70" s="268">
        <f t="shared" si="7"/>
        <v>246165</v>
      </c>
      <c r="E70" s="105">
        <f t="shared" si="8"/>
        <v>82500</v>
      </c>
      <c r="F70" s="582">
        <f t="shared" si="9"/>
        <v>91293</v>
      </c>
    </row>
    <row r="71" spans="2:6" ht="17" thickBot="1">
      <c r="B71" s="3">
        <v>30</v>
      </c>
      <c r="C71" s="49">
        <f t="shared" si="6"/>
        <v>105744</v>
      </c>
      <c r="D71" s="270">
        <f t="shared" si="7"/>
        <v>105210</v>
      </c>
      <c r="E71" s="109">
        <f t="shared" si="8"/>
        <v>28500</v>
      </c>
      <c r="F71" s="584">
        <f t="shared" si="9"/>
        <v>33714</v>
      </c>
    </row>
  </sheetData>
  <mergeCells count="9">
    <mergeCell ref="AD3:AF3"/>
    <mergeCell ref="AL3:AN3"/>
    <mergeCell ref="AL36:AM36"/>
    <mergeCell ref="B40:F40"/>
    <mergeCell ref="B2:N2"/>
    <mergeCell ref="C3:E3"/>
    <mergeCell ref="F3:H3"/>
    <mergeCell ref="I3:K3"/>
    <mergeCell ref="L3:N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2D6F5-3167-5646-B371-957B71D920EF}">
  <dimension ref="B1:AM103"/>
  <sheetViews>
    <sheetView zoomScale="37" zoomScaleNormal="227" workbookViewId="0">
      <selection activeCell="F84" sqref="F84"/>
    </sheetView>
  </sheetViews>
  <sheetFormatPr baseColWidth="10" defaultRowHeight="16"/>
  <cols>
    <col min="3" max="3" width="18.33203125" customWidth="1"/>
    <col min="4" max="4" width="17.33203125" bestFit="1" customWidth="1"/>
    <col min="10" max="10" width="19.6640625" customWidth="1"/>
    <col min="11" max="11" width="18.33203125" customWidth="1"/>
    <col min="17" max="17" width="17.6640625" customWidth="1"/>
    <col min="18" max="18" width="17.5" customWidth="1"/>
    <col min="24" max="24" width="14.5" customWidth="1"/>
    <col min="25" max="25" width="12.83203125" bestFit="1" customWidth="1"/>
    <col min="30" max="30" width="15.33203125" bestFit="1" customWidth="1"/>
    <col min="32" max="32" width="13.33203125" bestFit="1" customWidth="1"/>
  </cols>
  <sheetData>
    <row r="1" spans="2:39" ht="17" thickBot="1"/>
    <row r="2" spans="2:39" ht="25" thickBot="1">
      <c r="B2" s="607" t="s">
        <v>121</v>
      </c>
      <c r="C2" s="609"/>
      <c r="D2" s="610"/>
      <c r="F2" s="62"/>
      <c r="G2" s="62"/>
      <c r="I2" s="660" t="s">
        <v>122</v>
      </c>
      <c r="J2" s="661"/>
      <c r="K2" s="662"/>
      <c r="L2" s="62"/>
      <c r="M2" s="62"/>
      <c r="N2" s="62"/>
      <c r="P2" s="614" t="s">
        <v>123</v>
      </c>
      <c r="Q2" s="615"/>
      <c r="R2" s="616"/>
      <c r="S2" s="65"/>
      <c r="T2" s="65"/>
      <c r="W2" s="663" t="s">
        <v>124</v>
      </c>
      <c r="X2" s="664"/>
      <c r="Y2" s="665"/>
      <c r="AC2" s="311"/>
      <c r="AD2" s="666" t="s">
        <v>81</v>
      </c>
      <c r="AE2" s="667"/>
      <c r="AF2" s="668"/>
      <c r="AK2" s="311"/>
      <c r="AL2" s="311"/>
      <c r="AM2" s="311"/>
    </row>
    <row r="3" spans="2:39" ht="22" thickBot="1">
      <c r="B3" s="416"/>
      <c r="C3" s="417" t="s">
        <v>80</v>
      </c>
      <c r="D3" s="416" t="s">
        <v>1</v>
      </c>
      <c r="F3" s="68"/>
      <c r="G3" s="68"/>
      <c r="I3" s="422"/>
      <c r="J3" s="422" t="s">
        <v>80</v>
      </c>
      <c r="K3" s="423" t="s">
        <v>1</v>
      </c>
      <c r="L3" s="68"/>
      <c r="M3" s="68"/>
      <c r="N3" s="68"/>
      <c r="P3" s="433"/>
      <c r="Q3" s="434" t="s">
        <v>80</v>
      </c>
      <c r="R3" s="435" t="s">
        <v>1</v>
      </c>
      <c r="S3" s="69"/>
      <c r="W3" s="437"/>
      <c r="X3" s="438" t="s">
        <v>80</v>
      </c>
      <c r="Y3" s="444" t="s">
        <v>1</v>
      </c>
      <c r="AD3" s="229" t="s">
        <v>82</v>
      </c>
      <c r="AE3" s="233" t="s">
        <v>83</v>
      </c>
      <c r="AF3" s="231" t="s">
        <v>84</v>
      </c>
    </row>
    <row r="4" spans="2:39">
      <c r="B4" s="407">
        <v>1</v>
      </c>
      <c r="C4" s="38">
        <f>77.31*50</f>
        <v>3865.5</v>
      </c>
      <c r="D4" s="418">
        <f>31.73*50</f>
        <v>1586.5</v>
      </c>
      <c r="F4" s="225"/>
      <c r="I4" s="421">
        <v>1</v>
      </c>
      <c r="J4" s="427">
        <f>85*50</f>
        <v>4250</v>
      </c>
      <c r="K4" s="424">
        <f>28.2*50</f>
        <v>1410</v>
      </c>
      <c r="L4" s="40"/>
      <c r="M4" s="40"/>
      <c r="N4" s="40"/>
      <c r="P4" s="58">
        <v>1</v>
      </c>
      <c r="Q4" s="55">
        <f>64.4*50</f>
        <v>3220.0000000000005</v>
      </c>
      <c r="R4" s="430">
        <f>20.4*50</f>
        <v>1019.9999999999999</v>
      </c>
      <c r="S4" s="63"/>
      <c r="T4" s="64"/>
      <c r="W4" s="436">
        <v>1</v>
      </c>
      <c r="X4" s="415">
        <f>56.36*50</f>
        <v>2818</v>
      </c>
      <c r="Y4" s="445">
        <f>15.68*50</f>
        <v>784</v>
      </c>
      <c r="AD4" s="232" t="s">
        <v>80</v>
      </c>
      <c r="AE4" s="234">
        <v>4</v>
      </c>
      <c r="AF4" s="287">
        <f>(AE4/AE7)*100</f>
        <v>13.333333333333334</v>
      </c>
      <c r="AM4" s="312"/>
    </row>
    <row r="5" spans="2:39">
      <c r="B5" s="408">
        <v>2</v>
      </c>
      <c r="C5" s="13">
        <f>89.76*50</f>
        <v>4488</v>
      </c>
      <c r="D5" s="419">
        <f>15.39*50</f>
        <v>769.5</v>
      </c>
      <c r="I5" s="66">
        <v>2</v>
      </c>
      <c r="J5" s="428">
        <f>96.5*50</f>
        <v>4825</v>
      </c>
      <c r="K5" s="425">
        <f>15.7*50</f>
        <v>785</v>
      </c>
      <c r="L5" s="40"/>
      <c r="M5" s="40"/>
      <c r="N5" s="40"/>
      <c r="P5" s="59">
        <v>2</v>
      </c>
      <c r="Q5" s="56">
        <f>82*50</f>
        <v>4100</v>
      </c>
      <c r="R5" s="431">
        <f>12.3*50</f>
        <v>615</v>
      </c>
      <c r="S5" s="63"/>
      <c r="T5" s="64"/>
      <c r="W5" s="411">
        <v>2</v>
      </c>
      <c r="X5" s="413">
        <f>57.6*50</f>
        <v>2880</v>
      </c>
      <c r="Y5" s="446">
        <f>9.79*50</f>
        <v>489.49999999999994</v>
      </c>
      <c r="AD5" s="227" t="s">
        <v>1</v>
      </c>
      <c r="AE5" s="235">
        <v>23</v>
      </c>
      <c r="AF5" s="288">
        <f>(AE5/AE7)*100</f>
        <v>76.666666666666671</v>
      </c>
      <c r="AM5" s="312"/>
    </row>
    <row r="6" spans="2:39" ht="17" thickBot="1">
      <c r="B6" s="408">
        <v>3</v>
      </c>
      <c r="C6" s="13">
        <f>60.49*50</f>
        <v>3024.5</v>
      </c>
      <c r="D6" s="419">
        <f>20.35*50</f>
        <v>1017.5000000000001</v>
      </c>
      <c r="I6" s="66">
        <v>3</v>
      </c>
      <c r="J6" s="428">
        <f>64.9*50</f>
        <v>3245.0000000000005</v>
      </c>
      <c r="K6" s="425">
        <f>16.3*50</f>
        <v>815</v>
      </c>
      <c r="L6" s="40"/>
      <c r="M6" s="40"/>
      <c r="N6" s="40"/>
      <c r="P6" s="59">
        <v>3</v>
      </c>
      <c r="Q6" s="56">
        <f>41.6*50</f>
        <v>2080</v>
      </c>
      <c r="R6" s="431">
        <f>11.3*50</f>
        <v>565</v>
      </c>
      <c r="S6" s="63"/>
      <c r="T6" s="64"/>
      <c r="W6" s="411">
        <v>3</v>
      </c>
      <c r="X6" s="413">
        <f>39.69*50</f>
        <v>1984.5</v>
      </c>
      <c r="Y6" s="446">
        <f>10.44*50</f>
        <v>522</v>
      </c>
      <c r="AD6" s="228" t="s">
        <v>85</v>
      </c>
      <c r="AE6" s="236">
        <v>3</v>
      </c>
      <c r="AF6" s="289">
        <f>(AE6/AE7)*100</f>
        <v>10</v>
      </c>
      <c r="AL6" s="657"/>
      <c r="AM6" s="657"/>
    </row>
    <row r="7" spans="2:39" ht="17" thickBot="1">
      <c r="B7" s="408">
        <v>4</v>
      </c>
      <c r="C7" s="13">
        <f>49.34*50</f>
        <v>2467</v>
      </c>
      <c r="D7" s="419">
        <f>30.19*50</f>
        <v>1509.5</v>
      </c>
      <c r="F7" s="225"/>
      <c r="I7" s="66">
        <v>4</v>
      </c>
      <c r="J7" s="428">
        <f>53*50</f>
        <v>2650</v>
      </c>
      <c r="K7" s="425">
        <f>32.2*50</f>
        <v>1610.0000000000002</v>
      </c>
      <c r="L7" s="40"/>
      <c r="M7" s="40"/>
      <c r="N7" s="40"/>
      <c r="P7" s="59">
        <v>4</v>
      </c>
      <c r="Q7" s="56">
        <f>38.6*50</f>
        <v>1930</v>
      </c>
      <c r="R7" s="431">
        <f>19.3*50</f>
        <v>965</v>
      </c>
      <c r="S7" s="63"/>
      <c r="T7" s="64"/>
      <c r="W7" s="411">
        <v>4</v>
      </c>
      <c r="X7" s="413">
        <f>29.06*50</f>
        <v>1453</v>
      </c>
      <c r="Y7" s="446">
        <f>18.07*50</f>
        <v>903.5</v>
      </c>
      <c r="AD7" s="230" t="s">
        <v>86</v>
      </c>
      <c r="AE7" s="658">
        <f>AE4+AE5+AE6</f>
        <v>30</v>
      </c>
      <c r="AF7" s="659"/>
    </row>
    <row r="8" spans="2:39">
      <c r="B8" s="408">
        <v>5</v>
      </c>
      <c r="C8" s="13">
        <f>97.1*50</f>
        <v>4855</v>
      </c>
      <c r="D8" s="419">
        <f>36.99*50</f>
        <v>1849.5</v>
      </c>
      <c r="I8" s="66">
        <v>5</v>
      </c>
      <c r="J8" s="428">
        <f>103.6*50</f>
        <v>5180</v>
      </c>
      <c r="K8" s="425">
        <f>38.4*50</f>
        <v>1920</v>
      </c>
      <c r="L8" s="40"/>
      <c r="M8" s="40"/>
      <c r="N8" s="40"/>
      <c r="P8" s="59">
        <v>5</v>
      </c>
      <c r="Q8" s="56">
        <f>86*50</f>
        <v>4300</v>
      </c>
      <c r="R8" s="431">
        <f>25.3*50</f>
        <v>1265</v>
      </c>
      <c r="S8" s="63"/>
      <c r="T8" s="64"/>
      <c r="W8" s="411">
        <v>5</v>
      </c>
      <c r="X8" s="413">
        <f>64.46*50</f>
        <v>3222.9999999999995</v>
      </c>
      <c r="Y8" s="446">
        <f>20.26*50</f>
        <v>1013.0000000000001</v>
      </c>
    </row>
    <row r="9" spans="2:39">
      <c r="B9" s="408">
        <v>6</v>
      </c>
      <c r="C9" s="13">
        <f>46.7*50</f>
        <v>2335</v>
      </c>
      <c r="D9" s="419">
        <f>26.74*50</f>
        <v>1337</v>
      </c>
      <c r="I9" s="66">
        <v>6</v>
      </c>
      <c r="J9" s="428">
        <f>48.7*50</f>
        <v>2435</v>
      </c>
      <c r="K9" s="425">
        <f>27.2*50</f>
        <v>1360</v>
      </c>
      <c r="L9" s="40"/>
      <c r="M9" s="40"/>
      <c r="N9" s="40"/>
      <c r="P9" s="59">
        <v>6</v>
      </c>
      <c r="Q9" s="56">
        <f>34.3*50</f>
        <v>1714.9999999999998</v>
      </c>
      <c r="R9" s="431">
        <f>18*50</f>
        <v>900</v>
      </c>
      <c r="S9" s="63"/>
      <c r="T9" s="64"/>
      <c r="W9" s="411">
        <v>6</v>
      </c>
      <c r="X9" s="413">
        <f>15.48*50</f>
        <v>774</v>
      </c>
      <c r="Y9" s="446">
        <f>13.43*50</f>
        <v>671.5</v>
      </c>
    </row>
    <row r="10" spans="2:39">
      <c r="B10" s="408">
        <v>7</v>
      </c>
      <c r="C10" s="13">
        <f>30.8*50</f>
        <v>1540</v>
      </c>
      <c r="D10" s="419">
        <f>21.03*50</f>
        <v>1051.5</v>
      </c>
      <c r="F10" s="225"/>
      <c r="I10" s="66">
        <v>7</v>
      </c>
      <c r="J10" s="428">
        <f>32.2*50</f>
        <v>1610.0000000000002</v>
      </c>
      <c r="K10" s="425">
        <f>17.4*50</f>
        <v>869.99999999999989</v>
      </c>
      <c r="L10" s="40"/>
      <c r="M10" s="40"/>
      <c r="N10" s="40"/>
      <c r="P10" s="59">
        <v>7</v>
      </c>
      <c r="Q10" s="56">
        <f>29*50</f>
        <v>1450</v>
      </c>
      <c r="R10" s="431">
        <f>12.3*50</f>
        <v>615</v>
      </c>
      <c r="S10" s="63"/>
      <c r="T10" s="64"/>
      <c r="W10" s="411">
        <v>7</v>
      </c>
      <c r="X10" s="413">
        <f>25.13*50</f>
        <v>1256.5</v>
      </c>
      <c r="Y10" s="446">
        <f>9.98*50</f>
        <v>499</v>
      </c>
    </row>
    <row r="11" spans="2:39">
      <c r="B11" s="408">
        <v>8</v>
      </c>
      <c r="C11" s="13">
        <f>96.01*50</f>
        <v>4800.5</v>
      </c>
      <c r="D11" s="419">
        <f>54.31*50</f>
        <v>2715.5</v>
      </c>
      <c r="I11" s="66">
        <v>8</v>
      </c>
      <c r="J11" s="428">
        <f>102.3*50</f>
        <v>5115</v>
      </c>
      <c r="K11" s="425">
        <f>50.2*50</f>
        <v>2510</v>
      </c>
      <c r="L11" s="40"/>
      <c r="M11" s="40"/>
      <c r="N11" s="40"/>
      <c r="P11" s="59">
        <v>8</v>
      </c>
      <c r="Q11" s="56">
        <f>93.2*50</f>
        <v>4660</v>
      </c>
      <c r="R11" s="431">
        <f>36.6*50</f>
        <v>1830</v>
      </c>
      <c r="S11" s="63"/>
      <c r="T11" s="64"/>
      <c r="W11" s="411">
        <v>8</v>
      </c>
      <c r="X11" s="413">
        <f>62.4*50</f>
        <v>3120</v>
      </c>
      <c r="Y11" s="446">
        <f>35.37*50</f>
        <v>1768.4999999999998</v>
      </c>
    </row>
    <row r="12" spans="2:39">
      <c r="B12" s="408">
        <v>9</v>
      </c>
      <c r="C12" s="13">
        <f>60.75*50</f>
        <v>3037.5</v>
      </c>
      <c r="D12" s="419">
        <f>82.91*50</f>
        <v>4145.5</v>
      </c>
      <c r="I12" s="66">
        <v>9</v>
      </c>
      <c r="J12" s="428">
        <f>61.8*50</f>
        <v>3090</v>
      </c>
      <c r="K12" s="425">
        <f>84.2*50</f>
        <v>4210</v>
      </c>
      <c r="L12" s="40"/>
      <c r="M12" s="40"/>
      <c r="N12" s="40"/>
      <c r="P12" s="59">
        <v>9</v>
      </c>
      <c r="Q12" s="56">
        <f>40.4*50</f>
        <v>2020</v>
      </c>
      <c r="R12" s="431">
        <f>69.6*50</f>
        <v>3479.9999999999995</v>
      </c>
      <c r="S12" s="63"/>
      <c r="T12" s="64"/>
      <c r="W12" s="411">
        <v>9</v>
      </c>
      <c r="X12" s="413">
        <f>9.33*50</f>
        <v>466.5</v>
      </c>
      <c r="Y12" s="446">
        <f>40.67*50</f>
        <v>2033.5</v>
      </c>
    </row>
    <row r="13" spans="2:39">
      <c r="B13" s="408">
        <v>10</v>
      </c>
      <c r="C13" s="13">
        <f>52.01*50</f>
        <v>2600.5</v>
      </c>
      <c r="D13" s="419">
        <f>15.86*50</f>
        <v>793</v>
      </c>
      <c r="F13" s="225"/>
      <c r="I13" s="66">
        <v>10</v>
      </c>
      <c r="J13" s="428">
        <f>55.5*50</f>
        <v>2775</v>
      </c>
      <c r="K13" s="425">
        <f>16.7*50</f>
        <v>835</v>
      </c>
      <c r="L13" s="40"/>
      <c r="M13" s="40"/>
      <c r="N13" s="40"/>
      <c r="P13" s="59">
        <v>10</v>
      </c>
      <c r="Q13" s="56">
        <f>46.4*50</f>
        <v>2320</v>
      </c>
      <c r="R13" s="431">
        <f>10.8*50</f>
        <v>540</v>
      </c>
      <c r="S13" s="63"/>
      <c r="T13" s="64"/>
      <c r="W13" s="411">
        <v>10</v>
      </c>
      <c r="X13" s="413">
        <f>32.89*50</f>
        <v>1644.5</v>
      </c>
      <c r="Y13" s="446">
        <f>8.03*50</f>
        <v>401.49999999999994</v>
      </c>
    </row>
    <row r="14" spans="2:39">
      <c r="B14" s="408">
        <v>11</v>
      </c>
      <c r="C14" s="13">
        <f>63*50</f>
        <v>3150</v>
      </c>
      <c r="D14" s="419">
        <f>58.23*50</f>
        <v>2911.5</v>
      </c>
      <c r="I14" s="66">
        <v>11</v>
      </c>
      <c r="J14" s="428">
        <f>65.8*50</f>
        <v>3290</v>
      </c>
      <c r="K14" s="425">
        <f>59.7*50</f>
        <v>2985</v>
      </c>
      <c r="L14" s="40"/>
      <c r="M14" s="40"/>
      <c r="N14" s="40"/>
      <c r="P14" s="59">
        <v>11</v>
      </c>
      <c r="Q14" s="56">
        <f>45.6*50</f>
        <v>2280</v>
      </c>
      <c r="R14" s="431">
        <f>67*50</f>
        <v>3350</v>
      </c>
      <c r="S14" s="63"/>
      <c r="T14" s="64"/>
      <c r="W14" s="411">
        <v>11</v>
      </c>
      <c r="X14" s="413">
        <f>14.84*50</f>
        <v>742</v>
      </c>
      <c r="Y14" s="446">
        <f>32.28*50</f>
        <v>1614</v>
      </c>
    </row>
    <row r="15" spans="2:39">
      <c r="B15" s="408">
        <v>12</v>
      </c>
      <c r="C15" s="13">
        <f>35.24*50</f>
        <v>1762</v>
      </c>
      <c r="D15" s="419">
        <f>14.49*50</f>
        <v>724.5</v>
      </c>
      <c r="I15" s="66">
        <v>12</v>
      </c>
      <c r="J15" s="428">
        <f>36.2*50</f>
        <v>1810.0000000000002</v>
      </c>
      <c r="K15" s="425">
        <f>14.5*50</f>
        <v>725</v>
      </c>
      <c r="L15" s="40"/>
      <c r="M15" s="40"/>
      <c r="N15" s="40"/>
      <c r="P15" s="59">
        <v>12</v>
      </c>
      <c r="Q15" s="56">
        <f>28.4*50</f>
        <v>1420</v>
      </c>
      <c r="R15" s="431">
        <f>11.9*50</f>
        <v>595</v>
      </c>
      <c r="S15" s="63"/>
      <c r="T15" s="64"/>
      <c r="W15" s="411">
        <v>12</v>
      </c>
      <c r="X15" s="413">
        <f>20.6*50</f>
        <v>1030</v>
      </c>
      <c r="Y15" s="446">
        <f>7.9*50</f>
        <v>395</v>
      </c>
    </row>
    <row r="16" spans="2:39">
      <c r="B16" s="408">
        <v>13</v>
      </c>
      <c r="C16" s="13">
        <f>80.74*50</f>
        <v>4036.9999999999995</v>
      </c>
      <c r="D16" s="419">
        <f>36.26*50</f>
        <v>1813</v>
      </c>
      <c r="F16" s="225"/>
      <c r="I16" s="66">
        <v>13</v>
      </c>
      <c r="J16" s="428">
        <f>88.5*50</f>
        <v>4425</v>
      </c>
      <c r="K16" s="425">
        <f>35.6*50</f>
        <v>1780</v>
      </c>
      <c r="L16" s="40"/>
      <c r="M16" s="40"/>
      <c r="N16" s="40"/>
      <c r="P16" s="59">
        <v>13</v>
      </c>
      <c r="Q16" s="56">
        <f>69.6*50</f>
        <v>3479.9999999999995</v>
      </c>
      <c r="R16" s="431">
        <f>41.4*50</f>
        <v>2070</v>
      </c>
      <c r="S16" s="63"/>
      <c r="T16" s="64"/>
      <c r="W16" s="411">
        <v>13</v>
      </c>
      <c r="X16" s="413">
        <f>32.21*50</f>
        <v>1610.5</v>
      </c>
      <c r="Y16" s="446">
        <f>21.39*50</f>
        <v>1069.5</v>
      </c>
    </row>
    <row r="17" spans="2:25">
      <c r="B17" s="408">
        <v>14</v>
      </c>
      <c r="C17" s="13">
        <f>17.56*50</f>
        <v>877.99999999999989</v>
      </c>
      <c r="D17" s="419">
        <f>19.23*50</f>
        <v>961.5</v>
      </c>
      <c r="I17" s="66">
        <v>14</v>
      </c>
      <c r="J17" s="428">
        <f>17.9*50</f>
        <v>894.99999999999989</v>
      </c>
      <c r="K17" s="425">
        <f>18.5*50</f>
        <v>925</v>
      </c>
      <c r="L17" s="40"/>
      <c r="M17" s="40"/>
      <c r="N17" s="40"/>
      <c r="P17" s="59">
        <v>14</v>
      </c>
      <c r="Q17" s="56">
        <f>14.8*50</f>
        <v>740</v>
      </c>
      <c r="R17" s="431">
        <f>11.1*50</f>
        <v>555</v>
      </c>
      <c r="S17" s="63"/>
      <c r="T17" s="64"/>
      <c r="W17" s="411">
        <v>14</v>
      </c>
      <c r="X17" s="413">
        <f>9.65*50</f>
        <v>482.5</v>
      </c>
      <c r="Y17" s="446">
        <f>6.41*50</f>
        <v>320.5</v>
      </c>
    </row>
    <row r="18" spans="2:25">
      <c r="B18" s="408">
        <v>15</v>
      </c>
      <c r="C18" s="13">
        <f>52.28*50</f>
        <v>2614</v>
      </c>
      <c r="D18" s="419">
        <f>29.24*50</f>
        <v>1462</v>
      </c>
      <c r="I18" s="66">
        <v>15</v>
      </c>
      <c r="J18" s="428">
        <f>57.5*50</f>
        <v>2875</v>
      </c>
      <c r="K18" s="425">
        <f>29.3*50</f>
        <v>1465</v>
      </c>
      <c r="L18" s="40"/>
      <c r="M18" s="40"/>
      <c r="N18" s="40"/>
      <c r="P18" s="59">
        <v>15</v>
      </c>
      <c r="Q18" s="56">
        <f>41.6*50</f>
        <v>2080</v>
      </c>
      <c r="R18" s="431">
        <f>25.7*50</f>
        <v>1285</v>
      </c>
      <c r="S18" s="63"/>
      <c r="T18" s="64"/>
      <c r="W18" s="411">
        <v>15</v>
      </c>
      <c r="X18" s="413">
        <f>17.24*50</f>
        <v>861.99999999999989</v>
      </c>
      <c r="Y18" s="446">
        <f>15.96*50</f>
        <v>798</v>
      </c>
    </row>
    <row r="19" spans="2:25">
      <c r="B19" s="408">
        <v>16</v>
      </c>
      <c r="C19" s="13">
        <f>89.26*50</f>
        <v>4463</v>
      </c>
      <c r="D19" s="419">
        <f>30.64*50</f>
        <v>1532</v>
      </c>
      <c r="F19" s="225"/>
      <c r="I19" s="66">
        <v>16</v>
      </c>
      <c r="J19" s="428">
        <f>92.4*50</f>
        <v>4620</v>
      </c>
      <c r="K19" s="425">
        <f>29.4*50</f>
        <v>1470</v>
      </c>
      <c r="L19" s="40"/>
      <c r="M19" s="40"/>
      <c r="N19" s="40"/>
      <c r="P19" s="59">
        <v>16</v>
      </c>
      <c r="Q19" s="56">
        <f>84.8*50</f>
        <v>4240</v>
      </c>
      <c r="R19" s="431">
        <f>30.9*50</f>
        <v>1545</v>
      </c>
      <c r="S19" s="63"/>
      <c r="T19" s="64"/>
      <c r="W19" s="411">
        <v>16</v>
      </c>
      <c r="X19" s="413">
        <f>52.49*50</f>
        <v>2624.5</v>
      </c>
      <c r="Y19" s="446">
        <f>16.6*50</f>
        <v>830.00000000000011</v>
      </c>
    </row>
    <row r="20" spans="2:25">
      <c r="B20" s="408">
        <v>17</v>
      </c>
      <c r="C20" s="13">
        <f>47.22*50</f>
        <v>2361</v>
      </c>
      <c r="D20" s="419">
        <f>31.5*50</f>
        <v>1575</v>
      </c>
      <c r="I20" s="66">
        <v>17</v>
      </c>
      <c r="J20" s="428">
        <f>49.4*50</f>
        <v>2470</v>
      </c>
      <c r="K20" s="425">
        <f>29.6*50</f>
        <v>1480</v>
      </c>
      <c r="L20" s="40"/>
      <c r="M20" s="40"/>
      <c r="N20" s="40"/>
      <c r="P20" s="59">
        <v>17</v>
      </c>
      <c r="Q20" s="56">
        <f>36.7*50</f>
        <v>1835.0000000000002</v>
      </c>
      <c r="R20" s="431">
        <f>31.2*50</f>
        <v>1560</v>
      </c>
      <c r="S20" s="63"/>
      <c r="T20" s="64"/>
      <c r="W20" s="411">
        <v>17</v>
      </c>
      <c r="X20" s="413">
        <f>17.31*50</f>
        <v>865.49999999999989</v>
      </c>
      <c r="Y20" s="446">
        <f>20.53*50</f>
        <v>1026.5</v>
      </c>
    </row>
    <row r="21" spans="2:25">
      <c r="B21" s="408">
        <v>18</v>
      </c>
      <c r="C21" s="13">
        <f>64.17*50</f>
        <v>3208.5</v>
      </c>
      <c r="D21" s="419">
        <f>39.54*50</f>
        <v>1977</v>
      </c>
      <c r="I21" s="66">
        <v>18</v>
      </c>
      <c r="J21" s="428">
        <f>65.5*50</f>
        <v>3275</v>
      </c>
      <c r="K21" s="425">
        <f>40.9*50</f>
        <v>2045</v>
      </c>
      <c r="L21" s="40"/>
      <c r="M21" s="40"/>
      <c r="N21" s="40"/>
      <c r="P21" s="59">
        <v>18</v>
      </c>
      <c r="Q21" s="56">
        <f>63.6*50</f>
        <v>3180</v>
      </c>
      <c r="R21" s="431">
        <f>47.7*50</f>
        <v>2385</v>
      </c>
      <c r="S21" s="63"/>
      <c r="T21" s="64"/>
      <c r="W21" s="411">
        <v>18</v>
      </c>
      <c r="X21" s="413">
        <f>32.56*50</f>
        <v>1628</v>
      </c>
      <c r="Y21" s="446">
        <f>30.37*50</f>
        <v>1518.5</v>
      </c>
    </row>
    <row r="22" spans="2:25">
      <c r="B22" s="408">
        <v>19</v>
      </c>
      <c r="C22" s="13">
        <f>43.91*50</f>
        <v>2195.5</v>
      </c>
      <c r="D22" s="419">
        <f>24.88*50</f>
        <v>1244</v>
      </c>
      <c r="F22" s="225"/>
      <c r="I22" s="66">
        <v>19</v>
      </c>
      <c r="J22" s="428">
        <f>44.4*50</f>
        <v>2220</v>
      </c>
      <c r="K22" s="425">
        <f>25.2*50</f>
        <v>1260</v>
      </c>
      <c r="L22" s="40"/>
      <c r="M22" s="40"/>
      <c r="N22" s="40"/>
      <c r="P22" s="59">
        <v>19</v>
      </c>
      <c r="Q22" s="56">
        <f>40.4*50</f>
        <v>2020</v>
      </c>
      <c r="R22" s="431">
        <f>18.9*50</f>
        <v>944.99999999999989</v>
      </c>
      <c r="S22" s="63"/>
      <c r="T22" s="64"/>
      <c r="W22" s="411">
        <v>19</v>
      </c>
      <c r="X22" s="413">
        <f>25.62*50</f>
        <v>1281</v>
      </c>
      <c r="Y22" s="446">
        <f>14.72*50</f>
        <v>736</v>
      </c>
    </row>
    <row r="23" spans="2:25">
      <c r="B23" s="408">
        <v>20</v>
      </c>
      <c r="C23" s="13">
        <f>26.98*50</f>
        <v>1349</v>
      </c>
      <c r="D23" s="419">
        <f>27.93*50</f>
        <v>1396.5</v>
      </c>
      <c r="I23" s="66">
        <v>20</v>
      </c>
      <c r="J23" s="428">
        <f>28*50</f>
        <v>1400</v>
      </c>
      <c r="K23" s="425">
        <f>28.5*50</f>
        <v>1425</v>
      </c>
      <c r="L23" s="40"/>
      <c r="M23" s="40"/>
      <c r="N23" s="40"/>
      <c r="P23" s="59">
        <v>20</v>
      </c>
      <c r="Q23" s="56">
        <f>23.3*50</f>
        <v>1165</v>
      </c>
      <c r="R23" s="431">
        <f>23.2*50</f>
        <v>1160</v>
      </c>
      <c r="S23" s="63"/>
      <c r="T23" s="64"/>
      <c r="W23" s="411">
        <v>20</v>
      </c>
      <c r="X23" s="413">
        <f>12.33*50</f>
        <v>616.5</v>
      </c>
      <c r="Y23" s="446">
        <f>18.15*50</f>
        <v>907.49999999999989</v>
      </c>
    </row>
    <row r="24" spans="2:25">
      <c r="B24" s="408">
        <v>21</v>
      </c>
      <c r="C24" s="13">
        <f>54.25*50</f>
        <v>2712.5</v>
      </c>
      <c r="D24" s="419">
        <f>27.71*50</f>
        <v>1385.5</v>
      </c>
      <c r="I24" s="66">
        <v>21</v>
      </c>
      <c r="J24" s="428">
        <f>54.2*50</f>
        <v>2710</v>
      </c>
      <c r="K24" s="425">
        <f>32*50</f>
        <v>1600</v>
      </c>
      <c r="L24" s="40"/>
      <c r="M24" s="40"/>
      <c r="N24" s="40"/>
      <c r="P24" s="59">
        <v>21</v>
      </c>
      <c r="Q24" s="56">
        <f>42.8*50</f>
        <v>2140</v>
      </c>
      <c r="R24" s="431">
        <f>27.6*50</f>
        <v>1380</v>
      </c>
      <c r="S24" s="63"/>
      <c r="T24" s="64"/>
      <c r="W24" s="411">
        <v>21</v>
      </c>
      <c r="X24" s="413">
        <f>19.68*50</f>
        <v>984</v>
      </c>
      <c r="Y24" s="446">
        <f>18.67*50</f>
        <v>933.50000000000011</v>
      </c>
    </row>
    <row r="25" spans="2:25">
      <c r="B25" s="408">
        <v>22</v>
      </c>
      <c r="C25" s="13">
        <f>92.6*50</f>
        <v>4630</v>
      </c>
      <c r="D25" s="419">
        <f>39.8*50</f>
        <v>1989.9999999999998</v>
      </c>
      <c r="F25" s="225"/>
      <c r="I25" s="66">
        <v>22</v>
      </c>
      <c r="J25" s="428">
        <f>99.9*50</f>
        <v>4995</v>
      </c>
      <c r="K25" s="425">
        <f>40*50</f>
        <v>2000</v>
      </c>
      <c r="L25" s="40"/>
      <c r="M25" s="40"/>
      <c r="N25" s="40"/>
      <c r="P25" s="59">
        <v>22</v>
      </c>
      <c r="Q25" s="56">
        <f>82.4*50</f>
        <v>4120</v>
      </c>
      <c r="R25" s="431">
        <f>37*50</f>
        <v>1850</v>
      </c>
      <c r="S25" s="63"/>
      <c r="T25" s="64"/>
      <c r="W25" s="411">
        <v>22</v>
      </c>
      <c r="X25" s="413">
        <f>37.97*50</f>
        <v>1898.5</v>
      </c>
      <c r="Y25" s="446">
        <f>24.24*50</f>
        <v>1212</v>
      </c>
    </row>
    <row r="26" spans="2:25">
      <c r="B26" s="408">
        <v>23</v>
      </c>
      <c r="C26" s="13">
        <f>18.38*50</f>
        <v>919</v>
      </c>
      <c r="D26" s="419">
        <f>19.19*50</f>
        <v>959.50000000000011</v>
      </c>
      <c r="I26" s="66">
        <v>23</v>
      </c>
      <c r="J26" s="428">
        <f>19.6*50</f>
        <v>980.00000000000011</v>
      </c>
      <c r="K26" s="425">
        <f>20.5*50</f>
        <v>1025</v>
      </c>
      <c r="L26" s="40"/>
      <c r="M26" s="40"/>
      <c r="N26" s="40"/>
      <c r="P26" s="59">
        <v>23</v>
      </c>
      <c r="Q26" s="56">
        <f>13.3*50</f>
        <v>665</v>
      </c>
      <c r="R26" s="431">
        <f>17.1*50</f>
        <v>855.00000000000011</v>
      </c>
      <c r="S26" s="63"/>
      <c r="T26" s="64"/>
      <c r="W26" s="411">
        <v>23</v>
      </c>
      <c r="X26" s="413">
        <f>3.3*50</f>
        <v>165</v>
      </c>
      <c r="Y26" s="446">
        <f>12.03*50</f>
        <v>601.5</v>
      </c>
    </row>
    <row r="27" spans="2:25">
      <c r="B27" s="408">
        <v>24</v>
      </c>
      <c r="C27" s="13">
        <f>40.64*50</f>
        <v>2032</v>
      </c>
      <c r="D27" s="419">
        <f>28.31*50</f>
        <v>1415.5</v>
      </c>
      <c r="I27" s="66">
        <v>24</v>
      </c>
      <c r="J27" s="428">
        <f>39.7*50</f>
        <v>1985.0000000000002</v>
      </c>
      <c r="K27" s="425">
        <f>28.6*50</f>
        <v>1430</v>
      </c>
      <c r="L27" s="40"/>
      <c r="M27" s="40"/>
      <c r="N27" s="40"/>
      <c r="P27" s="59">
        <v>24</v>
      </c>
      <c r="Q27" s="56">
        <f>31.5*50</f>
        <v>1575</v>
      </c>
      <c r="R27" s="431">
        <f>23.6*50</f>
        <v>1180</v>
      </c>
      <c r="S27" s="63"/>
      <c r="T27" s="64"/>
      <c r="W27" s="411">
        <v>24</v>
      </c>
      <c r="X27" s="413">
        <f>12.17*50</f>
        <v>608.5</v>
      </c>
      <c r="Y27" s="446">
        <f>18.44*50</f>
        <v>922.00000000000011</v>
      </c>
    </row>
    <row r="28" spans="2:25">
      <c r="B28" s="408">
        <v>25</v>
      </c>
      <c r="C28" s="13">
        <f>37.87*50</f>
        <v>1893.4999999999998</v>
      </c>
      <c r="D28" s="419">
        <f>14.25*50</f>
        <v>712.5</v>
      </c>
      <c r="F28" s="225"/>
      <c r="I28" s="66">
        <v>25</v>
      </c>
      <c r="J28" s="428">
        <f>40.4*50</f>
        <v>2020</v>
      </c>
      <c r="K28" s="425">
        <f>15.9*50</f>
        <v>795</v>
      </c>
      <c r="L28" s="40"/>
      <c r="M28" s="40"/>
      <c r="N28" s="40"/>
      <c r="P28" s="59">
        <v>25</v>
      </c>
      <c r="Q28" s="56">
        <f>26.4*50</f>
        <v>1320</v>
      </c>
      <c r="R28" s="431">
        <f>10.1*50</f>
        <v>505</v>
      </c>
      <c r="S28" s="63"/>
      <c r="T28" s="64"/>
      <c r="W28" s="411">
        <v>25</v>
      </c>
      <c r="X28" s="413">
        <f>15.91*50</f>
        <v>795.5</v>
      </c>
      <c r="Y28" s="446">
        <f>5.91*50</f>
        <v>295.5</v>
      </c>
    </row>
    <row r="29" spans="2:25">
      <c r="B29" s="408">
        <v>26</v>
      </c>
      <c r="C29" s="13">
        <f>19.09*50</f>
        <v>954.5</v>
      </c>
      <c r="D29" s="419">
        <f>18.25*50</f>
        <v>912.5</v>
      </c>
      <c r="I29" s="66">
        <v>26</v>
      </c>
      <c r="J29" s="428">
        <f>18.3*50</f>
        <v>915</v>
      </c>
      <c r="K29" s="425">
        <f>22.1*50</f>
        <v>1105</v>
      </c>
      <c r="L29" s="40"/>
      <c r="M29" s="40"/>
      <c r="N29" s="40"/>
      <c r="P29" s="59">
        <v>26</v>
      </c>
      <c r="Q29" s="56">
        <f>13.3*50</f>
        <v>665</v>
      </c>
      <c r="R29" s="431">
        <f>22.7*50</f>
        <v>1135</v>
      </c>
      <c r="S29" s="63"/>
      <c r="T29" s="64"/>
      <c r="W29" s="411">
        <v>26</v>
      </c>
      <c r="X29" s="413">
        <f>8.03*50</f>
        <v>401.49999999999994</v>
      </c>
      <c r="Y29" s="446">
        <f>11.15*50</f>
        <v>557.5</v>
      </c>
    </row>
    <row r="30" spans="2:25">
      <c r="B30" s="408">
        <v>27</v>
      </c>
      <c r="C30" s="13">
        <f>29.29*50</f>
        <v>1464.5</v>
      </c>
      <c r="D30" s="419">
        <f>17.95*50</f>
        <v>897.5</v>
      </c>
      <c r="I30" s="66">
        <v>27</v>
      </c>
      <c r="J30" s="428">
        <f>29.9*50</f>
        <v>1495</v>
      </c>
      <c r="K30" s="425">
        <f>20*50</f>
        <v>1000</v>
      </c>
      <c r="L30" s="40"/>
      <c r="M30" s="40"/>
      <c r="N30" s="40"/>
      <c r="P30" s="59">
        <v>27</v>
      </c>
      <c r="Q30" s="56">
        <f>20.5*50</f>
        <v>1025</v>
      </c>
      <c r="R30" s="431">
        <f>15.1*50</f>
        <v>755</v>
      </c>
      <c r="S30" s="63"/>
      <c r="T30" s="64"/>
      <c r="W30" s="411">
        <v>27</v>
      </c>
      <c r="X30" s="413">
        <f>8.83*50</f>
        <v>441.5</v>
      </c>
      <c r="Y30" s="446">
        <f>11.56*50</f>
        <v>578</v>
      </c>
    </row>
    <row r="31" spans="2:25">
      <c r="B31" s="408">
        <v>28</v>
      </c>
      <c r="C31" s="13">
        <f>39.33*50</f>
        <v>1966.5</v>
      </c>
      <c r="D31" s="419">
        <f>13.97*50</f>
        <v>698.5</v>
      </c>
      <c r="F31" s="225"/>
      <c r="I31" s="66">
        <v>28</v>
      </c>
      <c r="J31" s="428">
        <f>42.8*50</f>
        <v>2140</v>
      </c>
      <c r="K31" s="425">
        <f>17.9*50</f>
        <v>894.99999999999989</v>
      </c>
      <c r="L31" s="40"/>
      <c r="M31" s="40"/>
      <c r="N31" s="40"/>
      <c r="P31" s="59">
        <v>28</v>
      </c>
      <c r="Q31" s="56">
        <f>28.9*50</f>
        <v>1445</v>
      </c>
      <c r="R31" s="431">
        <f>11.8*50</f>
        <v>590</v>
      </c>
      <c r="S31" s="63"/>
      <c r="T31" s="64"/>
      <c r="W31" s="411">
        <v>28</v>
      </c>
      <c r="X31" s="413">
        <f>12.66*50</f>
        <v>633</v>
      </c>
      <c r="Y31" s="446">
        <f>7.61*50</f>
        <v>380.5</v>
      </c>
    </row>
    <row r="32" spans="2:25">
      <c r="B32" s="408">
        <v>29</v>
      </c>
      <c r="C32" s="13">
        <f>48.75*50</f>
        <v>2437.5</v>
      </c>
      <c r="D32" s="419">
        <f>17.82*50</f>
        <v>891</v>
      </c>
      <c r="I32" s="66">
        <v>29</v>
      </c>
      <c r="J32" s="428">
        <f>49.8*50</f>
        <v>2490</v>
      </c>
      <c r="K32" s="425">
        <f>19.7*50</f>
        <v>985</v>
      </c>
      <c r="L32" s="40"/>
      <c r="M32" s="40"/>
      <c r="N32" s="40"/>
      <c r="P32" s="59">
        <v>29</v>
      </c>
      <c r="Q32" s="56">
        <f>36.4*50</f>
        <v>1820</v>
      </c>
      <c r="R32" s="431">
        <f>16.6*50</f>
        <v>830.00000000000011</v>
      </c>
      <c r="S32" s="63"/>
      <c r="T32" s="64"/>
      <c r="W32" s="411">
        <v>29</v>
      </c>
      <c r="X32" s="413">
        <f>25.45*50</f>
        <v>1272.5</v>
      </c>
      <c r="Y32" s="446">
        <f>12.54*50</f>
        <v>627</v>
      </c>
    </row>
    <row r="33" spans="2:25" ht="17" thickBot="1">
      <c r="B33" s="409">
        <v>30</v>
      </c>
      <c r="C33" s="39">
        <f>89.54*50</f>
        <v>4477</v>
      </c>
      <c r="D33" s="420">
        <f>21.28*50</f>
        <v>1064</v>
      </c>
      <c r="I33" s="67">
        <v>30</v>
      </c>
      <c r="J33" s="429">
        <f>94.8*50</f>
        <v>4740</v>
      </c>
      <c r="K33" s="426">
        <f>20.2*50</f>
        <v>1010</v>
      </c>
      <c r="L33" s="40"/>
      <c r="M33" s="40"/>
      <c r="N33" s="40"/>
      <c r="P33" s="60">
        <v>30</v>
      </c>
      <c r="Q33" s="57">
        <f>76*50</f>
        <v>3800</v>
      </c>
      <c r="R33" s="432">
        <f>15.5*50</f>
        <v>775</v>
      </c>
      <c r="S33" s="63"/>
      <c r="T33" s="64"/>
      <c r="W33" s="412">
        <v>30</v>
      </c>
      <c r="X33" s="414">
        <f>49.04*50</f>
        <v>2452</v>
      </c>
      <c r="Y33" s="447">
        <f>10.74*50</f>
        <v>537</v>
      </c>
    </row>
    <row r="57" spans="2:29">
      <c r="T57" s="159"/>
      <c r="U57" s="159"/>
    </row>
    <row r="58" spans="2:29">
      <c r="T58" s="159"/>
      <c r="U58" s="159"/>
      <c r="AC58" s="159"/>
    </row>
    <row r="59" spans="2:29">
      <c r="T59" s="159"/>
      <c r="U59" s="159"/>
      <c r="AC59" s="159"/>
    </row>
    <row r="60" spans="2:29">
      <c r="T60" s="159"/>
      <c r="U60" s="159"/>
      <c r="AC60" s="159"/>
    </row>
    <row r="61" spans="2:29">
      <c r="T61" s="159"/>
      <c r="U61" s="159"/>
      <c r="AC61" s="159"/>
    </row>
    <row r="62" spans="2:29">
      <c r="T62" s="159"/>
      <c r="U62" s="159"/>
      <c r="AC62" s="159"/>
    </row>
    <row r="63" spans="2:29" ht="22" thickBot="1">
      <c r="B63" s="226" t="s">
        <v>87</v>
      </c>
      <c r="C63" s="224"/>
      <c r="I63" s="226" t="s">
        <v>87</v>
      </c>
      <c r="J63" s="224"/>
      <c r="P63" s="226" t="s">
        <v>87</v>
      </c>
      <c r="Q63" s="224"/>
      <c r="X63" s="226" t="s">
        <v>87</v>
      </c>
      <c r="Y63" s="224"/>
      <c r="AC63" s="159"/>
    </row>
    <row r="64" spans="2:29">
      <c r="AC64" s="159"/>
    </row>
    <row r="65" spans="2:29">
      <c r="B65" t="s">
        <v>88</v>
      </c>
      <c r="C65" t="s">
        <v>174</v>
      </c>
      <c r="I65" t="s">
        <v>88</v>
      </c>
      <c r="J65" t="s">
        <v>174</v>
      </c>
      <c r="P65" t="s">
        <v>88</v>
      </c>
      <c r="Q65" t="s">
        <v>174</v>
      </c>
      <c r="X65" t="s">
        <v>88</v>
      </c>
      <c r="Y65" t="s">
        <v>174</v>
      </c>
      <c r="AB65" s="159"/>
      <c r="AC65" s="159"/>
    </row>
    <row r="66" spans="2:29">
      <c r="B66" t="s">
        <v>89</v>
      </c>
      <c r="C66" t="s">
        <v>175</v>
      </c>
      <c r="I66" t="s">
        <v>89</v>
      </c>
      <c r="J66" t="s">
        <v>175</v>
      </c>
      <c r="P66" t="s">
        <v>89</v>
      </c>
      <c r="Q66" t="s">
        <v>175</v>
      </c>
      <c r="X66" t="s">
        <v>89</v>
      </c>
      <c r="Y66" t="s">
        <v>175</v>
      </c>
      <c r="AB66" s="159"/>
    </row>
    <row r="67" spans="2:29">
      <c r="D67" t="s">
        <v>90</v>
      </c>
      <c r="I67" s="556"/>
      <c r="J67" s="556"/>
      <c r="K67" s="556"/>
      <c r="P67" s="159"/>
      <c r="Q67" s="159"/>
      <c r="R67" s="159"/>
      <c r="S67" s="159"/>
      <c r="X67" s="159"/>
      <c r="Y67" s="159"/>
      <c r="Z67" s="159"/>
      <c r="AA67" s="159"/>
      <c r="AB67" s="159"/>
    </row>
    <row r="68" spans="2:29">
      <c r="B68" t="s">
        <v>91</v>
      </c>
      <c r="I68" t="s">
        <v>91</v>
      </c>
      <c r="P68" t="s">
        <v>91</v>
      </c>
      <c r="S68" s="159"/>
      <c r="X68" t="s">
        <v>91</v>
      </c>
      <c r="AA68" s="159"/>
      <c r="AB68" s="159"/>
    </row>
    <row r="69" spans="2:29" ht="17" thickBot="1">
      <c r="S69" s="159"/>
      <c r="AA69" s="159"/>
      <c r="AB69" s="159"/>
    </row>
    <row r="70" spans="2:29">
      <c r="B70" s="555"/>
      <c r="C70" s="555" t="s">
        <v>80</v>
      </c>
      <c r="D70" s="555" t="s">
        <v>1</v>
      </c>
      <c r="I70" s="555"/>
      <c r="J70" s="555" t="s">
        <v>80</v>
      </c>
      <c r="K70" s="555" t="s">
        <v>1</v>
      </c>
      <c r="P70" s="555"/>
      <c r="Q70" s="555" t="s">
        <v>80</v>
      </c>
      <c r="R70" s="555" t="s">
        <v>1</v>
      </c>
      <c r="S70" s="159"/>
      <c r="X70" s="555"/>
      <c r="Y70" s="555" t="s">
        <v>80</v>
      </c>
      <c r="Z70" s="555" t="s">
        <v>1</v>
      </c>
      <c r="AA70" s="159"/>
      <c r="AB70" s="159"/>
    </row>
    <row r="71" spans="2:29">
      <c r="B71" t="s">
        <v>10</v>
      </c>
      <c r="C71">
        <v>2750.6166666666668</v>
      </c>
      <c r="D71">
        <v>1443.2833333333333</v>
      </c>
      <c r="I71" t="s">
        <v>10</v>
      </c>
      <c r="J71">
        <v>2897.5</v>
      </c>
      <c r="K71">
        <v>1457.6666666666667</v>
      </c>
      <c r="P71" t="s">
        <v>10</v>
      </c>
      <c r="Q71">
        <v>2293.6666666666665</v>
      </c>
      <c r="R71">
        <v>1236.6666666666667</v>
      </c>
      <c r="S71" s="159"/>
      <c r="X71" t="s">
        <v>10</v>
      </c>
      <c r="Y71">
        <v>1367.15</v>
      </c>
      <c r="Z71">
        <v>831.5333333333333</v>
      </c>
      <c r="AA71" s="159"/>
      <c r="AB71" s="159"/>
    </row>
    <row r="72" spans="2:29">
      <c r="B72" t="s">
        <v>92</v>
      </c>
      <c r="C72">
        <v>1496095.4083333334</v>
      </c>
      <c r="D72">
        <v>564864.8048850575</v>
      </c>
      <c r="I72" t="s">
        <v>92</v>
      </c>
      <c r="J72">
        <v>1765435.7758620689</v>
      </c>
      <c r="K72">
        <v>558234.02298850566</v>
      </c>
      <c r="P72" t="s">
        <v>92</v>
      </c>
      <c r="Q72">
        <v>1405558.5057471262</v>
      </c>
      <c r="R72">
        <v>589567.81609195389</v>
      </c>
      <c r="S72" s="159"/>
      <c r="X72" t="s">
        <v>92</v>
      </c>
      <c r="Y72">
        <v>790164.86465517257</v>
      </c>
      <c r="Z72">
        <v>190291.18850574706</v>
      </c>
      <c r="AA72" s="159"/>
      <c r="AB72" s="159"/>
    </row>
    <row r="73" spans="2:29">
      <c r="B73" t="s">
        <v>93</v>
      </c>
      <c r="C73">
        <v>30</v>
      </c>
      <c r="D73">
        <v>30</v>
      </c>
      <c r="I73" t="s">
        <v>93</v>
      </c>
      <c r="J73">
        <v>30</v>
      </c>
      <c r="K73">
        <v>30</v>
      </c>
      <c r="P73" t="s">
        <v>93</v>
      </c>
      <c r="Q73">
        <v>30</v>
      </c>
      <c r="R73">
        <v>30</v>
      </c>
      <c r="S73" s="159"/>
      <c r="X73" t="s">
        <v>93</v>
      </c>
      <c r="Y73">
        <v>30</v>
      </c>
      <c r="Z73">
        <v>30</v>
      </c>
      <c r="AA73" s="159"/>
      <c r="AB73" s="159"/>
    </row>
    <row r="74" spans="2:29">
      <c r="B74" t="s">
        <v>94</v>
      </c>
      <c r="C74">
        <v>0.4208895230875046</v>
      </c>
      <c r="I74" t="s">
        <v>94</v>
      </c>
      <c r="J74">
        <v>0.3552804800877139</v>
      </c>
      <c r="P74" t="s">
        <v>94</v>
      </c>
      <c r="Q74">
        <v>0.3017958016871452</v>
      </c>
      <c r="S74" s="159"/>
      <c r="X74" t="s">
        <v>94</v>
      </c>
      <c r="Y74">
        <v>0.13881653118942794</v>
      </c>
      <c r="AA74" s="159"/>
      <c r="AB74" s="159"/>
    </row>
    <row r="75" spans="2:29">
      <c r="B75" t="s">
        <v>95</v>
      </c>
      <c r="C75">
        <v>0</v>
      </c>
      <c r="I75" t="s">
        <v>95</v>
      </c>
      <c r="J75">
        <v>0</v>
      </c>
      <c r="P75" t="s">
        <v>95</v>
      </c>
      <c r="Q75">
        <v>0</v>
      </c>
      <c r="S75" s="159"/>
      <c r="X75" t="s">
        <v>95</v>
      </c>
      <c r="Y75">
        <v>0</v>
      </c>
      <c r="AA75" s="159"/>
      <c r="AB75" s="159"/>
    </row>
    <row r="76" spans="2:29">
      <c r="B76" t="s">
        <v>96</v>
      </c>
      <c r="C76">
        <v>29</v>
      </c>
      <c r="I76" t="s">
        <v>96</v>
      </c>
      <c r="J76">
        <v>29</v>
      </c>
      <c r="P76" t="s">
        <v>96</v>
      </c>
      <c r="Q76">
        <v>29</v>
      </c>
      <c r="S76" s="159"/>
      <c r="X76" t="s">
        <v>96</v>
      </c>
      <c r="Y76">
        <v>29</v>
      </c>
      <c r="AA76" s="159"/>
      <c r="AB76" s="159"/>
    </row>
    <row r="77" spans="2:29">
      <c r="B77" t="s">
        <v>97</v>
      </c>
      <c r="C77" s="557">
        <v>6.3115649786369072</v>
      </c>
      <c r="E77" t="s">
        <v>98</v>
      </c>
      <c r="I77" t="s">
        <v>97</v>
      </c>
      <c r="J77" s="557">
        <v>6.19936756021335</v>
      </c>
      <c r="L77" t="s">
        <v>98</v>
      </c>
      <c r="P77" t="s">
        <v>97</v>
      </c>
      <c r="Q77" s="557">
        <v>4.815055410465364</v>
      </c>
      <c r="S77" t="s">
        <v>98</v>
      </c>
      <c r="X77" t="s">
        <v>97</v>
      </c>
      <c r="Y77" s="557">
        <v>3.1402006422750168</v>
      </c>
      <c r="AA77" t="s">
        <v>98</v>
      </c>
      <c r="AB77" s="159"/>
    </row>
    <row r="78" spans="2:29">
      <c r="B78" t="s">
        <v>99</v>
      </c>
      <c r="C78">
        <v>3.4001887754974058E-7</v>
      </c>
      <c r="I78" t="s">
        <v>99</v>
      </c>
      <c r="J78">
        <v>4.6155452113920001E-7</v>
      </c>
      <c r="P78" t="s">
        <v>99</v>
      </c>
      <c r="Q78">
        <v>2.120360790328568E-5</v>
      </c>
      <c r="X78" t="s">
        <v>99</v>
      </c>
      <c r="Y78">
        <v>1.9320906097038159E-3</v>
      </c>
      <c r="AB78" s="159"/>
    </row>
    <row r="79" spans="2:29">
      <c r="B79" t="s">
        <v>100</v>
      </c>
      <c r="C79" s="557">
        <v>1.6991270265334986</v>
      </c>
      <c r="E79" t="s">
        <v>101</v>
      </c>
      <c r="I79" t="s">
        <v>100</v>
      </c>
      <c r="J79" s="557">
        <v>1.6991270265334986</v>
      </c>
      <c r="L79" t="s">
        <v>101</v>
      </c>
      <c r="P79" t="s">
        <v>100</v>
      </c>
      <c r="Q79" s="557">
        <v>1.6991270265334986</v>
      </c>
      <c r="S79" t="s">
        <v>101</v>
      </c>
      <c r="X79" t="s">
        <v>100</v>
      </c>
      <c r="Y79" s="557">
        <v>1.6991270265334986</v>
      </c>
      <c r="AA79" t="s">
        <v>101</v>
      </c>
      <c r="AB79" s="159"/>
    </row>
    <row r="80" spans="2:29">
      <c r="B80" t="s">
        <v>102</v>
      </c>
      <c r="C80">
        <v>6.8003775509948116E-7</v>
      </c>
      <c r="I80" t="s">
        <v>102</v>
      </c>
      <c r="J80">
        <v>9.2310904227840001E-7</v>
      </c>
      <c r="P80" t="s">
        <v>102</v>
      </c>
      <c r="Q80">
        <v>4.240721580657136E-5</v>
      </c>
      <c r="S80" s="159"/>
      <c r="X80" t="s">
        <v>102</v>
      </c>
      <c r="Y80">
        <v>3.8641812194076318E-3</v>
      </c>
      <c r="AA80" s="159"/>
      <c r="AB80" s="159"/>
    </row>
    <row r="81" spans="2:28" ht="17" thickBot="1">
      <c r="B81" s="224" t="s">
        <v>103</v>
      </c>
      <c r="C81" s="224">
        <v>2.0452296421327048</v>
      </c>
      <c r="D81" s="224"/>
      <c r="I81" s="224" t="s">
        <v>103</v>
      </c>
      <c r="J81" s="224">
        <v>2.0452296421327048</v>
      </c>
      <c r="K81" s="224"/>
      <c r="P81" s="224" t="s">
        <v>103</v>
      </c>
      <c r="Q81" s="224">
        <v>2.0452296421327048</v>
      </c>
      <c r="R81" s="224"/>
      <c r="S81" s="159"/>
      <c r="X81" s="224" t="s">
        <v>103</v>
      </c>
      <c r="Y81" s="224">
        <v>2.0452296421327048</v>
      </c>
      <c r="Z81" s="224"/>
      <c r="AA81" s="159"/>
      <c r="AB81" s="159"/>
    </row>
    <row r="82" spans="2:28">
      <c r="Q82" s="159"/>
      <c r="R82" s="159"/>
      <c r="S82" s="159"/>
      <c r="Y82" s="159"/>
      <c r="Z82" s="159"/>
      <c r="AA82" s="159"/>
      <c r="AB82" s="159"/>
    </row>
    <row r="83" spans="2:28">
      <c r="B83" t="s">
        <v>104</v>
      </c>
      <c r="I83" t="s">
        <v>104</v>
      </c>
      <c r="P83" t="s">
        <v>104</v>
      </c>
      <c r="X83" t="s">
        <v>104</v>
      </c>
      <c r="AA83" s="159"/>
      <c r="AB83" s="159"/>
    </row>
    <row r="84" spans="2:28">
      <c r="B84" t="s">
        <v>105</v>
      </c>
      <c r="I84" t="s">
        <v>105</v>
      </c>
      <c r="P84" t="s">
        <v>105</v>
      </c>
      <c r="X84" t="s">
        <v>105</v>
      </c>
      <c r="AA84" s="159"/>
      <c r="AB84" s="159"/>
    </row>
    <row r="86" spans="2:28">
      <c r="B86" t="s">
        <v>176</v>
      </c>
      <c r="I86" t="s">
        <v>176</v>
      </c>
      <c r="P86" t="s">
        <v>176</v>
      </c>
      <c r="X86" t="s">
        <v>176</v>
      </c>
    </row>
    <row r="87" spans="2:28">
      <c r="B87" t="s">
        <v>177</v>
      </c>
      <c r="I87" t="s">
        <v>177</v>
      </c>
      <c r="P87" t="s">
        <v>177</v>
      </c>
      <c r="X87" t="s">
        <v>177</v>
      </c>
    </row>
    <row r="103" spans="2:4">
      <c r="B103" s="556"/>
      <c r="C103" s="556"/>
      <c r="D103" s="556"/>
    </row>
  </sheetData>
  <mergeCells count="7">
    <mergeCell ref="AL6:AM6"/>
    <mergeCell ref="AE7:AF7"/>
    <mergeCell ref="B2:D2"/>
    <mergeCell ref="I2:K2"/>
    <mergeCell ref="P2:R2"/>
    <mergeCell ref="W2:Y2"/>
    <mergeCell ref="AD2:AF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56E28-F163-9144-A2CA-403AE18B7814}">
  <dimension ref="B1:AA34"/>
  <sheetViews>
    <sheetView tabSelected="1" topLeftCell="B1" zoomScale="45" zoomScaleNormal="125" workbookViewId="0">
      <selection activeCell="AJ89" sqref="AJ89"/>
    </sheetView>
  </sheetViews>
  <sheetFormatPr baseColWidth="10" defaultRowHeight="16"/>
  <cols>
    <col min="2" max="2" width="22.1640625" customWidth="1"/>
    <col min="3" max="3" width="28.83203125" bestFit="1" customWidth="1"/>
    <col min="4" max="4" width="40.33203125" bestFit="1" customWidth="1"/>
    <col min="5" max="5" width="46.5" bestFit="1" customWidth="1"/>
  </cols>
  <sheetData>
    <row r="1" spans="2:27" ht="17" thickBot="1"/>
    <row r="2" spans="2:27" ht="17" thickBot="1">
      <c r="B2" s="669" t="s">
        <v>106</v>
      </c>
      <c r="C2" s="670"/>
      <c r="D2" s="671"/>
      <c r="H2" s="672" t="s">
        <v>143</v>
      </c>
      <c r="I2" s="673"/>
      <c r="J2" s="673"/>
      <c r="K2" s="673"/>
      <c r="L2" s="673"/>
      <c r="M2" s="674"/>
      <c r="Y2" s="669" t="s">
        <v>171</v>
      </c>
      <c r="Z2" s="670"/>
      <c r="AA2" s="671"/>
    </row>
    <row r="3" spans="2:27" ht="17" thickBot="1">
      <c r="B3" s="678"/>
      <c r="C3" s="680" t="s">
        <v>107</v>
      </c>
      <c r="D3" s="681"/>
      <c r="H3" s="675" t="s">
        <v>80</v>
      </c>
      <c r="I3" s="676"/>
      <c r="J3" s="675" t="s">
        <v>1</v>
      </c>
      <c r="K3" s="677"/>
      <c r="L3" s="676" t="s">
        <v>2</v>
      </c>
      <c r="M3" s="677"/>
      <c r="Y3" s="324" t="s">
        <v>80</v>
      </c>
      <c r="Z3" s="324" t="s">
        <v>1</v>
      </c>
      <c r="AA3" s="543" t="s">
        <v>2</v>
      </c>
    </row>
    <row r="4" spans="2:27" ht="17" thickBot="1">
      <c r="B4" s="679"/>
      <c r="C4" s="249" t="s">
        <v>77</v>
      </c>
      <c r="D4" s="245" t="s">
        <v>71</v>
      </c>
      <c r="H4" s="509" t="s">
        <v>77</v>
      </c>
      <c r="I4" s="512" t="s">
        <v>71</v>
      </c>
      <c r="J4" s="509" t="s">
        <v>77</v>
      </c>
      <c r="K4" s="245" t="s">
        <v>71</v>
      </c>
      <c r="L4" s="510" t="s">
        <v>77</v>
      </c>
      <c r="M4" s="245" t="s">
        <v>71</v>
      </c>
      <c r="Y4" s="547">
        <v>1.61</v>
      </c>
      <c r="Z4" s="544">
        <v>1.39</v>
      </c>
      <c r="AA4" s="544">
        <v>1.27</v>
      </c>
    </row>
    <row r="5" spans="2:27">
      <c r="B5" s="253" t="s">
        <v>80</v>
      </c>
      <c r="C5" s="250">
        <v>1.8</v>
      </c>
      <c r="D5" s="246">
        <v>1.85</v>
      </c>
      <c r="H5" s="507">
        <v>1.83</v>
      </c>
      <c r="I5" s="511">
        <v>1.85</v>
      </c>
      <c r="J5" s="507">
        <v>1.87</v>
      </c>
      <c r="K5" s="558">
        <v>1.87</v>
      </c>
      <c r="L5" s="508">
        <v>1.93</v>
      </c>
      <c r="M5" s="558">
        <v>1.89</v>
      </c>
      <c r="Y5" s="548">
        <v>1.57</v>
      </c>
      <c r="Z5" s="545">
        <v>1.17</v>
      </c>
      <c r="AA5" s="545">
        <v>1.02</v>
      </c>
    </row>
    <row r="6" spans="2:27">
      <c r="B6" s="254" t="s">
        <v>1</v>
      </c>
      <c r="C6" s="251">
        <v>1.92</v>
      </c>
      <c r="D6" s="247">
        <v>1.86</v>
      </c>
      <c r="H6" s="502">
        <v>1.86</v>
      </c>
      <c r="I6" s="500">
        <v>1.86</v>
      </c>
      <c r="J6" s="502">
        <v>2.1800000000000002</v>
      </c>
      <c r="K6" s="559">
        <v>1.85</v>
      </c>
      <c r="L6" s="505">
        <v>1.76</v>
      </c>
      <c r="M6" s="559">
        <v>1.82</v>
      </c>
      <c r="Y6" s="548">
        <v>2.11</v>
      </c>
      <c r="Z6" s="545">
        <v>0.93</v>
      </c>
      <c r="AA6" s="545">
        <v>1.01</v>
      </c>
    </row>
    <row r="7" spans="2:27" ht="17" thickBot="1">
      <c r="B7" s="255" t="s">
        <v>2</v>
      </c>
      <c r="C7" s="252">
        <v>1.87</v>
      </c>
      <c r="D7" s="248">
        <v>1.87</v>
      </c>
      <c r="H7" s="502">
        <v>1.77</v>
      </c>
      <c r="I7" s="500">
        <v>1.86</v>
      </c>
      <c r="J7" s="502">
        <v>1.92</v>
      </c>
      <c r="K7" s="559">
        <v>1.75</v>
      </c>
      <c r="L7" s="506">
        <v>1.8</v>
      </c>
      <c r="M7" s="559">
        <v>0.74</v>
      </c>
      <c r="Y7" s="548">
        <v>0.8</v>
      </c>
      <c r="Z7" s="545">
        <v>1.37</v>
      </c>
      <c r="AA7" s="545">
        <v>1.54</v>
      </c>
    </row>
    <row r="8" spans="2:27">
      <c r="H8" s="502">
        <v>1.78</v>
      </c>
      <c r="I8" s="500">
        <v>1.84</v>
      </c>
      <c r="J8" s="502">
        <v>1.92</v>
      </c>
      <c r="K8" s="559">
        <v>1.85</v>
      </c>
      <c r="L8" s="506">
        <v>1.8</v>
      </c>
      <c r="M8" s="559">
        <v>1.78</v>
      </c>
      <c r="Y8" s="548">
        <v>1.64</v>
      </c>
      <c r="Z8" s="545">
        <v>1.54</v>
      </c>
      <c r="AA8" s="545">
        <v>1.35</v>
      </c>
    </row>
    <row r="9" spans="2:27">
      <c r="H9" s="502">
        <v>1.84</v>
      </c>
      <c r="I9" s="500">
        <v>1.88</v>
      </c>
      <c r="J9" s="502">
        <v>1.93</v>
      </c>
      <c r="K9" s="559">
        <v>1.85</v>
      </c>
      <c r="L9" s="506">
        <v>1.9</v>
      </c>
      <c r="M9" s="559">
        <v>1.97</v>
      </c>
      <c r="Y9" s="548">
        <v>1.83</v>
      </c>
      <c r="Z9" s="545">
        <v>1.66</v>
      </c>
      <c r="AA9" s="545">
        <v>1.6</v>
      </c>
    </row>
    <row r="10" spans="2:27" ht="17" thickBot="1">
      <c r="H10" s="502">
        <v>1.79</v>
      </c>
      <c r="I10" s="500">
        <v>1.85</v>
      </c>
      <c r="J10" s="503">
        <v>2</v>
      </c>
      <c r="K10" s="559">
        <v>1.86</v>
      </c>
      <c r="L10" s="505">
        <v>1.94</v>
      </c>
      <c r="M10" s="559">
        <v>1.98</v>
      </c>
      <c r="Y10" s="548">
        <v>1.27</v>
      </c>
      <c r="Z10" s="545">
        <v>1.05</v>
      </c>
      <c r="AA10" s="545">
        <v>1.31</v>
      </c>
    </row>
    <row r="11" spans="2:27" ht="17" thickBot="1">
      <c r="B11" s="669" t="s">
        <v>142</v>
      </c>
      <c r="C11" s="670"/>
      <c r="D11" s="670"/>
      <c r="E11" s="671"/>
      <c r="H11" s="503">
        <v>1.8</v>
      </c>
      <c r="I11" s="500">
        <v>1.82</v>
      </c>
      <c r="J11" s="502">
        <v>1.89</v>
      </c>
      <c r="K11" s="559">
        <v>1.85</v>
      </c>
      <c r="L11" s="505">
        <v>1.89</v>
      </c>
      <c r="M11" s="559">
        <v>1.95</v>
      </c>
      <c r="Y11" s="548">
        <v>1.99</v>
      </c>
      <c r="Z11" s="545">
        <v>1.92</v>
      </c>
      <c r="AA11" s="545">
        <v>1.1599999999999999</v>
      </c>
    </row>
    <row r="12" spans="2:27" ht="17" thickBot="1">
      <c r="B12" s="495"/>
      <c r="C12" s="574" t="s">
        <v>238</v>
      </c>
      <c r="D12" s="575" t="s">
        <v>239</v>
      </c>
      <c r="E12" s="591" t="s">
        <v>240</v>
      </c>
      <c r="H12" s="502">
        <v>1.84</v>
      </c>
      <c r="I12" s="500">
        <v>1.85</v>
      </c>
      <c r="J12" s="502">
        <v>1.88</v>
      </c>
      <c r="K12" s="559">
        <v>1.88</v>
      </c>
      <c r="L12" s="506">
        <v>1.8</v>
      </c>
      <c r="M12" s="559">
        <v>1.88</v>
      </c>
      <c r="Y12" s="548">
        <v>1.48</v>
      </c>
      <c r="Z12" s="545">
        <v>1.95</v>
      </c>
      <c r="AA12" s="545">
        <v>1.48</v>
      </c>
    </row>
    <row r="13" spans="2:27">
      <c r="B13" s="497" t="s">
        <v>80</v>
      </c>
      <c r="C13" s="283">
        <v>0.45700000000000002</v>
      </c>
      <c r="D13" s="571">
        <f>1367.15/1000</f>
        <v>1.3671500000000001</v>
      </c>
      <c r="E13" s="561">
        <f>((Isohelix!O9-Isohelix!O30)/((Isohelix!O9+Isohelix!O30)/2))*100</f>
        <v>155.69044006069802</v>
      </c>
      <c r="H13" s="502">
        <v>1.83</v>
      </c>
      <c r="I13" s="500">
        <v>1.84</v>
      </c>
      <c r="J13" s="502">
        <v>1.89</v>
      </c>
      <c r="K13" s="559">
        <v>1.86</v>
      </c>
      <c r="L13" s="506">
        <v>1.9</v>
      </c>
      <c r="M13" s="559">
        <v>1.99</v>
      </c>
      <c r="Y13" s="548">
        <v>1.76</v>
      </c>
      <c r="Z13" s="545">
        <v>0.53</v>
      </c>
      <c r="AA13" s="545">
        <v>1.23</v>
      </c>
    </row>
    <row r="14" spans="2:27">
      <c r="B14" s="498" t="s">
        <v>1</v>
      </c>
      <c r="C14" s="284">
        <v>0.57230000000000003</v>
      </c>
      <c r="D14" s="572">
        <f>831.53/1000</f>
        <v>0.83152999999999999</v>
      </c>
      <c r="E14" s="562">
        <f>((Oracollect!M14-Oracollect!M30)/((Oracollect!M14+Oracollect!M30)/2))*100</f>
        <v>149.24860455130957</v>
      </c>
      <c r="H14" s="502">
        <v>1.86</v>
      </c>
      <c r="I14" s="500">
        <v>1.83</v>
      </c>
      <c r="J14" s="502">
        <v>2.11</v>
      </c>
      <c r="K14" s="559">
        <v>1.88</v>
      </c>
      <c r="L14" s="505">
        <v>1.87</v>
      </c>
      <c r="M14" s="559">
        <v>1.95</v>
      </c>
      <c r="Y14" s="548">
        <v>1.68</v>
      </c>
      <c r="Z14" s="545">
        <v>1.3</v>
      </c>
      <c r="AA14" s="545">
        <v>1.43</v>
      </c>
    </row>
    <row r="15" spans="2:27" ht="17" thickBot="1">
      <c r="B15" s="499" t="s">
        <v>2</v>
      </c>
      <c r="C15" s="285">
        <v>0.27339999999999998</v>
      </c>
      <c r="D15" s="573">
        <f>41135.15/1000</f>
        <v>41.135150000000003</v>
      </c>
      <c r="E15" s="563">
        <f>((Oragene!M33-Oragene!M24)/((Oragene!M33+Oragene!M24)/2))*100</f>
        <v>145.43880808797448</v>
      </c>
      <c r="H15" s="502">
        <v>1.78</v>
      </c>
      <c r="I15" s="500">
        <v>1.85</v>
      </c>
      <c r="J15" s="502">
        <v>1.86</v>
      </c>
      <c r="K15" s="559">
        <v>1.84</v>
      </c>
      <c r="L15" s="505">
        <v>1.94</v>
      </c>
      <c r="M15" s="559">
        <v>1.99</v>
      </c>
      <c r="Y15" s="549">
        <v>1.55</v>
      </c>
      <c r="Z15" s="545">
        <v>1.1100000000000001</v>
      </c>
      <c r="AA15" s="545">
        <v>1.24</v>
      </c>
    </row>
    <row r="16" spans="2:27">
      <c r="H16" s="502">
        <v>1.73</v>
      </c>
      <c r="I16" s="500">
        <v>1.87</v>
      </c>
      <c r="J16" s="502">
        <v>1.79</v>
      </c>
      <c r="K16" s="559">
        <v>1.83</v>
      </c>
      <c r="L16" s="505">
        <v>1.86</v>
      </c>
      <c r="M16" s="559">
        <v>1.99</v>
      </c>
      <c r="Y16" s="548">
        <v>1.78</v>
      </c>
      <c r="Z16" s="545">
        <v>1.62</v>
      </c>
      <c r="AA16" s="545">
        <v>1.0900000000000001</v>
      </c>
    </row>
    <row r="17" spans="2:27">
      <c r="H17" s="502">
        <v>1.82</v>
      </c>
      <c r="I17" s="500">
        <v>1.85</v>
      </c>
      <c r="J17" s="502">
        <v>1.82</v>
      </c>
      <c r="K17" s="559">
        <v>1.84</v>
      </c>
      <c r="L17" s="505">
        <v>1.79</v>
      </c>
      <c r="M17" s="559">
        <v>1.88</v>
      </c>
      <c r="Y17" s="548">
        <v>0.84</v>
      </c>
      <c r="Z17" s="545">
        <v>1.24</v>
      </c>
      <c r="AA17" s="545">
        <v>1.29</v>
      </c>
    </row>
    <row r="18" spans="2:27">
      <c r="B18" s="682"/>
      <c r="C18" s="682"/>
      <c r="H18" s="503">
        <v>1.7</v>
      </c>
      <c r="I18" s="500">
        <v>1.87</v>
      </c>
      <c r="J18" s="502">
        <v>1.92</v>
      </c>
      <c r="K18" s="559">
        <v>1.94</v>
      </c>
      <c r="L18" s="505">
        <v>1.86</v>
      </c>
      <c r="M18" s="559">
        <v>2.02</v>
      </c>
      <c r="Y18" s="548">
        <v>1.57</v>
      </c>
      <c r="Z18" s="545">
        <v>0.85</v>
      </c>
      <c r="AA18" s="545">
        <v>1.46</v>
      </c>
    </row>
    <row r="19" spans="2:27">
      <c r="H19" s="502">
        <v>1.77</v>
      </c>
      <c r="I19" s="500">
        <v>1.86</v>
      </c>
      <c r="J19" s="502">
        <v>1.85</v>
      </c>
      <c r="K19" s="559">
        <v>1.82</v>
      </c>
      <c r="L19" s="506">
        <v>1.9</v>
      </c>
      <c r="M19" s="559">
        <v>1.93</v>
      </c>
      <c r="Y19" s="548">
        <v>1.96</v>
      </c>
      <c r="Z19" s="545">
        <v>1.73</v>
      </c>
      <c r="AA19" s="545">
        <v>1.28</v>
      </c>
    </row>
    <row r="20" spans="2:27">
      <c r="H20" s="502">
        <v>1.83</v>
      </c>
      <c r="I20" s="500">
        <v>1.85</v>
      </c>
      <c r="J20" s="502">
        <v>1.84</v>
      </c>
      <c r="K20" s="559">
        <v>1.83</v>
      </c>
      <c r="L20" s="505">
        <v>1.79</v>
      </c>
      <c r="M20" s="559">
        <v>1.86</v>
      </c>
      <c r="Y20" s="548">
        <v>1.46</v>
      </c>
      <c r="Z20" s="545">
        <v>1.32</v>
      </c>
      <c r="AA20" s="545">
        <v>1.36</v>
      </c>
    </row>
    <row r="21" spans="2:27">
      <c r="H21" s="502">
        <v>1.8</v>
      </c>
      <c r="I21" s="500">
        <v>1.84</v>
      </c>
      <c r="J21" s="503">
        <v>1.9</v>
      </c>
      <c r="K21" s="559">
        <v>1.89</v>
      </c>
      <c r="L21" s="505">
        <v>1.85</v>
      </c>
      <c r="M21" s="559">
        <v>1.94</v>
      </c>
      <c r="Y21" s="548">
        <v>1.33</v>
      </c>
      <c r="Z21" s="545">
        <v>1.54</v>
      </c>
      <c r="AA21" s="545">
        <v>1.18</v>
      </c>
    </row>
    <row r="22" spans="2:27">
      <c r="E22" s="311"/>
      <c r="F22" s="311"/>
      <c r="G22" s="311"/>
      <c r="H22" s="502">
        <v>1.82</v>
      </c>
      <c r="I22" s="500">
        <v>1.84</v>
      </c>
      <c r="J22" s="502">
        <v>1.84</v>
      </c>
      <c r="K22" s="559">
        <v>1.82</v>
      </c>
      <c r="L22" s="505">
        <v>1.79</v>
      </c>
      <c r="M22" s="559">
        <v>1.99</v>
      </c>
      <c r="Y22" s="548">
        <v>1.66</v>
      </c>
      <c r="Z22" s="545">
        <v>1.48</v>
      </c>
      <c r="AA22" s="545">
        <v>1.36</v>
      </c>
    </row>
    <row r="23" spans="2:27">
      <c r="H23" s="502">
        <v>1.77</v>
      </c>
      <c r="I23" s="500">
        <v>1.83</v>
      </c>
      <c r="J23" s="502">
        <v>1.89</v>
      </c>
      <c r="K23" s="559">
        <v>1.84</v>
      </c>
      <c r="L23" s="505">
        <v>1.91</v>
      </c>
      <c r="M23" s="559">
        <v>1.98</v>
      </c>
      <c r="Y23" s="548">
        <v>1.24</v>
      </c>
      <c r="Z23" s="545">
        <v>1.29</v>
      </c>
      <c r="AA23" s="545">
        <v>1.47</v>
      </c>
    </row>
    <row r="24" spans="2:27">
      <c r="H24" s="502">
        <v>1.73</v>
      </c>
      <c r="I24" s="500">
        <v>1.84</v>
      </c>
      <c r="J24" s="502">
        <v>1.89</v>
      </c>
      <c r="K24" s="559">
        <v>1.83</v>
      </c>
      <c r="L24" s="505">
        <v>1.91</v>
      </c>
      <c r="M24" s="559">
        <v>1.97</v>
      </c>
      <c r="Y24" s="548">
        <v>1.85</v>
      </c>
      <c r="Z24" s="545">
        <v>1.65</v>
      </c>
      <c r="AA24" s="545">
        <v>1.35</v>
      </c>
    </row>
    <row r="25" spans="2:27">
      <c r="H25" s="502">
        <v>1.8</v>
      </c>
      <c r="I25" s="500">
        <v>1.86</v>
      </c>
      <c r="J25" s="502">
        <v>1.92</v>
      </c>
      <c r="K25" s="559">
        <v>1.87</v>
      </c>
      <c r="L25" s="505">
        <v>1.87</v>
      </c>
      <c r="M25" s="559">
        <v>1.21</v>
      </c>
      <c r="Y25" s="548">
        <v>1.61</v>
      </c>
      <c r="Z25" s="545">
        <v>1.85</v>
      </c>
      <c r="AA25" s="545">
        <v>1.35</v>
      </c>
    </row>
    <row r="26" spans="2:27">
      <c r="H26" s="502">
        <v>1.84</v>
      </c>
      <c r="I26" s="500">
        <v>1.85</v>
      </c>
      <c r="J26" s="502">
        <v>1.83</v>
      </c>
      <c r="K26" s="559">
        <v>1.89</v>
      </c>
      <c r="L26" s="505">
        <v>1.87</v>
      </c>
      <c r="M26" s="559">
        <v>1.73</v>
      </c>
      <c r="Y26" s="548">
        <v>1.17</v>
      </c>
      <c r="Z26" s="545">
        <v>1.88</v>
      </c>
      <c r="AA26" s="545">
        <v>1.46</v>
      </c>
    </row>
    <row r="27" spans="2:27">
      <c r="H27" s="502">
        <v>1.75</v>
      </c>
      <c r="I27" s="500">
        <v>1.8</v>
      </c>
      <c r="J27" s="502">
        <v>1.85</v>
      </c>
      <c r="K27" s="559">
        <v>1.88</v>
      </c>
      <c r="L27" s="505">
        <v>1.93</v>
      </c>
      <c r="M27" s="559">
        <v>1.98</v>
      </c>
      <c r="Y27" s="548">
        <v>1.23</v>
      </c>
      <c r="Z27" s="545">
        <v>1.88</v>
      </c>
      <c r="AA27" s="545">
        <v>1.26</v>
      </c>
    </row>
    <row r="28" spans="2:27">
      <c r="H28" s="502">
        <v>1.77</v>
      </c>
      <c r="I28" s="500">
        <v>1.84</v>
      </c>
      <c r="J28" s="503">
        <v>1.9</v>
      </c>
      <c r="K28" s="559">
        <v>1.83</v>
      </c>
      <c r="L28" s="505">
        <v>1.88</v>
      </c>
      <c r="M28" s="559">
        <v>1.92</v>
      </c>
      <c r="Y28" s="548">
        <v>1.63</v>
      </c>
      <c r="Z28" s="545">
        <v>1.1399999999999999</v>
      </c>
      <c r="AA28" s="545">
        <v>1.6</v>
      </c>
    </row>
    <row r="29" spans="2:27">
      <c r="H29" s="502">
        <v>1.84</v>
      </c>
      <c r="I29" s="500">
        <v>1.83</v>
      </c>
      <c r="J29" s="502">
        <v>1.96</v>
      </c>
      <c r="K29" s="559">
        <v>1.89</v>
      </c>
      <c r="L29" s="505">
        <v>1.89</v>
      </c>
      <c r="M29" s="559">
        <v>1.91</v>
      </c>
      <c r="Y29" s="548">
        <v>1.36</v>
      </c>
      <c r="Z29" s="545">
        <v>1.85</v>
      </c>
      <c r="AA29" s="545">
        <v>1.59</v>
      </c>
    </row>
    <row r="30" spans="2:27">
      <c r="H30" s="502">
        <v>1.68</v>
      </c>
      <c r="I30" s="500">
        <v>1.76</v>
      </c>
      <c r="J30" s="502">
        <v>2.08</v>
      </c>
      <c r="K30" s="559">
        <v>1.86</v>
      </c>
      <c r="L30" s="505">
        <v>1.89</v>
      </c>
      <c r="M30" s="559">
        <v>1.95</v>
      </c>
      <c r="Y30" s="548">
        <v>1.56</v>
      </c>
      <c r="Z30" s="545">
        <v>1.74</v>
      </c>
      <c r="AA30" s="545">
        <v>1.39</v>
      </c>
    </row>
    <row r="31" spans="2:27">
      <c r="H31" s="502">
        <v>1.76</v>
      </c>
      <c r="I31" s="500">
        <v>1.84</v>
      </c>
      <c r="J31" s="502">
        <v>2.0099999999999998</v>
      </c>
      <c r="K31" s="559">
        <v>1.78</v>
      </c>
      <c r="L31" s="505">
        <v>1.89</v>
      </c>
      <c r="M31" s="559">
        <v>1.97</v>
      </c>
      <c r="Y31" s="548">
        <v>1.34</v>
      </c>
      <c r="Z31" s="545">
        <v>0.35</v>
      </c>
      <c r="AA31" s="545">
        <v>1.64</v>
      </c>
    </row>
    <row r="32" spans="2:27">
      <c r="H32" s="502">
        <v>1.84</v>
      </c>
      <c r="I32" s="500">
        <v>1.88</v>
      </c>
      <c r="J32" s="502">
        <v>2.2200000000000002</v>
      </c>
      <c r="K32" s="559">
        <v>1.99</v>
      </c>
      <c r="L32" s="506">
        <v>2</v>
      </c>
      <c r="M32" s="559">
        <v>2.09</v>
      </c>
      <c r="Y32" s="548">
        <v>1.76</v>
      </c>
      <c r="Z32" s="545">
        <v>1.38</v>
      </c>
      <c r="AA32" s="545">
        <v>1.1399999999999999</v>
      </c>
    </row>
    <row r="33" spans="8:27" ht="17" thickBot="1">
      <c r="H33" s="502">
        <v>1.88</v>
      </c>
      <c r="I33" s="500">
        <v>1.86</v>
      </c>
      <c r="J33" s="503">
        <v>1.9</v>
      </c>
      <c r="K33" s="559">
        <v>1.84</v>
      </c>
      <c r="L33" s="505">
        <v>1.81</v>
      </c>
      <c r="M33" s="559">
        <v>1.9</v>
      </c>
      <c r="Y33" s="550">
        <v>1.9</v>
      </c>
      <c r="Z33" s="546">
        <v>1.25</v>
      </c>
      <c r="AA33" s="546">
        <v>1.29</v>
      </c>
    </row>
    <row r="34" spans="8:27" ht="17" thickBot="1">
      <c r="H34" s="504">
        <v>1.84</v>
      </c>
      <c r="I34" s="501">
        <v>1.85</v>
      </c>
      <c r="J34" s="514">
        <v>1.8</v>
      </c>
      <c r="K34" s="560">
        <v>1.96</v>
      </c>
      <c r="L34" s="513">
        <v>1.87</v>
      </c>
      <c r="M34" s="560">
        <v>1.92</v>
      </c>
    </row>
  </sheetData>
  <mergeCells count="10">
    <mergeCell ref="B2:D2"/>
    <mergeCell ref="B3:B4"/>
    <mergeCell ref="C3:D3"/>
    <mergeCell ref="B18:C18"/>
    <mergeCell ref="B11:E11"/>
    <mergeCell ref="Y2:AA2"/>
    <mergeCell ref="H2:M2"/>
    <mergeCell ref="H3:I3"/>
    <mergeCell ref="J3:K3"/>
    <mergeCell ref="L3:M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PCR - Rådata</vt:lpstr>
      <vt:lpstr>Resultater - Rådata</vt:lpstr>
      <vt:lpstr>Isohelix</vt:lpstr>
      <vt:lpstr>Oracollect</vt:lpstr>
      <vt:lpstr>Oragene</vt:lpstr>
      <vt:lpstr>Sammenligning av munnhuleavskra</vt:lpstr>
      <vt:lpstr>Renhet i prøvene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 Nybakk Vedvik (2STUSPH - Ama)</dc:creator>
  <cp:keywords/>
  <dc:description/>
  <cp:lastModifiedBy>Celine Vedvik</cp:lastModifiedBy>
  <cp:revision/>
  <dcterms:created xsi:type="dcterms:W3CDTF">2023-04-11T09:12:41Z</dcterms:created>
  <dcterms:modified xsi:type="dcterms:W3CDTF">2023-05-22T10:33:51Z</dcterms:modified>
  <cp:category/>
  <cp:contentStatus/>
</cp:coreProperties>
</file>