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91264_stud_hvl_no/Documents/Dokumenter/Bacheloroppgave/Vedlegg/"/>
    </mc:Choice>
  </mc:AlternateContent>
  <xr:revisionPtr revIDLastSave="34" documentId="8_{82A7C0FB-3D07-432A-AF1B-0CFD3FA68DCA}" xr6:coauthVersionLast="47" xr6:coauthVersionMax="47" xr10:uidLastSave="{579EA76F-3502-4018-AAF6-D687D395052B}"/>
  <bookViews>
    <workbookView xWindow="-108" yWindow="-108" windowWidth="23256" windowHeight="12456" activeTab="1" xr2:uid="{34664F15-2AEA-4DB9-A7B9-801C821DBE1D}"/>
  </bookViews>
  <sheets>
    <sheet name="Ark2" sheetId="3" r:id="rId1"/>
    <sheet name="Ark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3" i="4" l="1"/>
  <c r="F201" i="4"/>
  <c r="O233" i="4"/>
  <c r="O229" i="4"/>
  <c r="H34" i="4"/>
  <c r="H39" i="4"/>
  <c r="T90" i="4"/>
  <c r="V90" i="4" s="1"/>
  <c r="M90" i="4"/>
  <c r="O90" i="4" s="1"/>
  <c r="J8" i="4" l="1"/>
  <c r="F226" i="4"/>
  <c r="F27" i="4" s="1"/>
  <c r="K161" i="4"/>
  <c r="R161" i="4" s="1"/>
  <c r="K139" i="4"/>
  <c r="K93" i="4"/>
  <c r="F9" i="4"/>
  <c r="F15" i="4"/>
  <c r="F21" i="4"/>
  <c r="F28" i="4"/>
  <c r="L80" i="4"/>
  <c r="H28" i="4" s="1"/>
  <c r="K79" i="4"/>
  <c r="L161" i="4"/>
  <c r="K167" i="4" s="1"/>
  <c r="D159" i="4"/>
  <c r="D160" i="4"/>
  <c r="K160" i="4" s="1"/>
  <c r="D165" i="4"/>
  <c r="L159" i="4"/>
  <c r="K166" i="4" s="1"/>
  <c r="H157" i="4"/>
  <c r="F44" i="4"/>
  <c r="F43" i="4"/>
  <c r="Q26" i="4"/>
  <c r="D34" i="4" s="1"/>
  <c r="M239" i="4"/>
  <c r="O239" i="4" s="1"/>
  <c r="M238" i="4"/>
  <c r="M237" i="4"/>
  <c r="M236" i="4"/>
  <c r="O236" i="4" s="1"/>
  <c r="M235" i="4"/>
  <c r="M234" i="4"/>
  <c r="L239" i="4"/>
  <c r="L238" i="4"/>
  <c r="O238" i="4" s="1"/>
  <c r="L237" i="4"/>
  <c r="O237" i="4" s="1"/>
  <c r="L236" i="4"/>
  <c r="L235" i="4"/>
  <c r="O235" i="4" s="1"/>
  <c r="L234" i="4"/>
  <c r="O234" i="4" s="1"/>
  <c r="K239" i="4"/>
  <c r="K238" i="4"/>
  <c r="K237" i="4"/>
  <c r="K236" i="4"/>
  <c r="K235" i="4"/>
  <c r="K234" i="4"/>
  <c r="M232" i="4"/>
  <c r="O232" i="4" s="1"/>
  <c r="M231" i="4"/>
  <c r="M230" i="4"/>
  <c r="L232" i="4"/>
  <c r="L231" i="4"/>
  <c r="O231" i="4" s="1"/>
  <c r="L230" i="4"/>
  <c r="O230" i="4" s="1"/>
  <c r="K232" i="4"/>
  <c r="K231" i="4"/>
  <c r="K230" i="4"/>
  <c r="P18" i="4"/>
  <c r="F211" i="4"/>
  <c r="F14" i="4" s="1"/>
  <c r="F218" i="4"/>
  <c r="F20" i="4" s="1"/>
  <c r="F8" i="4"/>
  <c r="I185" i="4"/>
  <c r="I186" i="4"/>
  <c r="I187" i="4"/>
  <c r="I188" i="4"/>
  <c r="I189" i="4"/>
  <c r="I190" i="4"/>
  <c r="I184" i="4"/>
  <c r="I183" i="4"/>
  <c r="G185" i="4"/>
  <c r="G186" i="4"/>
  <c r="G187" i="4"/>
  <c r="G188" i="4"/>
  <c r="G189" i="4"/>
  <c r="G190" i="4"/>
  <c r="G184" i="4"/>
  <c r="G183" i="4"/>
  <c r="K69" i="4"/>
  <c r="K72" i="4"/>
  <c r="D166" i="4" l="1"/>
  <c r="M161" i="4"/>
  <c r="S161" i="4"/>
  <c r="R160" i="4"/>
  <c r="T160" i="4" s="1"/>
  <c r="V160" i="4" s="1"/>
  <c r="M160" i="4"/>
  <c r="O160" i="4" s="1"/>
  <c r="V161" i="4"/>
  <c r="S159" i="4"/>
  <c r="V157" i="4"/>
  <c r="K169" i="4"/>
  <c r="O157" i="4"/>
  <c r="H159" i="4"/>
  <c r="F160" i="4"/>
  <c r="F159" i="4"/>
  <c r="O161" i="4"/>
  <c r="K159" i="4"/>
  <c r="I191" i="4"/>
  <c r="G191" i="4"/>
  <c r="D58" i="4" s="1"/>
  <c r="L139" i="4"/>
  <c r="S139" i="4" s="1"/>
  <c r="D137" i="4"/>
  <c r="K137" i="4" s="1"/>
  <c r="D136" i="4"/>
  <c r="H136" i="4" s="1"/>
  <c r="H138" i="4"/>
  <c r="L136" i="4"/>
  <c r="S136" i="4" s="1"/>
  <c r="D143" i="4"/>
  <c r="T134" i="4"/>
  <c r="M134" i="4"/>
  <c r="O134" i="4" s="1"/>
  <c r="F134" i="4"/>
  <c r="H134" i="4" s="1"/>
  <c r="L113" i="4"/>
  <c r="S113" i="4" s="1"/>
  <c r="D113" i="4"/>
  <c r="T116" i="4"/>
  <c r="V116" i="4" s="1"/>
  <c r="N117" i="4"/>
  <c r="U117" i="4" s="1"/>
  <c r="V114" i="4"/>
  <c r="M115" i="4"/>
  <c r="O115" i="4" s="1"/>
  <c r="F115" i="4"/>
  <c r="H115" i="4" s="1"/>
  <c r="O114" i="4"/>
  <c r="F114" i="4"/>
  <c r="H114" i="4" s="1"/>
  <c r="L117" i="4"/>
  <c r="T111" i="4"/>
  <c r="V111" i="4" s="1"/>
  <c r="M111" i="4"/>
  <c r="O111" i="4" s="1"/>
  <c r="F111" i="4"/>
  <c r="H66" i="4"/>
  <c r="L77" i="4"/>
  <c r="H38" i="4" s="1"/>
  <c r="L75" i="4"/>
  <c r="H33" i="4" s="1"/>
  <c r="L73" i="4"/>
  <c r="H21" i="4" s="1"/>
  <c r="L70" i="4"/>
  <c r="H14" i="4" s="1"/>
  <c r="L67" i="4"/>
  <c r="H8" i="4" s="1"/>
  <c r="L93" i="4"/>
  <c r="S93" i="4" s="1"/>
  <c r="E89" i="4"/>
  <c r="L89" i="4" s="1"/>
  <c r="D162" i="3"/>
  <c r="C172" i="3" s="1"/>
  <c r="D89" i="4"/>
  <c r="T95" i="4"/>
  <c r="V95" i="4" s="1"/>
  <c r="M95" i="4"/>
  <c r="O95" i="4" s="1"/>
  <c r="U93" i="4"/>
  <c r="N93" i="4"/>
  <c r="F93" i="4"/>
  <c r="H93" i="4" s="1"/>
  <c r="V92" i="4"/>
  <c r="F92" i="4"/>
  <c r="H92" i="4" s="1"/>
  <c r="T91" i="4"/>
  <c r="V91" i="4" s="1"/>
  <c r="M91" i="4"/>
  <c r="O91" i="4" s="1"/>
  <c r="F91" i="4"/>
  <c r="H91" i="4" s="1"/>
  <c r="T87" i="4"/>
  <c r="V87" i="4" s="1"/>
  <c r="M87" i="4"/>
  <c r="O87" i="4" s="1"/>
  <c r="F87" i="4"/>
  <c r="H87" i="4" s="1"/>
  <c r="K66" i="4"/>
  <c r="B109" i="3"/>
  <c r="J72" i="4"/>
  <c r="J69" i="4"/>
  <c r="J66" i="4"/>
  <c r="H72" i="4"/>
  <c r="H69" i="4"/>
  <c r="C109" i="3"/>
  <c r="C110" i="3" s="1"/>
  <c r="C111" i="3"/>
  <c r="B110" i="3"/>
  <c r="E8" i="3" s="1"/>
  <c r="H61" i="4"/>
  <c r="D33" i="4"/>
  <c r="X188" i="3"/>
  <c r="X185" i="3"/>
  <c r="N188" i="3"/>
  <c r="N185" i="3"/>
  <c r="G190" i="3"/>
  <c r="E190" i="3"/>
  <c r="C199" i="3"/>
  <c r="G188" i="3"/>
  <c r="G185" i="3"/>
  <c r="G189" i="3"/>
  <c r="Z167" i="3"/>
  <c r="Z164" i="3"/>
  <c r="Z160" i="3"/>
  <c r="Z163" i="3"/>
  <c r="N167" i="3"/>
  <c r="N163" i="3"/>
  <c r="N160" i="3"/>
  <c r="G165" i="3"/>
  <c r="G164" i="3"/>
  <c r="G160" i="3"/>
  <c r="Z141" i="3"/>
  <c r="Z139" i="3"/>
  <c r="Z136" i="3"/>
  <c r="N139" i="3"/>
  <c r="N138" i="3"/>
  <c r="N135" i="3"/>
  <c r="G139" i="3"/>
  <c r="G138" i="3"/>
  <c r="G135" i="3"/>
  <c r="H81" i="3"/>
  <c r="I81" i="3" s="1"/>
  <c r="H80" i="3"/>
  <c r="I80" i="3" s="1"/>
  <c r="H79" i="3"/>
  <c r="I79" i="3" s="1"/>
  <c r="H78" i="3"/>
  <c r="H77" i="3"/>
  <c r="I77" i="3" s="1"/>
  <c r="AK138" i="3"/>
  <c r="AI137" i="3"/>
  <c r="AE137" i="3"/>
  <c r="AF137" i="3"/>
  <c r="AJ137" i="3" s="1"/>
  <c r="AG138" i="3"/>
  <c r="AG136" i="3"/>
  <c r="AG135" i="3"/>
  <c r="AE134" i="3"/>
  <c r="AG134" i="3" s="1"/>
  <c r="G102" i="3"/>
  <c r="G101" i="3"/>
  <c r="G100" i="3"/>
  <c r="E237" i="3" a="1"/>
  <c r="E237" i="3" s="1"/>
  <c r="D238" i="3"/>
  <c r="D237" i="3"/>
  <c r="D226" i="3"/>
  <c r="W195" i="3"/>
  <c r="V185" i="3"/>
  <c r="X146" i="3"/>
  <c r="X141" i="3"/>
  <c r="X139" i="3"/>
  <c r="X136" i="3"/>
  <c r="Y173" i="3"/>
  <c r="X167" i="3"/>
  <c r="Y165" i="3"/>
  <c r="X164" i="3"/>
  <c r="X163" i="3"/>
  <c r="X160" i="3"/>
  <c r="G29" i="3"/>
  <c r="G33" i="3" s="1"/>
  <c r="M195" i="3"/>
  <c r="E226" i="3" a="1"/>
  <c r="E226" i="3" s="1"/>
  <c r="D229" i="3"/>
  <c r="D228" i="3"/>
  <c r="D227" i="3"/>
  <c r="G8" i="3"/>
  <c r="G32" i="3"/>
  <c r="G28" i="3" s="1"/>
  <c r="M173" i="3"/>
  <c r="M165" i="3"/>
  <c r="K165" i="3"/>
  <c r="D137" i="3"/>
  <c r="C146" i="3" s="1"/>
  <c r="K137" i="3"/>
  <c r="J146" i="3" s="1"/>
  <c r="K190" i="3"/>
  <c r="J197" i="3" s="1"/>
  <c r="D187" i="3"/>
  <c r="K187" i="3" s="1"/>
  <c r="U187" i="3" s="1"/>
  <c r="T196" i="3" s="1"/>
  <c r="C188" i="3"/>
  <c r="E188" i="3" s="1"/>
  <c r="C187" i="3"/>
  <c r="J187" i="3" s="1"/>
  <c r="T187" i="3" s="1"/>
  <c r="C162" i="3"/>
  <c r="J162" i="3" s="1"/>
  <c r="V162" i="3" s="1"/>
  <c r="C137" i="3"/>
  <c r="J141" i="3" s="1"/>
  <c r="V142" i="3" s="1"/>
  <c r="M141" i="3"/>
  <c r="Y142" i="3" s="1"/>
  <c r="L145" i="3"/>
  <c r="G15" i="3" s="1"/>
  <c r="G22" i="3" s="1"/>
  <c r="L185" i="3"/>
  <c r="L167" i="3"/>
  <c r="L164" i="3"/>
  <c r="L163" i="3"/>
  <c r="L160" i="3"/>
  <c r="L139" i="3"/>
  <c r="L138" i="3"/>
  <c r="L135" i="3"/>
  <c r="E160" i="3"/>
  <c r="E163" i="3"/>
  <c r="G163" i="3" s="1"/>
  <c r="E164" i="3"/>
  <c r="E165" i="3"/>
  <c r="E185" i="3"/>
  <c r="E139" i="3"/>
  <c r="E138" i="3"/>
  <c r="E135" i="3"/>
  <c r="H160" i="4" l="1"/>
  <c r="D167" i="4"/>
  <c r="K170" i="4"/>
  <c r="L186" i="4"/>
  <c r="M186" i="4" s="1"/>
  <c r="E209" i="4" s="1"/>
  <c r="L188" i="4"/>
  <c r="F34" i="4"/>
  <c r="F37" i="4"/>
  <c r="F33" i="4"/>
  <c r="F39" i="4"/>
  <c r="F38" i="4"/>
  <c r="H113" i="4"/>
  <c r="O117" i="4" s="1"/>
  <c r="K117" i="4"/>
  <c r="M117" i="4" s="1"/>
  <c r="L185" i="4"/>
  <c r="F161" i="4"/>
  <c r="L187" i="4"/>
  <c r="T161" i="4"/>
  <c r="H161" i="4"/>
  <c r="M159" i="4"/>
  <c r="M162" i="4" s="1"/>
  <c r="K168" i="4"/>
  <c r="R159" i="4"/>
  <c r="O159" i="4"/>
  <c r="O162" i="4" s="1"/>
  <c r="F32" i="4"/>
  <c r="D144" i="4"/>
  <c r="K144" i="4"/>
  <c r="I69" i="4"/>
  <c r="I72" i="4"/>
  <c r="K136" i="4"/>
  <c r="M136" i="4" s="1"/>
  <c r="I66" i="4"/>
  <c r="K145" i="4"/>
  <c r="R137" i="4"/>
  <c r="T137" i="4" s="1"/>
  <c r="V137" i="4" s="1"/>
  <c r="M137" i="4"/>
  <c r="O137" i="4" s="1"/>
  <c r="V134" i="4"/>
  <c r="F137" i="4"/>
  <c r="H137" i="4" s="1"/>
  <c r="H139" i="4" s="1"/>
  <c r="F136" i="4"/>
  <c r="D121" i="4"/>
  <c r="D122" i="4" s="1"/>
  <c r="D123" i="4" s="1"/>
  <c r="K122" i="4"/>
  <c r="S117" i="4"/>
  <c r="H111" i="4"/>
  <c r="K121" i="4"/>
  <c r="F113" i="4"/>
  <c r="K100" i="4"/>
  <c r="S89" i="4"/>
  <c r="K99" i="4"/>
  <c r="D99" i="4"/>
  <c r="D100" i="4" s="1"/>
  <c r="D101" i="4" s="1"/>
  <c r="F89" i="4"/>
  <c r="F95" i="4" s="1"/>
  <c r="H89" i="4"/>
  <c r="H95" i="4" s="1"/>
  <c r="K89" i="4"/>
  <c r="J196" i="3"/>
  <c r="J174" i="3"/>
  <c r="H83" i="3"/>
  <c r="I78" i="3"/>
  <c r="U190" i="3"/>
  <c r="T197" i="3" s="1"/>
  <c r="G237" i="3"/>
  <c r="E32" i="3" s="1"/>
  <c r="E33" i="3" s="1"/>
  <c r="D231" i="3"/>
  <c r="E26" i="3" s="1"/>
  <c r="E27" i="3" s="1"/>
  <c r="T198" i="3"/>
  <c r="V187" i="3"/>
  <c r="X187" i="3"/>
  <c r="Z142" i="3"/>
  <c r="W138" i="3"/>
  <c r="V147" i="3" s="1"/>
  <c r="W165" i="3"/>
  <c r="V174" i="3" s="1"/>
  <c r="Z162" i="3"/>
  <c r="J188" i="3"/>
  <c r="F226" i="3"/>
  <c r="N187" i="3"/>
  <c r="L187" i="3"/>
  <c r="C195" i="3"/>
  <c r="K162" i="3"/>
  <c r="N162" i="3"/>
  <c r="E137" i="3"/>
  <c r="E141" i="3" s="1"/>
  <c r="C148" i="3"/>
  <c r="C150" i="3" s="1"/>
  <c r="K141" i="3"/>
  <c r="W142" i="3" s="1"/>
  <c r="V148" i="3" s="1"/>
  <c r="V150" i="3" s="1"/>
  <c r="G120" i="3"/>
  <c r="G115" i="3"/>
  <c r="G110" i="3"/>
  <c r="B121" i="3"/>
  <c r="C121" i="3" s="1"/>
  <c r="B120" i="3"/>
  <c r="B119" i="3"/>
  <c r="C119" i="3"/>
  <c r="C120" i="3" s="1"/>
  <c r="B116" i="3"/>
  <c r="C116" i="3" s="1"/>
  <c r="B115" i="3"/>
  <c r="B114" i="3"/>
  <c r="C114" i="3"/>
  <c r="C115" i="3" s="1"/>
  <c r="B111" i="3"/>
  <c r="P63" i="3"/>
  <c r="J6" i="3" s="1"/>
  <c r="D209" i="4" l="1"/>
  <c r="D211" i="4" s="1"/>
  <c r="F12" i="4" s="1"/>
  <c r="D223" i="4"/>
  <c r="D226" i="4" s="1"/>
  <c r="F25" i="4" s="1"/>
  <c r="M188" i="4"/>
  <c r="E223" i="4" s="1"/>
  <c r="E226" i="4" s="1"/>
  <c r="F26" i="4" s="1"/>
  <c r="M187" i="4"/>
  <c r="E214" i="4" s="1"/>
  <c r="E218" i="4" s="1"/>
  <c r="F19" i="4" s="1"/>
  <c r="D214" i="4"/>
  <c r="D218" i="4" s="1"/>
  <c r="F18" i="4" s="1"/>
  <c r="M185" i="4"/>
  <c r="E199" i="4" s="1"/>
  <c r="D199" i="4"/>
  <c r="H117" i="4"/>
  <c r="D164" i="4"/>
  <c r="D168" i="4" s="1"/>
  <c r="V159" i="4"/>
  <c r="V162" i="4" s="1"/>
  <c r="T159" i="4"/>
  <c r="T162" i="4" s="1"/>
  <c r="R165" i="4" s="1"/>
  <c r="K165" i="4"/>
  <c r="K171" i="4" s="1"/>
  <c r="X155" i="4" s="1"/>
  <c r="O139" i="4"/>
  <c r="O113" i="4"/>
  <c r="O118" i="4" s="1"/>
  <c r="E211" i="4"/>
  <c r="F13" i="4" s="1"/>
  <c r="R93" i="4"/>
  <c r="T93" i="4" s="1"/>
  <c r="K146" i="4"/>
  <c r="R136" i="4"/>
  <c r="O136" i="4"/>
  <c r="F139" i="4"/>
  <c r="D142" i="4" s="1"/>
  <c r="D145" i="4"/>
  <c r="F117" i="4"/>
  <c r="R117" i="4"/>
  <c r="K124" i="4"/>
  <c r="D98" i="4"/>
  <c r="D102" i="4" s="1"/>
  <c r="R89" i="4"/>
  <c r="O89" i="4"/>
  <c r="M89" i="4"/>
  <c r="K101" i="4"/>
  <c r="X142" i="3"/>
  <c r="W162" i="3"/>
  <c r="J173" i="3"/>
  <c r="J175" i="3" s="1"/>
  <c r="L188" i="3"/>
  <c r="T188" i="3"/>
  <c r="V188" i="3" s="1"/>
  <c r="L162" i="3"/>
  <c r="J147" i="3"/>
  <c r="J149" i="3" s="1"/>
  <c r="E22" i="3"/>
  <c r="E15" i="3"/>
  <c r="D201" i="4" l="1"/>
  <c r="F6" i="4" s="1"/>
  <c r="K5" i="4" s="1"/>
  <c r="E201" i="4"/>
  <c r="F7" i="4" s="1"/>
  <c r="K6" i="4" s="1"/>
  <c r="Y155" i="4"/>
  <c r="Z155" i="4"/>
  <c r="H29" i="4" s="1"/>
  <c r="D120" i="4"/>
  <c r="D124" i="4" s="1"/>
  <c r="M139" i="4"/>
  <c r="M140" i="4" s="1"/>
  <c r="O140" i="4"/>
  <c r="K147" i="4"/>
  <c r="K148" i="4" s="1"/>
  <c r="R139" i="4"/>
  <c r="V139" i="4" s="1"/>
  <c r="K102" i="4"/>
  <c r="K103" i="4" s="1"/>
  <c r="O93" i="4"/>
  <c r="O96" i="4" s="1"/>
  <c r="V93" i="4"/>
  <c r="M93" i="4"/>
  <c r="M96" i="4" s="1"/>
  <c r="R113" i="4"/>
  <c r="K123" i="4"/>
  <c r="K125" i="4" s="1"/>
  <c r="M113" i="4"/>
  <c r="M118" i="4" s="1"/>
  <c r="K120" i="4" s="1"/>
  <c r="V136" i="4"/>
  <c r="T136" i="4"/>
  <c r="D146" i="4"/>
  <c r="T117" i="4"/>
  <c r="V117" i="4"/>
  <c r="T89" i="4"/>
  <c r="T96" i="4" s="1"/>
  <c r="R98" i="4" s="1"/>
  <c r="V89" i="4"/>
  <c r="V173" i="3"/>
  <c r="V175" i="3" s="1"/>
  <c r="X162" i="3"/>
  <c r="E162" i="3"/>
  <c r="E167" i="3" s="1"/>
  <c r="G162" i="3"/>
  <c r="G167" i="3" s="1"/>
  <c r="C174" i="3"/>
  <c r="C176" i="3" s="1"/>
  <c r="E14" i="3"/>
  <c r="E21" i="3"/>
  <c r="AK137" i="3" s="1"/>
  <c r="AK139" i="3" s="1"/>
  <c r="E19" i="3" s="1"/>
  <c r="E20" i="3" s="1"/>
  <c r="E7" i="3"/>
  <c r="Y85" i="4" l="1"/>
  <c r="V140" i="4"/>
  <c r="K143" i="4"/>
  <c r="K149" i="4" s="1"/>
  <c r="X132" i="4" s="1"/>
  <c r="T139" i="4"/>
  <c r="T140" i="4" s="1"/>
  <c r="R143" i="4" s="1"/>
  <c r="V96" i="4"/>
  <c r="T113" i="4"/>
  <c r="T118" i="4" s="1"/>
  <c r="R120" i="4" s="1"/>
  <c r="V113" i="4"/>
  <c r="V118" i="4" s="1"/>
  <c r="K126" i="4"/>
  <c r="X109" i="4" s="1"/>
  <c r="K98" i="4"/>
  <c r="K104" i="4" s="1"/>
  <c r="J190" i="3"/>
  <c r="J199" i="3" s="1"/>
  <c r="J200" i="3" s="1"/>
  <c r="J137" i="3"/>
  <c r="J148" i="3" s="1"/>
  <c r="J150" i="3" s="1"/>
  <c r="AG137" i="3"/>
  <c r="J165" i="3"/>
  <c r="J176" i="3" s="1"/>
  <c r="J177" i="3" s="1"/>
  <c r="E5" i="3"/>
  <c r="C170" i="3"/>
  <c r="G137" i="3"/>
  <c r="G141" i="3" s="1"/>
  <c r="C197" i="3"/>
  <c r="E187" i="3"/>
  <c r="G187" i="3"/>
  <c r="X85" i="4" l="1"/>
  <c r="Z85" i="4"/>
  <c r="Z132" i="4"/>
  <c r="Y132" i="4"/>
  <c r="Z109" i="4"/>
  <c r="Y109" i="4"/>
  <c r="E6" i="3"/>
  <c r="N190" i="3"/>
  <c r="N191" i="3" s="1"/>
  <c r="AG139" i="3"/>
  <c r="E12" i="3" s="1"/>
  <c r="J4" i="3" s="1"/>
  <c r="L190" i="3"/>
  <c r="L191" i="3" s="1"/>
  <c r="T190" i="3"/>
  <c r="X190" i="3" s="1"/>
  <c r="X191" i="3" s="1"/>
  <c r="V138" i="3"/>
  <c r="V149" i="3" s="1"/>
  <c r="V151" i="3" s="1"/>
  <c r="N165" i="3"/>
  <c r="N168" i="3" s="1"/>
  <c r="L165" i="3"/>
  <c r="L168" i="3" s="1"/>
  <c r="V165" i="3"/>
  <c r="X165" i="3" s="1"/>
  <c r="C193" i="3"/>
  <c r="C201" i="3" s="1"/>
  <c r="J198" i="3"/>
  <c r="N141" i="3"/>
  <c r="L141" i="3"/>
  <c r="N137" i="3"/>
  <c r="L137" i="3"/>
  <c r="L142" i="3" s="1"/>
  <c r="C178" i="3"/>
  <c r="H22" i="4" l="1"/>
  <c r="H9" i="4"/>
  <c r="H15" i="4"/>
  <c r="N142" i="3"/>
  <c r="E13" i="3"/>
  <c r="T199" i="3"/>
  <c r="T200" i="3" s="1"/>
  <c r="V190" i="3"/>
  <c r="Z138" i="3"/>
  <c r="Z143" i="3" s="1"/>
  <c r="X138" i="3"/>
  <c r="X143" i="3" s="1"/>
  <c r="J171" i="3"/>
  <c r="J179" i="3" s="1"/>
  <c r="Q172" i="3" s="1"/>
  <c r="Z165" i="3"/>
  <c r="Z168" i="3" s="1"/>
  <c r="V176" i="3"/>
  <c r="V177" i="3" s="1"/>
  <c r="X168" i="3"/>
  <c r="J194" i="3"/>
  <c r="J202" i="3" s="1"/>
  <c r="O195" i="3" s="1"/>
  <c r="C144" i="3"/>
  <c r="C152" i="3" s="1"/>
  <c r="J5" i="3" l="1"/>
  <c r="J7" i="3" s="1"/>
  <c r="V145" i="3"/>
  <c r="V153" i="3" s="1"/>
  <c r="R145" i="3" s="1"/>
  <c r="V191" i="3"/>
  <c r="T194" i="3" s="1"/>
  <c r="T202" i="3" s="1"/>
  <c r="P195" i="3" s="1"/>
  <c r="V171" i="3"/>
  <c r="V179" i="3" s="1"/>
  <c r="R172" i="3" s="1"/>
  <c r="J144" i="3"/>
  <c r="J152" i="3" s="1"/>
  <c r="P145" i="3" s="1"/>
  <c r="G16" i="3" l="1"/>
  <c r="Q145" i="3"/>
  <c r="Q195" i="3"/>
  <c r="G23" i="3" s="1"/>
  <c r="S172" i="3"/>
  <c r="G9" i="3" s="1"/>
  <c r="J61" i="4" l="1"/>
  <c r="H64" i="4" s="1"/>
  <c r="F41" i="4" s="1"/>
  <c r="K7" i="4" s="1"/>
  <c r="K8" i="4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<sst xmlns="http://schemas.openxmlformats.org/spreadsheetml/2006/main" count="978" uniqueCount="206">
  <si>
    <t>Dører</t>
  </si>
  <si>
    <t>Vindu</t>
  </si>
  <si>
    <t>Tak</t>
  </si>
  <si>
    <t>Antall [m²]</t>
  </si>
  <si>
    <t>Energinivå 1</t>
  </si>
  <si>
    <t>Energinivå 2</t>
  </si>
  <si>
    <t>Energinivå 3</t>
  </si>
  <si>
    <t>Materialpris</t>
  </si>
  <si>
    <t>3-lags</t>
  </si>
  <si>
    <t>Isolert</t>
  </si>
  <si>
    <t>Karm</t>
  </si>
  <si>
    <t>Glass</t>
  </si>
  <si>
    <t>Totalpris</t>
  </si>
  <si>
    <t>Vakum</t>
  </si>
  <si>
    <t>Støtte fra Enova?</t>
  </si>
  <si>
    <t>Ja</t>
  </si>
  <si>
    <t>Nei</t>
  </si>
  <si>
    <t>Total materialpris</t>
  </si>
  <si>
    <t>Støtte</t>
  </si>
  <si>
    <t>Type eksisterende isolasjon</t>
  </si>
  <si>
    <t>Isolasjonstykkelse ny</t>
  </si>
  <si>
    <t>Isolasjonstykkelse total</t>
  </si>
  <si>
    <t>u-verdi</t>
  </si>
  <si>
    <t>PIR</t>
  </si>
  <si>
    <t>Totalpris med utførelse</t>
  </si>
  <si>
    <t>Total kostnad med utførelse</t>
  </si>
  <si>
    <t>Totalpris uten utførelse</t>
  </si>
  <si>
    <t>Totalsum med utførelse</t>
  </si>
  <si>
    <t>Mineralull</t>
  </si>
  <si>
    <t>Ny type isolasjon</t>
  </si>
  <si>
    <t>Isolasjonstykkelse total [mm]</t>
  </si>
  <si>
    <t>Isolasjonstykkelse ny [mm]</t>
  </si>
  <si>
    <t>Vegg tre</t>
  </si>
  <si>
    <t>Vegg betong</t>
  </si>
  <si>
    <t>Vegg kjeller [betong]</t>
  </si>
  <si>
    <t>Vegg [tre]</t>
  </si>
  <si>
    <t>pris</t>
  </si>
  <si>
    <t>Pris utvendig kledning [m²]</t>
  </si>
  <si>
    <t>Isolasjonsandel:</t>
  </si>
  <si>
    <t>Treandel:</t>
  </si>
  <si>
    <t>Sjikt</t>
  </si>
  <si>
    <t>D [m]</t>
  </si>
  <si>
    <t>Lambda</t>
  </si>
  <si>
    <t>R</t>
  </si>
  <si>
    <t>R_si</t>
  </si>
  <si>
    <t>Gips</t>
  </si>
  <si>
    <t>Dampsperre</t>
  </si>
  <si>
    <t>Isolasjon</t>
  </si>
  <si>
    <t>Asfaltplate</t>
  </si>
  <si>
    <t>Kledning</t>
  </si>
  <si>
    <r>
      <rPr>
        <sz val="11"/>
        <color theme="1"/>
        <rFont val="Calibri"/>
        <family val="2"/>
      </rPr>
      <t>∑</t>
    </r>
    <r>
      <rPr>
        <sz val="11"/>
        <color theme="1"/>
        <rFont val="Calibri"/>
        <family val="2"/>
        <scheme val="minor"/>
      </rPr>
      <t xml:space="preserve"> R</t>
    </r>
  </si>
  <si>
    <t>Røvre</t>
  </si>
  <si>
    <t>Legert varmeledningsevne</t>
  </si>
  <si>
    <t>Rsjikt</t>
  </si>
  <si>
    <t>Rnedre</t>
  </si>
  <si>
    <t>U-verdi</t>
  </si>
  <si>
    <t>Betongvegger</t>
  </si>
  <si>
    <t>Trepanel</t>
  </si>
  <si>
    <t>Takstein</t>
  </si>
  <si>
    <t>Undertak</t>
  </si>
  <si>
    <t>Krav</t>
  </si>
  <si>
    <t>Uverdi</t>
  </si>
  <si>
    <t>vindu 1,2</t>
  </si>
  <si>
    <t>Vegger Eksisterende</t>
  </si>
  <si>
    <t>Vegger Ny</t>
  </si>
  <si>
    <t>Isolasjon eksisterende</t>
  </si>
  <si>
    <t>Isolasjon ny</t>
  </si>
  <si>
    <t>u-verdi krav</t>
  </si>
  <si>
    <t>Legert varmeledningsevne 1</t>
  </si>
  <si>
    <t>Legert varmeledningsevne 2</t>
  </si>
  <si>
    <t>Rsjikt 1</t>
  </si>
  <si>
    <t>Rsjikt 2</t>
  </si>
  <si>
    <t>Oppnådd</t>
  </si>
  <si>
    <t>Betongtykkelse [mm]</t>
  </si>
  <si>
    <t>Inngangsdør</t>
  </si>
  <si>
    <t>Antall [stk] Inngangsdør</t>
  </si>
  <si>
    <t>Antall [stk] Terrassedør</t>
  </si>
  <si>
    <t>Pris takstein [m²]</t>
  </si>
  <si>
    <t xml:space="preserve">Vindu/dør </t>
  </si>
  <si>
    <t>Antall [stk] 1100 x 1200 [mm]</t>
  </si>
  <si>
    <t>Antall [stk] 1000 x 1200 [mm]</t>
  </si>
  <si>
    <t>Antall [stk] 1000 x 500 [mm]</t>
  </si>
  <si>
    <t>Antall [stk] 600 x 900 [mm]</t>
  </si>
  <si>
    <t>Eksisterende isolasjon [mm]</t>
  </si>
  <si>
    <t>Pris</t>
  </si>
  <si>
    <t>uverdi</t>
  </si>
  <si>
    <t>Natre-Maxbo</t>
  </si>
  <si>
    <t>https://www.h-vinduet.no/products/toppsving-vindu-60x90-59x89</t>
  </si>
  <si>
    <t>https://www.obsbygg.no/dorer-og-vinduer/vinduer/2234377?v=ObsBygg-7070797007288</t>
  </si>
  <si>
    <t>Terrasedør</t>
  </si>
  <si>
    <t>Pris tak</t>
  </si>
  <si>
    <t>Pris Vegg</t>
  </si>
  <si>
    <t>Pris Vegg 2</t>
  </si>
  <si>
    <t>Lekter</t>
  </si>
  <si>
    <t>Vindsperre</t>
  </si>
  <si>
    <t>Vegg</t>
  </si>
  <si>
    <t>Dør</t>
  </si>
  <si>
    <t>Timepris</t>
  </si>
  <si>
    <t>Areal/stk</t>
  </si>
  <si>
    <t>Timer/m2/stk</t>
  </si>
  <si>
    <t xml:space="preserve">Felt i gult kan endres </t>
  </si>
  <si>
    <t>Festemidler</t>
  </si>
  <si>
    <t>R_se</t>
  </si>
  <si>
    <t>Ny type isolasjon:</t>
  </si>
  <si>
    <t xml:space="preserve">Vindu </t>
  </si>
  <si>
    <t>Antall [stk] Ytterdør</t>
  </si>
  <si>
    <t xml:space="preserve">Antall [stk] Terrassedør </t>
  </si>
  <si>
    <t>Vindusareal:</t>
  </si>
  <si>
    <t>Pris for riving</t>
  </si>
  <si>
    <t>Utregning av vindusareal</t>
  </si>
  <si>
    <t>Bredde [mm]</t>
  </si>
  <si>
    <t>Høyde [mm]</t>
  </si>
  <si>
    <t>Antall [stk]</t>
  </si>
  <si>
    <t>Støtte:</t>
  </si>
  <si>
    <t>Enova støtte:</t>
  </si>
  <si>
    <t xml:space="preserve">Isolasjon </t>
  </si>
  <si>
    <t>Vakuum</t>
  </si>
  <si>
    <t>Konstant</t>
  </si>
  <si>
    <t>Nødvendig ISO [mm]</t>
  </si>
  <si>
    <t>Ny ISO [mm]</t>
  </si>
  <si>
    <t>Eksisterende ISO [mm]</t>
  </si>
  <si>
    <t>Mineralull krav:</t>
  </si>
  <si>
    <t>U-verdi: Tak med eksisterende isolasjon</t>
  </si>
  <si>
    <t>U-verdi: Tak med ny isolasjon</t>
  </si>
  <si>
    <t>U-verdi krav:</t>
  </si>
  <si>
    <t>U-verdi krav</t>
  </si>
  <si>
    <t>Utregninger for kalkulator:</t>
  </si>
  <si>
    <t>Total vindusareal [m²]</t>
  </si>
  <si>
    <t>U-verdi: Tak om ikke mineralull</t>
  </si>
  <si>
    <t>U-verdi: Vegg med eksisterende isolasjon</t>
  </si>
  <si>
    <t>U-verdi: Vegg med ny isolasjon</t>
  </si>
  <si>
    <t>U-verdi: Vegg om ikke mineralull</t>
  </si>
  <si>
    <t>U-verdi:</t>
  </si>
  <si>
    <t>U-verdi: Betongvegg med eksisterende isolasjon</t>
  </si>
  <si>
    <t>U-verdi: Betongvegg med ny isolasjon</t>
  </si>
  <si>
    <t>U-verdi: Betongvegg om ikke mineralull</t>
  </si>
  <si>
    <t xml:space="preserve">U-verdi: </t>
  </si>
  <si>
    <t>Lamnda</t>
  </si>
  <si>
    <t>Konstant tak</t>
  </si>
  <si>
    <t>Konstant vegg</t>
  </si>
  <si>
    <t>Prisliste</t>
  </si>
  <si>
    <t>[mm]</t>
  </si>
  <si>
    <t>Med utførelse</t>
  </si>
  <si>
    <t>Pris med utførelse</t>
  </si>
  <si>
    <t>SUM</t>
  </si>
  <si>
    <t>Kjellervegg</t>
  </si>
  <si>
    <t>Vinduer</t>
  </si>
  <si>
    <t>Riving</t>
  </si>
  <si>
    <t>Enhet</t>
  </si>
  <si>
    <t>Kjeller</t>
  </si>
  <si>
    <t>Gjennomsnitt</t>
  </si>
  <si>
    <t>m²</t>
  </si>
  <si>
    <t>Pris/m²*tykkelse</t>
  </si>
  <si>
    <t>Isolasjon [minerlull]</t>
  </si>
  <si>
    <t>Material</t>
  </si>
  <si>
    <t>M. utførelse</t>
  </si>
  <si>
    <t>Stk</t>
  </si>
  <si>
    <t>Ytterdør U-verdi 1,6</t>
  </si>
  <si>
    <t>Ytterdør U-verdi 1,2</t>
  </si>
  <si>
    <t>Ytterdør U-verdi 0,8</t>
  </si>
  <si>
    <t>Terrassedør U-verdi 1,6</t>
  </si>
  <si>
    <t>Terrassedør U-verdi 1,2</t>
  </si>
  <si>
    <t>Terrassedør U-verdi 0,8</t>
  </si>
  <si>
    <t>Totalpris med støtte</t>
  </si>
  <si>
    <t>Utførelse</t>
  </si>
  <si>
    <t>Lekter 48 x 48</t>
  </si>
  <si>
    <t>Lekter 23 x 48</t>
  </si>
  <si>
    <t>Kledning liggende</t>
  </si>
  <si>
    <t xml:space="preserve">Gips ettlags </t>
  </si>
  <si>
    <t>Gips ettlags</t>
  </si>
  <si>
    <t>U-verdi 0,8 Alu</t>
  </si>
  <si>
    <t>U-verdi 1,2 Alu</t>
  </si>
  <si>
    <t>U-verdi 1,6 Alu</t>
  </si>
  <si>
    <t>Vindu:</t>
  </si>
  <si>
    <t>Ytterdør:</t>
  </si>
  <si>
    <t>Terrassedør:</t>
  </si>
  <si>
    <t>Tegltakstein</t>
  </si>
  <si>
    <t>Undertak, rupanel</t>
  </si>
  <si>
    <t>Takvindu</t>
  </si>
  <si>
    <t>550 x 780 [mm]</t>
  </si>
  <si>
    <t>780 x 1180 [mm]</t>
  </si>
  <si>
    <t>1140 x 1400 [mm]</t>
  </si>
  <si>
    <t>Takvindu [stk]</t>
  </si>
  <si>
    <t>Sum takvindu:</t>
  </si>
  <si>
    <t>Oppsummering:</t>
  </si>
  <si>
    <t>∑ R</t>
  </si>
  <si>
    <t>Installere varmepumpe?</t>
  </si>
  <si>
    <t>Varmepumpe</t>
  </si>
  <si>
    <t>Takvindu (faste størrelser)</t>
  </si>
  <si>
    <t>m/utførelse</t>
  </si>
  <si>
    <t>Felt markert grønt kan endres</t>
  </si>
  <si>
    <t>Info: (Luft-til-luft 3kWh)</t>
  </si>
  <si>
    <t>Kjellergulv [betong]</t>
  </si>
  <si>
    <t xml:space="preserve">Ny type isolasjon </t>
  </si>
  <si>
    <t>U-verdi: Betongulv med eksisterende isolasjon</t>
  </si>
  <si>
    <t>U-verdi: Betonggulv med ny isolasjon</t>
  </si>
  <si>
    <t>U-verdi: Betonggulv om ikke mineralull</t>
  </si>
  <si>
    <t>Kjellergulv</t>
  </si>
  <si>
    <t>Isolasjonstykkele ny [mm]</t>
  </si>
  <si>
    <t>Gulv</t>
  </si>
  <si>
    <t xml:space="preserve">Lekter 48 x 48 </t>
  </si>
  <si>
    <t>Parkett</t>
  </si>
  <si>
    <t xml:space="preserve">U-verdi </t>
  </si>
  <si>
    <t>Undergulv</t>
  </si>
  <si>
    <t>Pris iht. u-verdi</t>
  </si>
  <si>
    <t>Totalpris med utførelse og 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</si>
</sst>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&quot;\ #,##0.00"/>
    <numFmt numFmtId="165" formatCode="0.0000"/>
    <numFmt numFmtId="166" formatCode="0.000"/>
    <numFmt numFmtId="167" formatCode="&quot;kr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4D5156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9"/>
      <name val="Times New Roman"/>
      <family val="1"/>
    </font>
    <font>
      <sz val="11"/>
      <color rgb="FF131F28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4D5156"/>
      <name val="Calibri Light"/>
      <family val="2"/>
      <scheme val="major"/>
    </font>
    <font>
      <b/>
      <sz val="12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6" borderId="0" xfId="0" applyFill="1"/>
    <xf numFmtId="0" fontId="4" fillId="0" borderId="1" xfId="0" applyFont="1" applyBorder="1"/>
    <xf numFmtId="9" fontId="0" fillId="2" borderId="1" xfId="0" applyNumberFormat="1" applyFill="1" applyBorder="1"/>
    <xf numFmtId="0" fontId="0" fillId="2" borderId="3" xfId="0" applyFill="1" applyBorder="1"/>
    <xf numFmtId="9" fontId="0" fillId="2" borderId="4" xfId="0" applyNumberFormat="1" applyFill="1" applyBorder="1"/>
    <xf numFmtId="166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0" fillId="2" borderId="6" xfId="0" applyFill="1" applyBorder="1"/>
    <xf numFmtId="2" fontId="0" fillId="0" borderId="1" xfId="0" applyNumberFormat="1" applyBorder="1"/>
    <xf numFmtId="0" fontId="0" fillId="0" borderId="7" xfId="0" applyBorder="1"/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5" fillId="3" borderId="1" xfId="0" applyFont="1" applyFill="1" applyBorder="1"/>
    <xf numFmtId="0" fontId="6" fillId="3" borderId="1" xfId="0" applyFont="1" applyFill="1" applyBorder="1"/>
    <xf numFmtId="0" fontId="6" fillId="0" borderId="1" xfId="0" applyFont="1" applyBorder="1"/>
    <xf numFmtId="164" fontId="7" fillId="0" borderId="1" xfId="0" applyNumberFormat="1" applyFont="1" applyBorder="1"/>
    <xf numFmtId="0" fontId="6" fillId="0" borderId="2" xfId="0" applyFont="1" applyBorder="1"/>
    <xf numFmtId="164" fontId="8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4" borderId="1" xfId="0" applyFont="1" applyFill="1" applyBorder="1"/>
    <xf numFmtId="0" fontId="6" fillId="0" borderId="12" xfId="0" applyFont="1" applyBorder="1"/>
    <xf numFmtId="0" fontId="6" fillId="0" borderId="4" xfId="0" applyFont="1" applyBorder="1"/>
    <xf numFmtId="0" fontId="6" fillId="4" borderId="11" xfId="0" applyFont="1" applyFill="1" applyBorder="1"/>
    <xf numFmtId="0" fontId="6" fillId="0" borderId="8" xfId="0" applyFont="1" applyBorder="1"/>
    <xf numFmtId="0" fontId="6" fillId="6" borderId="7" xfId="0" applyFont="1" applyFill="1" applyBorder="1"/>
    <xf numFmtId="0" fontId="6" fillId="0" borderId="9" xfId="0" applyFont="1" applyBorder="1"/>
    <xf numFmtId="0" fontId="6" fillId="0" borderId="7" xfId="0" applyFont="1" applyBorder="1"/>
    <xf numFmtId="0" fontId="6" fillId="6" borderId="1" xfId="0" applyFont="1" applyFill="1" applyBorder="1"/>
    <xf numFmtId="164" fontId="6" fillId="3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6" borderId="10" xfId="0" applyFill="1" applyBorder="1"/>
    <xf numFmtId="0" fontId="0" fillId="0" borderId="10" xfId="0" applyBorder="1"/>
    <xf numFmtId="166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/>
    <xf numFmtId="0" fontId="6" fillId="0" borderId="11" xfId="0" applyFont="1" applyBorder="1"/>
    <xf numFmtId="0" fontId="5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/>
    <xf numFmtId="0" fontId="10" fillId="0" borderId="1" xfId="0" applyFont="1" applyBorder="1"/>
    <xf numFmtId="0" fontId="11" fillId="0" borderId="0" xfId="0" applyFont="1"/>
    <xf numFmtId="0" fontId="11" fillId="7" borderId="1" xfId="0" applyFont="1" applyFill="1" applyBorder="1"/>
    <xf numFmtId="0" fontId="11" fillId="0" borderId="1" xfId="0" applyFont="1" applyBorder="1"/>
    <xf numFmtId="0" fontId="11" fillId="7" borderId="3" xfId="0" applyFont="1" applyFill="1" applyBorder="1"/>
    <xf numFmtId="0" fontId="11" fillId="7" borderId="12" xfId="0" applyFont="1" applyFill="1" applyBorder="1"/>
    <xf numFmtId="0" fontId="11" fillId="0" borderId="3" xfId="0" applyFont="1" applyBorder="1"/>
    <xf numFmtId="0" fontId="11" fillId="0" borderId="12" xfId="0" applyFont="1" applyBorder="1"/>
    <xf numFmtId="0" fontId="11" fillId="0" borderId="2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7" borderId="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9" fontId="11" fillId="7" borderId="1" xfId="0" applyNumberFormat="1" applyFont="1" applyFill="1" applyBorder="1"/>
    <xf numFmtId="9" fontId="11" fillId="7" borderId="4" xfId="0" applyNumberFormat="1" applyFont="1" applyFill="1" applyBorder="1"/>
    <xf numFmtId="9" fontId="11" fillId="7" borderId="5" xfId="0" applyNumberFormat="1" applyFont="1" applyFill="1" applyBorder="1"/>
    <xf numFmtId="0" fontId="13" fillId="0" borderId="1" xfId="0" applyFont="1" applyBorder="1"/>
    <xf numFmtId="166" fontId="11" fillId="0" borderId="12" xfId="0" applyNumberFormat="1" applyFont="1" applyBorder="1"/>
    <xf numFmtId="166" fontId="11" fillId="0" borderId="1" xfId="0" applyNumberFormat="1" applyFont="1" applyBorder="1"/>
    <xf numFmtId="165" fontId="11" fillId="0" borderId="1" xfId="0" applyNumberFormat="1" applyFont="1" applyBorder="1"/>
    <xf numFmtId="0" fontId="11" fillId="6" borderId="17" xfId="0" applyFont="1" applyFill="1" applyBorder="1"/>
    <xf numFmtId="166" fontId="11" fillId="0" borderId="0" xfId="0" applyNumberFormat="1" applyFont="1"/>
    <xf numFmtId="166" fontId="11" fillId="0" borderId="16" xfId="0" applyNumberFormat="1" applyFont="1" applyBorder="1"/>
    <xf numFmtId="0" fontId="11" fillId="0" borderId="15" xfId="0" applyFont="1" applyBorder="1"/>
    <xf numFmtId="0" fontId="12" fillId="0" borderId="14" xfId="0" applyFont="1" applyBorder="1"/>
    <xf numFmtId="166" fontId="11" fillId="0" borderId="2" xfId="0" applyNumberFormat="1" applyFont="1" applyBorder="1"/>
    <xf numFmtId="0" fontId="11" fillId="7" borderId="13" xfId="0" applyFont="1" applyFill="1" applyBorder="1"/>
    <xf numFmtId="0" fontId="11" fillId="0" borderId="11" xfId="0" applyFont="1" applyBorder="1"/>
    <xf numFmtId="166" fontId="11" fillId="0" borderId="11" xfId="0" applyNumberFormat="1" applyFont="1" applyBorder="1"/>
    <xf numFmtId="2" fontId="11" fillId="0" borderId="1" xfId="0" applyNumberFormat="1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" fontId="11" fillId="0" borderId="0" xfId="0" applyNumberFormat="1" applyFont="1"/>
    <xf numFmtId="0" fontId="6" fillId="9" borderId="1" xfId="0" applyFont="1" applyFill="1" applyBorder="1" applyAlignment="1">
      <alignment horizontal="center"/>
    </xf>
    <xf numFmtId="0" fontId="5" fillId="0" borderId="24" xfId="0" applyFont="1" applyBorder="1"/>
    <xf numFmtId="0" fontId="11" fillId="3" borderId="1" xfId="0" applyFont="1" applyFill="1" applyBorder="1"/>
    <xf numFmtId="0" fontId="10" fillId="3" borderId="1" xfId="0" applyFont="1" applyFill="1" applyBorder="1"/>
    <xf numFmtId="0" fontId="5" fillId="9" borderId="3" xfId="0" applyFont="1" applyFill="1" applyBorder="1" applyAlignment="1">
      <alignment horizontal="center"/>
    </xf>
    <xf numFmtId="0" fontId="6" fillId="9" borderId="1" xfId="0" applyFont="1" applyFill="1" applyBorder="1"/>
    <xf numFmtId="0" fontId="6" fillId="5" borderId="3" xfId="0" applyFont="1" applyFill="1" applyBorder="1"/>
    <xf numFmtId="0" fontId="6" fillId="5" borderId="5" xfId="0" applyFont="1" applyFill="1" applyBorder="1"/>
    <xf numFmtId="0" fontId="6" fillId="5" borderId="4" xfId="0" applyFont="1" applyFill="1" applyBorder="1"/>
    <xf numFmtId="164" fontId="6" fillId="0" borderId="0" xfId="0" applyNumberFormat="1" applyFont="1"/>
    <xf numFmtId="9" fontId="11" fillId="0" borderId="1" xfId="0" applyNumberFormat="1" applyFont="1" applyBorder="1"/>
    <xf numFmtId="164" fontId="11" fillId="0" borderId="1" xfId="0" applyNumberFormat="1" applyFont="1" applyBorder="1"/>
    <xf numFmtId="0" fontId="12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7" fontId="6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167" fontId="5" fillId="0" borderId="24" xfId="0" applyNumberFormat="1" applyFont="1" applyBorder="1" applyAlignment="1">
      <alignment horizontal="left"/>
    </xf>
    <xf numFmtId="0" fontId="11" fillId="4" borderId="1" xfId="0" applyFont="1" applyFill="1" applyBorder="1"/>
    <xf numFmtId="166" fontId="11" fillId="4" borderId="1" xfId="0" applyNumberFormat="1" applyFont="1" applyFill="1" applyBorder="1"/>
    <xf numFmtId="0" fontId="11" fillId="0" borderId="4" xfId="0" applyFont="1" applyBorder="1"/>
    <xf numFmtId="0" fontId="12" fillId="0" borderId="4" xfId="0" applyFont="1" applyBorder="1"/>
    <xf numFmtId="0" fontId="12" fillId="0" borderId="24" xfId="0" applyFont="1" applyBorder="1" applyAlignment="1">
      <alignment horizontal="center"/>
    </xf>
    <xf numFmtId="0" fontId="11" fillId="0" borderId="24" xfId="0" applyFont="1" applyBorder="1"/>
    <xf numFmtId="0" fontId="12" fillId="0" borderId="24" xfId="0" applyFont="1" applyBorder="1"/>
    <xf numFmtId="2" fontId="11" fillId="0" borderId="24" xfId="0" applyNumberFormat="1" applyFont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24" xfId="0" applyNumberFormat="1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CB28-BA35-482B-A0CF-A3514E3FC61F}">
  <dimension ref="A2:AK238"/>
  <sheetViews>
    <sheetView zoomScale="55" workbookViewId="0">
      <selection activeCell="X168" sqref="X168"/>
    </sheetView>
  </sheetViews>
  <sheetFormatPr baseColWidth="10" defaultRowHeight="14.4" x14ac:dyDescent="0.3"/>
  <cols>
    <col min="2" max="2" width="29.109375" customWidth="1"/>
    <col min="4" max="4" width="30" customWidth="1"/>
    <col min="5" max="5" width="19.44140625" customWidth="1"/>
    <col min="6" max="7" width="11" customWidth="1"/>
    <col min="8" max="8" width="16.44140625" customWidth="1"/>
    <col min="9" max="9" width="28.88671875" customWidth="1"/>
    <col min="10" max="10" width="22.5546875" customWidth="1"/>
    <col min="22" max="22" width="17.88671875" customWidth="1"/>
    <col min="29" max="29" width="12.77734375" customWidth="1"/>
  </cols>
  <sheetData>
    <row r="2" spans="1:17" ht="15.6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7" ht="15.6" x14ac:dyDescent="0.3">
      <c r="A3" s="18"/>
      <c r="B3" s="17" t="s">
        <v>4</v>
      </c>
      <c r="C3" s="133" t="s">
        <v>100</v>
      </c>
      <c r="D3" s="134"/>
      <c r="E3" s="134"/>
      <c r="F3" s="134"/>
      <c r="G3" s="135"/>
      <c r="H3" s="18"/>
      <c r="I3" s="18"/>
      <c r="J3" s="18"/>
      <c r="K3" s="18"/>
    </row>
    <row r="4" spans="1:17" ht="15.6" x14ac:dyDescent="0.3">
      <c r="A4" s="18"/>
      <c r="B4" s="19" t="s">
        <v>2</v>
      </c>
      <c r="C4" s="20"/>
      <c r="D4" s="20"/>
      <c r="E4" s="20"/>
      <c r="F4" s="133" t="s">
        <v>55</v>
      </c>
      <c r="G4" s="135"/>
      <c r="H4" s="18"/>
      <c r="I4" s="21" t="s">
        <v>17</v>
      </c>
      <c r="J4" s="22">
        <f>E5+E12+E19+E26+E32</f>
        <v>588176.245</v>
      </c>
      <c r="K4" s="18"/>
    </row>
    <row r="5" spans="1:17" ht="15.6" x14ac:dyDescent="0.3">
      <c r="A5" s="18"/>
      <c r="B5" s="23" t="s">
        <v>3</v>
      </c>
      <c r="C5" s="37">
        <v>64</v>
      </c>
      <c r="D5" s="18" t="s">
        <v>26</v>
      </c>
      <c r="E5" s="43">
        <f>(C6+G111)*C5+(G100*E7)*C5</f>
        <v>175481.60000000001</v>
      </c>
      <c r="F5" s="21"/>
      <c r="G5" s="45"/>
      <c r="H5" s="18"/>
      <c r="I5" s="21" t="s">
        <v>25</v>
      </c>
      <c r="J5" s="22">
        <f>E6+E13+E20+E27+E33</f>
        <v>1165151.2450000001</v>
      </c>
      <c r="K5" s="18"/>
    </row>
    <row r="6" spans="1:17" ht="15.6" x14ac:dyDescent="0.3">
      <c r="A6" s="18"/>
      <c r="B6" s="21" t="s">
        <v>77</v>
      </c>
      <c r="C6" s="38">
        <v>189</v>
      </c>
      <c r="D6" s="21" t="s">
        <v>24</v>
      </c>
      <c r="E6" s="44">
        <f>E5+I77</f>
        <v>295481.59999999998</v>
      </c>
      <c r="F6" s="21"/>
      <c r="G6" s="45"/>
      <c r="H6" s="18"/>
      <c r="I6" s="21" t="s">
        <v>18</v>
      </c>
      <c r="J6" s="24">
        <f>_xlfn.XLOOKUP(C34,P62:Q62,P63:Q63)</f>
        <v>150000</v>
      </c>
      <c r="K6" s="18"/>
    </row>
    <row r="7" spans="1:17" ht="15.6" x14ac:dyDescent="0.3">
      <c r="A7" s="18"/>
      <c r="B7" s="21" t="s">
        <v>19</v>
      </c>
      <c r="C7" s="56" t="s">
        <v>28</v>
      </c>
      <c r="D7" s="21" t="s">
        <v>31</v>
      </c>
      <c r="E7" s="45">
        <f>E8-C8*B109</f>
        <v>70</v>
      </c>
      <c r="F7" s="21"/>
      <c r="G7" s="45"/>
      <c r="H7" s="18"/>
      <c r="I7" s="25" t="s">
        <v>27</v>
      </c>
      <c r="J7" s="26">
        <f>J5-J6</f>
        <v>1015151.2450000001</v>
      </c>
      <c r="K7" s="18"/>
    </row>
    <row r="8" spans="1:17" ht="15.6" x14ac:dyDescent="0.3">
      <c r="A8" s="18"/>
      <c r="B8" s="21" t="s">
        <v>83</v>
      </c>
      <c r="C8" s="39">
        <v>100</v>
      </c>
      <c r="D8" s="21" t="s">
        <v>30</v>
      </c>
      <c r="E8" s="45">
        <f>C110*B110+C111*B111</f>
        <v>170</v>
      </c>
      <c r="F8" s="21" t="s">
        <v>60</v>
      </c>
      <c r="G8" s="45">
        <f>_xlfn.XLOOKUP(B3,Q161:S161,Q162:S162)</f>
        <v>0.09</v>
      </c>
      <c r="H8" s="18"/>
      <c r="I8" s="18"/>
      <c r="J8" s="18"/>
      <c r="K8" s="18"/>
    </row>
    <row r="9" spans="1:17" ht="15.6" x14ac:dyDescent="0.3">
      <c r="A9" s="18"/>
      <c r="B9" s="21" t="s">
        <v>29</v>
      </c>
      <c r="C9" s="39" t="s">
        <v>13</v>
      </c>
      <c r="D9" s="21"/>
      <c r="E9" s="45"/>
      <c r="F9" s="21" t="s">
        <v>72</v>
      </c>
      <c r="G9" s="54">
        <f>_xlfn.XLOOKUP(C9,Q171:S171,Q172:S172)</f>
        <v>0.12004088978230906</v>
      </c>
      <c r="H9" s="18"/>
      <c r="I9" s="18"/>
      <c r="J9" s="18"/>
      <c r="K9" s="18"/>
    </row>
    <row r="10" spans="1:17" ht="15.6" x14ac:dyDescent="0.3">
      <c r="A10" s="18"/>
      <c r="B10" s="27"/>
      <c r="C10" s="40"/>
      <c r="D10" s="27"/>
      <c r="E10" s="40"/>
      <c r="F10" s="27"/>
      <c r="G10" s="40"/>
      <c r="H10" s="18"/>
      <c r="I10" s="18"/>
      <c r="J10" s="18"/>
      <c r="K10" s="18"/>
    </row>
    <row r="11" spans="1:17" ht="15.6" x14ac:dyDescent="0.3">
      <c r="A11" s="18"/>
      <c r="B11" s="19" t="s">
        <v>35</v>
      </c>
      <c r="C11" s="41"/>
      <c r="D11" s="20"/>
      <c r="E11" s="41"/>
      <c r="F11" s="20"/>
      <c r="G11" s="41"/>
      <c r="H11" s="18"/>
      <c r="I11" s="18"/>
      <c r="J11" s="18"/>
      <c r="K11" s="18"/>
    </row>
    <row r="12" spans="1:17" ht="15.6" x14ac:dyDescent="0.3">
      <c r="A12" s="18"/>
      <c r="B12" s="21" t="s">
        <v>3</v>
      </c>
      <c r="C12" s="39">
        <v>126.9</v>
      </c>
      <c r="D12" s="18" t="s">
        <v>26</v>
      </c>
      <c r="E12" s="44">
        <f>C13*C12+(E14*G101)*C12+AG139</f>
        <v>247639.005</v>
      </c>
      <c r="F12" s="21"/>
      <c r="G12" s="45"/>
      <c r="H12" s="18"/>
      <c r="I12" s="18"/>
      <c r="J12" s="18"/>
      <c r="K12" s="18"/>
    </row>
    <row r="13" spans="1:17" ht="15.6" x14ac:dyDescent="0.3">
      <c r="A13" s="18"/>
      <c r="B13" s="21" t="s">
        <v>37</v>
      </c>
      <c r="C13" s="38">
        <v>322</v>
      </c>
      <c r="D13" s="21" t="s">
        <v>24</v>
      </c>
      <c r="E13" s="44">
        <f>E12+I78</f>
        <v>628339.005</v>
      </c>
      <c r="F13" s="21"/>
      <c r="G13" s="45"/>
      <c r="H13" s="18"/>
      <c r="I13" s="18"/>
      <c r="J13" s="18"/>
      <c r="K13" s="18"/>
    </row>
    <row r="14" spans="1:17" ht="15.6" x14ac:dyDescent="0.3">
      <c r="A14" s="18"/>
      <c r="B14" s="21" t="s">
        <v>19</v>
      </c>
      <c r="C14" s="56" t="s">
        <v>28</v>
      </c>
      <c r="D14" s="21" t="s">
        <v>20</v>
      </c>
      <c r="E14" s="45">
        <f>E15-C15*B114</f>
        <v>52.5</v>
      </c>
      <c r="F14" s="21"/>
      <c r="G14" s="45"/>
      <c r="H14" s="18"/>
      <c r="I14" s="18"/>
      <c r="J14" s="18"/>
      <c r="K14" s="18"/>
    </row>
    <row r="15" spans="1:17" ht="15.6" x14ac:dyDescent="0.3">
      <c r="A15" s="18"/>
      <c r="B15" s="21" t="s">
        <v>83</v>
      </c>
      <c r="C15" s="39">
        <v>200</v>
      </c>
      <c r="D15" s="23" t="s">
        <v>21</v>
      </c>
      <c r="E15" s="46">
        <f>C115*B115+C116*B116</f>
        <v>252.5</v>
      </c>
      <c r="F15" s="21" t="s">
        <v>60</v>
      </c>
      <c r="G15" s="45">
        <f>L145</f>
        <v>0.11</v>
      </c>
      <c r="H15" s="18"/>
      <c r="I15" s="18"/>
      <c r="J15" s="18"/>
      <c r="K15" s="18"/>
    </row>
    <row r="16" spans="1:17" ht="15.6" x14ac:dyDescent="0.3">
      <c r="A16" s="18"/>
      <c r="B16" s="21" t="s">
        <v>29</v>
      </c>
      <c r="C16" s="42" t="s">
        <v>13</v>
      </c>
      <c r="D16" s="28"/>
      <c r="E16" s="47"/>
      <c r="F16" s="29" t="s">
        <v>72</v>
      </c>
      <c r="G16" s="54">
        <f>_xlfn.XLOOKUP(C16,P144:R144,P145:R145)</f>
        <v>0.10802930375179952</v>
      </c>
      <c r="H16" s="18"/>
      <c r="I16" s="18"/>
      <c r="J16" s="18"/>
      <c r="K16" s="18"/>
      <c r="N16" s="18"/>
      <c r="O16" s="18"/>
      <c r="P16" s="18"/>
      <c r="Q16" s="18"/>
    </row>
    <row r="17" spans="1:11" ht="15.6" x14ac:dyDescent="0.3">
      <c r="A17" s="18"/>
      <c r="B17" s="27"/>
      <c r="C17" s="40"/>
      <c r="D17" s="30"/>
      <c r="E17" s="48"/>
      <c r="F17" s="27"/>
      <c r="G17" s="40"/>
      <c r="H17" s="18"/>
      <c r="I17" s="18"/>
      <c r="J17" s="18"/>
      <c r="K17" s="18"/>
    </row>
    <row r="18" spans="1:11" ht="15.6" x14ac:dyDescent="0.3">
      <c r="A18" s="18"/>
      <c r="B18" s="19" t="s">
        <v>34</v>
      </c>
      <c r="C18" s="41"/>
      <c r="D18" s="20"/>
      <c r="E18" s="41"/>
      <c r="F18" s="20"/>
      <c r="G18" s="41"/>
      <c r="H18" s="18"/>
      <c r="I18" s="18"/>
      <c r="J18" s="18"/>
      <c r="K18" s="18"/>
    </row>
    <row r="19" spans="1:11" ht="15.6" x14ac:dyDescent="0.3">
      <c r="A19" s="18"/>
      <c r="B19" s="21" t="s">
        <v>3</v>
      </c>
      <c r="C19" s="39">
        <v>39.6</v>
      </c>
      <c r="D19" s="57" t="s">
        <v>26</v>
      </c>
      <c r="E19" s="49">
        <f>(E21*G102)*C19+AK139</f>
        <v>19835.64</v>
      </c>
      <c r="F19" s="21"/>
      <c r="G19" s="45"/>
      <c r="H19" s="18"/>
      <c r="K19" s="18"/>
    </row>
    <row r="20" spans="1:11" ht="15.6" x14ac:dyDescent="0.3">
      <c r="A20" s="18"/>
      <c r="B20" s="21" t="s">
        <v>73</v>
      </c>
      <c r="C20" s="39">
        <v>400</v>
      </c>
      <c r="D20" s="21" t="s">
        <v>24</v>
      </c>
      <c r="E20" s="44">
        <f>E19+I79</f>
        <v>79235.64</v>
      </c>
      <c r="F20" s="21"/>
      <c r="G20" s="45"/>
      <c r="H20" s="18"/>
      <c r="K20" s="18"/>
    </row>
    <row r="21" spans="1:11" ht="15.6" x14ac:dyDescent="0.3">
      <c r="A21" s="18"/>
      <c r="B21" s="21" t="s">
        <v>19</v>
      </c>
      <c r="C21" s="56" t="s">
        <v>28</v>
      </c>
      <c r="D21" s="21" t="s">
        <v>20</v>
      </c>
      <c r="E21" s="45">
        <f>E22-C22*B119</f>
        <v>250</v>
      </c>
      <c r="F21" s="21"/>
      <c r="G21" s="45"/>
      <c r="H21" s="31"/>
      <c r="I21" s="32"/>
      <c r="J21" s="33"/>
      <c r="K21" s="18"/>
    </row>
    <row r="22" spans="1:11" ht="15.6" x14ac:dyDescent="0.3">
      <c r="A22" s="18"/>
      <c r="B22" s="21" t="s">
        <v>83</v>
      </c>
      <c r="C22" s="39">
        <v>100</v>
      </c>
      <c r="D22" s="21" t="s">
        <v>21</v>
      </c>
      <c r="E22" s="45">
        <f>C120*B120+C121*B121</f>
        <v>350</v>
      </c>
      <c r="F22" s="21" t="s">
        <v>60</v>
      </c>
      <c r="G22" s="45">
        <f>G15</f>
        <v>0.11</v>
      </c>
      <c r="H22" s="18"/>
      <c r="I22" s="34"/>
      <c r="J22" s="18"/>
      <c r="K22" s="18"/>
    </row>
    <row r="23" spans="1:11" ht="15.6" x14ac:dyDescent="0.3">
      <c r="A23" s="18"/>
      <c r="B23" s="21" t="s">
        <v>29</v>
      </c>
      <c r="C23" s="39" t="s">
        <v>28</v>
      </c>
      <c r="D23" s="21"/>
      <c r="E23" s="45"/>
      <c r="F23" s="21" t="s">
        <v>72</v>
      </c>
      <c r="G23" s="54">
        <f>_xlfn.XLOOKUP(C23,O194:Q194,O195:Q195)</f>
        <v>0.11078246873776745</v>
      </c>
      <c r="H23" s="18"/>
      <c r="I23" s="18"/>
      <c r="J23" s="18"/>
      <c r="K23" s="18"/>
    </row>
    <row r="24" spans="1:11" ht="15.6" x14ac:dyDescent="0.3">
      <c r="A24" s="18"/>
      <c r="B24" s="27"/>
      <c r="C24" s="40"/>
      <c r="D24" s="27"/>
      <c r="E24" s="40"/>
      <c r="F24" s="27"/>
      <c r="G24" s="40"/>
      <c r="H24" s="18"/>
      <c r="I24" s="18"/>
      <c r="J24" s="18"/>
      <c r="K24" s="18"/>
    </row>
    <row r="25" spans="1:11" ht="15.6" x14ac:dyDescent="0.3">
      <c r="A25" s="18"/>
      <c r="B25" s="19" t="s">
        <v>1</v>
      </c>
      <c r="C25" s="41"/>
      <c r="D25" s="20"/>
      <c r="E25" s="41"/>
      <c r="F25" s="20"/>
      <c r="G25" s="41"/>
      <c r="H25" s="18"/>
      <c r="I25" s="18"/>
      <c r="J25" s="18"/>
      <c r="K25" s="18"/>
    </row>
    <row r="26" spans="1:11" ht="15.6" x14ac:dyDescent="0.3">
      <c r="A26" s="18"/>
      <c r="B26" s="21" t="s">
        <v>79</v>
      </c>
      <c r="C26" s="39">
        <v>5</v>
      </c>
      <c r="D26" s="18" t="s">
        <v>26</v>
      </c>
      <c r="E26" s="49">
        <f>D231</f>
        <v>95237</v>
      </c>
      <c r="F26" s="21"/>
      <c r="G26" s="45"/>
      <c r="H26" s="18"/>
      <c r="I26" s="18"/>
      <c r="J26" s="18"/>
      <c r="K26" s="18"/>
    </row>
    <row r="27" spans="1:11" ht="15.6" x14ac:dyDescent="0.3">
      <c r="A27" s="18"/>
      <c r="B27" s="35" t="s">
        <v>80</v>
      </c>
      <c r="C27" s="39">
        <v>4</v>
      </c>
      <c r="D27" s="35" t="s">
        <v>24</v>
      </c>
      <c r="E27" s="44">
        <f>E26+I80</f>
        <v>107612</v>
      </c>
      <c r="F27" s="21"/>
      <c r="G27" s="45"/>
      <c r="H27" s="18"/>
      <c r="I27" s="18"/>
      <c r="J27" s="18"/>
      <c r="K27" s="18"/>
    </row>
    <row r="28" spans="1:11" ht="15.6" x14ac:dyDescent="0.3">
      <c r="A28" s="18"/>
      <c r="B28" s="35" t="s">
        <v>81</v>
      </c>
      <c r="C28" s="39">
        <v>1</v>
      </c>
      <c r="D28" s="35"/>
      <c r="E28" s="44"/>
      <c r="F28" s="21" t="s">
        <v>60</v>
      </c>
      <c r="G28" s="45">
        <f>G32</f>
        <v>0.8</v>
      </c>
      <c r="H28" s="18"/>
      <c r="I28" s="18"/>
      <c r="J28" s="18"/>
      <c r="K28" s="18"/>
    </row>
    <row r="29" spans="1:11" ht="15.6" x14ac:dyDescent="0.3">
      <c r="A29" s="18"/>
      <c r="B29" s="35" t="s">
        <v>82</v>
      </c>
      <c r="C29" s="39">
        <v>1</v>
      </c>
      <c r="D29" s="35"/>
      <c r="E29" s="44"/>
      <c r="F29" s="21" t="s">
        <v>72</v>
      </c>
      <c r="G29" s="51">
        <f>_xlfn.XLOOKUP(B3,L225:N225,L226:N226)</f>
        <v>0.8</v>
      </c>
      <c r="H29" s="18"/>
      <c r="I29" s="18"/>
      <c r="J29" s="18"/>
      <c r="K29" s="18"/>
    </row>
    <row r="30" spans="1:11" ht="15.6" x14ac:dyDescent="0.3">
      <c r="A30" s="18"/>
      <c r="B30" s="27"/>
      <c r="C30" s="40"/>
      <c r="D30" s="27"/>
      <c r="E30" s="50"/>
      <c r="F30" s="27"/>
      <c r="G30" s="40"/>
      <c r="H30" s="18"/>
      <c r="I30" s="18"/>
      <c r="J30" s="18"/>
      <c r="K30" s="18"/>
    </row>
    <row r="31" spans="1:11" ht="15.6" x14ac:dyDescent="0.3">
      <c r="A31" s="18"/>
      <c r="B31" s="19" t="s">
        <v>0</v>
      </c>
      <c r="C31" s="41"/>
      <c r="D31" s="20"/>
      <c r="E31" s="41"/>
      <c r="F31" s="20"/>
      <c r="G31" s="41"/>
      <c r="H31" s="18"/>
      <c r="I31" s="18"/>
      <c r="J31" s="18"/>
      <c r="K31" s="18"/>
    </row>
    <row r="32" spans="1:11" ht="15.6" x14ac:dyDescent="0.3">
      <c r="A32" s="18"/>
      <c r="B32" s="21" t="s">
        <v>75</v>
      </c>
      <c r="C32" s="39">
        <v>1</v>
      </c>
      <c r="D32" s="18" t="s">
        <v>26</v>
      </c>
      <c r="E32" s="49">
        <f>G237</f>
        <v>49983</v>
      </c>
      <c r="F32" s="21" t="s">
        <v>60</v>
      </c>
      <c r="G32" s="45">
        <f>_xlfn.XLOOKUP(B3,B214:D214,B215:D215)</f>
        <v>0.8</v>
      </c>
      <c r="H32" s="18"/>
      <c r="I32" s="18"/>
      <c r="J32" s="18"/>
      <c r="K32" s="18"/>
    </row>
    <row r="33" spans="1:11" ht="15.6" x14ac:dyDescent="0.3">
      <c r="A33" s="18"/>
      <c r="B33" s="21" t="s">
        <v>76</v>
      </c>
      <c r="C33" s="39">
        <v>2</v>
      </c>
      <c r="D33" s="21" t="s">
        <v>24</v>
      </c>
      <c r="E33" s="44">
        <f>E32+I81</f>
        <v>54483</v>
      </c>
      <c r="F33" s="21" t="s">
        <v>72</v>
      </c>
      <c r="G33" s="51">
        <f>G29</f>
        <v>0.8</v>
      </c>
      <c r="H33" s="18"/>
      <c r="I33" s="18"/>
      <c r="J33" s="18"/>
      <c r="K33" s="18"/>
    </row>
    <row r="34" spans="1:11" ht="15.6" x14ac:dyDescent="0.3">
      <c r="A34" s="18"/>
      <c r="B34" s="19" t="s">
        <v>14</v>
      </c>
      <c r="C34" s="39" t="s">
        <v>15</v>
      </c>
      <c r="D34" s="20"/>
      <c r="E34" s="36"/>
      <c r="F34" s="20"/>
      <c r="G34" s="20"/>
      <c r="H34" s="18"/>
      <c r="I34" s="18"/>
      <c r="J34" s="18"/>
      <c r="K34" s="18"/>
    </row>
    <row r="35" spans="1:11" ht="15.6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.6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5.6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62" spans="5:1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 t="s">
        <v>15</v>
      </c>
      <c r="Q62" s="3" t="s">
        <v>16</v>
      </c>
    </row>
    <row r="63" spans="5:17" x14ac:dyDescent="0.3">
      <c r="E63" s="3" t="s">
        <v>4</v>
      </c>
      <c r="F63" s="3" t="s">
        <v>15</v>
      </c>
      <c r="G63" s="3"/>
      <c r="H63" s="3"/>
      <c r="I63" s="3"/>
      <c r="J63" s="3"/>
      <c r="K63" s="3" t="s">
        <v>4</v>
      </c>
      <c r="L63" s="3" t="s">
        <v>5</v>
      </c>
      <c r="M63" s="3" t="s">
        <v>6</v>
      </c>
      <c r="N63" s="3"/>
      <c r="O63" s="3"/>
      <c r="P63" s="3">
        <f>_xlfn.XLOOKUP(B3,K63:N63,K65:N65)</f>
        <v>150000</v>
      </c>
      <c r="Q63" s="3">
        <v>0</v>
      </c>
    </row>
    <row r="64" spans="5:17" x14ac:dyDescent="0.3">
      <c r="E64" s="3" t="s">
        <v>5</v>
      </c>
      <c r="F64" s="3" t="s">
        <v>16</v>
      </c>
      <c r="G64" s="3"/>
      <c r="H64" s="3" t="s">
        <v>28</v>
      </c>
      <c r="I64" s="3"/>
      <c r="J64" s="3"/>
      <c r="K64" s="3"/>
      <c r="L64" s="3"/>
      <c r="M64" s="3"/>
      <c r="N64" s="3"/>
      <c r="O64" s="3"/>
      <c r="P64" s="3"/>
      <c r="Q64" s="3"/>
    </row>
    <row r="65" spans="3:35" x14ac:dyDescent="0.3">
      <c r="E65" s="3" t="s">
        <v>6</v>
      </c>
      <c r="F65" s="3"/>
      <c r="G65" s="3"/>
      <c r="H65" s="3" t="s">
        <v>23</v>
      </c>
      <c r="I65" s="3"/>
      <c r="J65" s="3"/>
      <c r="K65" s="3">
        <v>150000</v>
      </c>
      <c r="L65" s="3">
        <v>125000</v>
      </c>
      <c r="M65" s="3">
        <v>100000</v>
      </c>
      <c r="N65" s="3"/>
      <c r="O65" s="3"/>
      <c r="P65" s="3"/>
      <c r="Q65" s="3"/>
    </row>
    <row r="66" spans="3:35" x14ac:dyDescent="0.3">
      <c r="E66" s="3"/>
      <c r="F66" s="3"/>
      <c r="G66" s="3"/>
      <c r="H66" s="3" t="s">
        <v>13</v>
      </c>
      <c r="I66" s="3"/>
      <c r="J66" s="3"/>
      <c r="K66" s="3"/>
      <c r="L66" s="3"/>
      <c r="M66" s="3"/>
      <c r="N66" s="3"/>
      <c r="O66" s="3"/>
      <c r="P66" s="3"/>
      <c r="Q66" s="3"/>
    </row>
    <row r="70" spans="3:35" x14ac:dyDescent="0.3"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Q70" s="1"/>
      <c r="R70" s="1"/>
      <c r="S70" s="1"/>
      <c r="T70" s="1"/>
      <c r="U70" s="1"/>
      <c r="V70" s="1"/>
      <c r="X70" s="1" t="s">
        <v>1</v>
      </c>
      <c r="Y70" s="1" t="s">
        <v>11</v>
      </c>
      <c r="Z70" s="1" t="s">
        <v>10</v>
      </c>
      <c r="AA70" s="1" t="s">
        <v>22</v>
      </c>
      <c r="AB70" s="1" t="s">
        <v>7</v>
      </c>
      <c r="AC70" s="1" t="s">
        <v>12</v>
      </c>
      <c r="AE70" s="1" t="s">
        <v>0</v>
      </c>
      <c r="AF70" s="1" t="s">
        <v>11</v>
      </c>
      <c r="AG70" s="1" t="s">
        <v>10</v>
      </c>
      <c r="AH70" s="1" t="s">
        <v>7</v>
      </c>
      <c r="AI70" s="1" t="s">
        <v>12</v>
      </c>
    </row>
    <row r="71" spans="3:35" x14ac:dyDescent="0.3">
      <c r="C71" s="1"/>
      <c r="J71" s="1"/>
      <c r="Q71" s="1"/>
      <c r="X71" s="1" t="s">
        <v>4</v>
      </c>
      <c r="Y71" t="s">
        <v>8</v>
      </c>
      <c r="Z71" t="s">
        <v>9</v>
      </c>
      <c r="AE71" s="1" t="s">
        <v>4</v>
      </c>
      <c r="AF71" t="s">
        <v>8</v>
      </c>
      <c r="AG71" t="s">
        <v>9</v>
      </c>
    </row>
    <row r="72" spans="3:35" x14ac:dyDescent="0.3">
      <c r="AA72">
        <v>0.8</v>
      </c>
    </row>
    <row r="73" spans="3:35" x14ac:dyDescent="0.3">
      <c r="C73" s="1"/>
      <c r="J73" s="1"/>
      <c r="Q73" s="1"/>
      <c r="X73" s="1" t="s">
        <v>5</v>
      </c>
      <c r="AA73">
        <v>1</v>
      </c>
      <c r="AE73" s="1" t="s">
        <v>5</v>
      </c>
    </row>
    <row r="75" spans="3:35" x14ac:dyDescent="0.3">
      <c r="C75" s="1"/>
      <c r="J75" s="1"/>
      <c r="Q75" s="1"/>
      <c r="X75" s="1" t="s">
        <v>6</v>
      </c>
      <c r="AA75">
        <v>1</v>
      </c>
      <c r="AE75" s="1" t="s">
        <v>6</v>
      </c>
    </row>
    <row r="76" spans="3:35" ht="16.2" customHeight="1" x14ac:dyDescent="0.3">
      <c r="F76" t="s">
        <v>99</v>
      </c>
      <c r="G76" t="s">
        <v>97</v>
      </c>
      <c r="H76" s="55" t="s">
        <v>98</v>
      </c>
      <c r="I76" t="s">
        <v>12</v>
      </c>
    </row>
    <row r="77" spans="3:35" x14ac:dyDescent="0.3">
      <c r="C77" s="1"/>
      <c r="E77" t="s">
        <v>2</v>
      </c>
      <c r="F77">
        <v>2.5</v>
      </c>
      <c r="G77">
        <v>750</v>
      </c>
      <c r="H77">
        <f>C5</f>
        <v>64</v>
      </c>
      <c r="I77">
        <f>F77*G77*H77</f>
        <v>120000</v>
      </c>
      <c r="J77" s="1"/>
      <c r="Q77" s="1"/>
      <c r="X77" s="1"/>
      <c r="AE77" s="1"/>
    </row>
    <row r="78" spans="3:35" x14ac:dyDescent="0.3">
      <c r="E78" t="s">
        <v>95</v>
      </c>
      <c r="F78">
        <v>4</v>
      </c>
      <c r="G78">
        <v>750</v>
      </c>
      <c r="H78">
        <f>C12</f>
        <v>126.9</v>
      </c>
      <c r="I78">
        <f>F78*G78*H78</f>
        <v>380700</v>
      </c>
    </row>
    <row r="79" spans="3:35" x14ac:dyDescent="0.3">
      <c r="E79" t="s">
        <v>95</v>
      </c>
      <c r="F79">
        <v>2</v>
      </c>
      <c r="G79">
        <v>750</v>
      </c>
      <c r="H79">
        <f>C19</f>
        <v>39.6</v>
      </c>
      <c r="I79">
        <f>F79*G79*H79</f>
        <v>59400</v>
      </c>
    </row>
    <row r="80" spans="3:35" x14ac:dyDescent="0.3">
      <c r="E80" t="s">
        <v>1</v>
      </c>
      <c r="F80">
        <v>1.5</v>
      </c>
      <c r="G80">
        <v>750</v>
      </c>
      <c r="H80">
        <f>C26+C27+C28+C29</f>
        <v>11</v>
      </c>
      <c r="I80">
        <f t="shared" ref="I80:I81" si="0">F80*G80*H80</f>
        <v>12375</v>
      </c>
    </row>
    <row r="81" spans="4:18" x14ac:dyDescent="0.3">
      <c r="E81" t="s">
        <v>96</v>
      </c>
      <c r="F81">
        <v>2</v>
      </c>
      <c r="G81">
        <v>750</v>
      </c>
      <c r="H81">
        <f>C32+C33</f>
        <v>3</v>
      </c>
      <c r="I81">
        <f t="shared" si="0"/>
        <v>4500</v>
      </c>
      <c r="R81" s="1"/>
    </row>
    <row r="83" spans="4:18" x14ac:dyDescent="0.3">
      <c r="H83">
        <f>F77*H77+F78*H78+F79*H79+F80*H80+F81*H81</f>
        <v>769.30000000000007</v>
      </c>
    </row>
    <row r="85" spans="4:18" x14ac:dyDescent="0.3">
      <c r="D85" s="1"/>
      <c r="E85" s="1"/>
      <c r="F85" s="1"/>
      <c r="G85" s="1"/>
      <c r="H85" s="1"/>
      <c r="J85" s="1"/>
      <c r="K85" s="1"/>
    </row>
    <row r="86" spans="4:18" x14ac:dyDescent="0.3">
      <c r="R86" s="1"/>
    </row>
    <row r="90" spans="4:18" x14ac:dyDescent="0.3">
      <c r="D90" s="1"/>
      <c r="E90" s="1"/>
      <c r="F90" s="1"/>
      <c r="G90" s="1"/>
      <c r="H90" s="1"/>
      <c r="J90" s="1"/>
      <c r="K90" s="1"/>
    </row>
    <row r="91" spans="4:18" x14ac:dyDescent="0.3">
      <c r="R91" s="1"/>
    </row>
    <row r="95" spans="4:18" x14ac:dyDescent="0.3">
      <c r="D95" s="1"/>
      <c r="E95" s="1"/>
      <c r="F95" s="1"/>
      <c r="G95" s="1"/>
      <c r="H95" s="1"/>
      <c r="J95" s="1"/>
      <c r="K95" s="1"/>
    </row>
    <row r="100" spans="1:11" x14ac:dyDescent="0.3">
      <c r="F100" t="s">
        <v>90</v>
      </c>
      <c r="G100">
        <f>_xlfn.XLOOKUP(C9,B102:D102,B103:D103)</f>
        <v>26.67</v>
      </c>
    </row>
    <row r="101" spans="1:11" x14ac:dyDescent="0.3">
      <c r="F101" t="s">
        <v>91</v>
      </c>
      <c r="G101">
        <f>_xlfn.XLOOKUP(C16,B102:D102,B103:D103)</f>
        <v>26.67</v>
      </c>
    </row>
    <row r="102" spans="1:11" x14ac:dyDescent="0.3">
      <c r="B102" s="3" t="s">
        <v>28</v>
      </c>
      <c r="C102" s="3" t="s">
        <v>23</v>
      </c>
      <c r="D102" s="3" t="s">
        <v>13</v>
      </c>
      <c r="F102" t="s">
        <v>92</v>
      </c>
      <c r="G102">
        <f>_xlfn.XLOOKUP(C23,B102:D102,B103:D103)</f>
        <v>0.99399999999999999</v>
      </c>
    </row>
    <row r="103" spans="1:11" x14ac:dyDescent="0.3">
      <c r="A103" t="s">
        <v>36</v>
      </c>
      <c r="B103">
        <v>0.99399999999999999</v>
      </c>
      <c r="C103">
        <v>6.931</v>
      </c>
      <c r="D103">
        <v>26.67</v>
      </c>
    </row>
    <row r="107" spans="1:11" x14ac:dyDescent="0.3">
      <c r="B107" s="5"/>
      <c r="C107" s="5"/>
      <c r="D107" s="5"/>
      <c r="E107" s="5"/>
      <c r="F107" s="5"/>
      <c r="G107" s="5"/>
      <c r="H107" s="5"/>
      <c r="I107" s="5"/>
      <c r="J107" s="5"/>
      <c r="K107" t="s">
        <v>61</v>
      </c>
    </row>
    <row r="108" spans="1:11" x14ac:dyDescent="0.3">
      <c r="B108" s="3" t="s">
        <v>2</v>
      </c>
      <c r="C108" s="3"/>
      <c r="D108" s="3"/>
      <c r="E108" s="3"/>
      <c r="F108" s="3"/>
      <c r="G108" s="3"/>
      <c r="H108" s="3"/>
      <c r="I108" s="3"/>
      <c r="J108" s="3"/>
      <c r="K108">
        <v>0.18</v>
      </c>
    </row>
    <row r="109" spans="1:11" x14ac:dyDescent="0.3">
      <c r="B109" s="3">
        <f>_xlfn.XLOOKUP(C7,D109:F109,D110:F110)</f>
        <v>1</v>
      </c>
      <c r="C109" s="3">
        <f>_xlfn.XLOOKUP(B3,H109:J109,H110:J110)</f>
        <v>450</v>
      </c>
      <c r="D109" s="3" t="s">
        <v>28</v>
      </c>
      <c r="E109" s="3" t="s">
        <v>23</v>
      </c>
      <c r="F109" s="3" t="s">
        <v>13</v>
      </c>
      <c r="G109" s="3" t="s">
        <v>36</v>
      </c>
      <c r="H109" s="2" t="s">
        <v>4</v>
      </c>
      <c r="I109" s="2" t="s">
        <v>5</v>
      </c>
      <c r="J109" s="2" t="s">
        <v>6</v>
      </c>
    </row>
    <row r="110" spans="1:11" x14ac:dyDescent="0.3">
      <c r="B110" s="3">
        <f>_xlfn.XLOOKUP(C9,D109:F109,D110:F110)</f>
        <v>0.2</v>
      </c>
      <c r="C110" s="3">
        <f>C109-C8</f>
        <v>350</v>
      </c>
      <c r="D110" s="3">
        <v>1</v>
      </c>
      <c r="E110" s="3">
        <v>0.5</v>
      </c>
      <c r="F110" s="3">
        <v>0.2</v>
      </c>
      <c r="G110" s="3">
        <f>_xlfn.XLOOKUP(C9,B102:D102,B103:D103)</f>
        <v>26.67</v>
      </c>
      <c r="H110" s="3">
        <v>450</v>
      </c>
      <c r="I110" s="3">
        <v>350</v>
      </c>
      <c r="J110" s="3">
        <v>200</v>
      </c>
    </row>
    <row r="111" spans="1:11" x14ac:dyDescent="0.3">
      <c r="B111" s="3">
        <f>_xlfn.XLOOKUP(C7,D109:F109,D111:F111)</f>
        <v>1</v>
      </c>
      <c r="C111" s="3">
        <f>C8*B111</f>
        <v>100</v>
      </c>
      <c r="D111" s="3">
        <v>1</v>
      </c>
      <c r="E111" s="3">
        <v>1.5</v>
      </c>
      <c r="F111" s="3">
        <v>1.84</v>
      </c>
      <c r="G111" s="3">
        <v>686</v>
      </c>
      <c r="H111" s="3"/>
      <c r="I111" s="3"/>
      <c r="J111" s="3"/>
    </row>
    <row r="112" spans="1:11" x14ac:dyDescent="0.3">
      <c r="B112" s="5"/>
      <c r="C112" s="5"/>
      <c r="D112" s="5"/>
      <c r="E112" s="5"/>
      <c r="F112" s="5"/>
      <c r="G112" s="5"/>
      <c r="H112" s="5"/>
      <c r="I112" s="5"/>
      <c r="J112" s="5"/>
    </row>
    <row r="113" spans="2:12" x14ac:dyDescent="0.3">
      <c r="B113" s="3" t="s">
        <v>32</v>
      </c>
      <c r="C113" s="3"/>
      <c r="D113" s="3"/>
      <c r="E113" s="3"/>
      <c r="F113" s="3"/>
      <c r="G113" s="3"/>
      <c r="H113" s="3"/>
      <c r="I113" s="3"/>
      <c r="J113" s="3"/>
      <c r="K113">
        <v>0.22</v>
      </c>
    </row>
    <row r="114" spans="2:12" x14ac:dyDescent="0.3">
      <c r="B114" s="3">
        <f>_xlfn.XLOOKUP(C14,D114:F114,D115:F115)</f>
        <v>1</v>
      </c>
      <c r="C114" s="3">
        <f>_xlfn.XLOOKUP(B3,H114:J114,H115:J115)</f>
        <v>350</v>
      </c>
      <c r="D114" s="3" t="s">
        <v>28</v>
      </c>
      <c r="E114" s="3" t="s">
        <v>23</v>
      </c>
      <c r="F114" s="3" t="s">
        <v>13</v>
      </c>
      <c r="G114" s="3" t="s">
        <v>36</v>
      </c>
      <c r="H114" s="2" t="s">
        <v>4</v>
      </c>
      <c r="I114" s="2" t="s">
        <v>5</v>
      </c>
      <c r="J114" s="2" t="s">
        <v>6</v>
      </c>
    </row>
    <row r="115" spans="2:12" x14ac:dyDescent="0.3">
      <c r="B115" s="3">
        <f>_xlfn.XLOOKUP(C16,D114:F114,D115:F115)</f>
        <v>0.35</v>
      </c>
      <c r="C115" s="3">
        <f>C114-C15</f>
        <v>150</v>
      </c>
      <c r="D115" s="3">
        <v>1</v>
      </c>
      <c r="E115" s="3">
        <v>0.5</v>
      </c>
      <c r="F115" s="3">
        <v>0.35</v>
      </c>
      <c r="G115" s="3">
        <f>_xlfn.XLOOKUP(C16,B102:D102,B103:D103)</f>
        <v>26.67</v>
      </c>
      <c r="H115" s="3">
        <v>350</v>
      </c>
      <c r="I115" s="3">
        <v>250</v>
      </c>
      <c r="J115" s="3">
        <v>200</v>
      </c>
    </row>
    <row r="116" spans="2:12" x14ac:dyDescent="0.3">
      <c r="B116" s="3">
        <f>_xlfn.XLOOKUP(C14,D114:F114,D116:F116)</f>
        <v>1</v>
      </c>
      <c r="C116" s="3">
        <f>C15*B116</f>
        <v>200</v>
      </c>
      <c r="D116" s="3">
        <v>1</v>
      </c>
      <c r="E116" s="3">
        <v>1.5</v>
      </c>
      <c r="F116" s="3">
        <v>1.65</v>
      </c>
      <c r="G116" s="3">
        <v>400</v>
      </c>
      <c r="H116" s="3"/>
      <c r="I116" s="3"/>
      <c r="J116" s="3"/>
    </row>
    <row r="117" spans="2:12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2" x14ac:dyDescent="0.3">
      <c r="B118" s="3" t="s">
        <v>33</v>
      </c>
      <c r="C118" s="3"/>
      <c r="D118" s="3"/>
      <c r="E118" s="3"/>
      <c r="F118" s="3"/>
      <c r="G118" s="3"/>
      <c r="H118" s="3"/>
      <c r="I118" s="3"/>
      <c r="J118" s="3"/>
      <c r="K118">
        <v>0.22</v>
      </c>
    </row>
    <row r="119" spans="2:12" x14ac:dyDescent="0.3">
      <c r="B119" s="3">
        <f>_xlfn.XLOOKUP(C21,D119:F119,D120:F120)</f>
        <v>1</v>
      </c>
      <c r="C119" s="3">
        <f>_xlfn.XLOOKUP(B3,H119:J119,H120:J120)</f>
        <v>350</v>
      </c>
      <c r="D119" s="3" t="s">
        <v>28</v>
      </c>
      <c r="E119" s="3" t="s">
        <v>23</v>
      </c>
      <c r="F119" s="3" t="s">
        <v>13</v>
      </c>
      <c r="G119" s="3" t="s">
        <v>36</v>
      </c>
      <c r="H119" s="2" t="s">
        <v>4</v>
      </c>
      <c r="I119" s="2" t="s">
        <v>5</v>
      </c>
      <c r="J119" s="2" t="s">
        <v>6</v>
      </c>
    </row>
    <row r="120" spans="2:12" x14ac:dyDescent="0.3">
      <c r="B120" s="3">
        <f>_xlfn.XLOOKUP(C23,D119:F119,D120:F120)</f>
        <v>1</v>
      </c>
      <c r="C120" s="3">
        <f>C119-C22</f>
        <v>250</v>
      </c>
      <c r="D120" s="3">
        <v>1</v>
      </c>
      <c r="E120" s="3">
        <v>0.5</v>
      </c>
      <c r="F120" s="3">
        <v>0.16</v>
      </c>
      <c r="G120" s="3">
        <f>_xlfn.XLOOKUP(C23,B102:D102,B103:D103)</f>
        <v>0.99399999999999999</v>
      </c>
      <c r="H120" s="3">
        <v>350</v>
      </c>
      <c r="I120" s="3">
        <v>250</v>
      </c>
      <c r="J120" s="3">
        <v>200</v>
      </c>
    </row>
    <row r="121" spans="2:12" x14ac:dyDescent="0.3">
      <c r="B121" s="3">
        <f>_xlfn.XLOOKUP(C21,D119:F119,D121:F121)</f>
        <v>1</v>
      </c>
      <c r="C121" s="3">
        <f>C22*B121</f>
        <v>100</v>
      </c>
      <c r="D121" s="3">
        <v>1</v>
      </c>
      <c r="E121" s="3">
        <v>1.5</v>
      </c>
      <c r="F121" s="3">
        <v>1.84</v>
      </c>
      <c r="G121" s="3">
        <v>400</v>
      </c>
      <c r="H121" s="3"/>
      <c r="I121" s="3"/>
      <c r="J121" s="3"/>
    </row>
    <row r="122" spans="2:12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5" spans="2:12" x14ac:dyDescent="0.3">
      <c r="L125" t="s">
        <v>62</v>
      </c>
    </row>
    <row r="131" spans="2:37" x14ac:dyDescent="0.3">
      <c r="B131" t="s">
        <v>63</v>
      </c>
      <c r="I131" t="s">
        <v>64</v>
      </c>
    </row>
    <row r="132" spans="2:37" x14ac:dyDescent="0.3">
      <c r="B132" s="130" t="s">
        <v>38</v>
      </c>
      <c r="C132" s="131"/>
      <c r="D132" s="132"/>
      <c r="E132" s="8">
        <v>0.91</v>
      </c>
      <c r="F132" s="9" t="s">
        <v>39</v>
      </c>
      <c r="G132" s="10">
        <v>0.09</v>
      </c>
      <c r="I132" s="130" t="s">
        <v>38</v>
      </c>
      <c r="J132" s="131"/>
      <c r="K132" s="132"/>
      <c r="L132" s="8">
        <v>0.91</v>
      </c>
      <c r="M132" s="9" t="s">
        <v>39</v>
      </c>
      <c r="N132" s="10">
        <v>0.09</v>
      </c>
      <c r="U132" t="s">
        <v>64</v>
      </c>
    </row>
    <row r="133" spans="2:37" x14ac:dyDescent="0.3">
      <c r="B133" s="4" t="s">
        <v>40</v>
      </c>
      <c r="C133" s="3" t="s">
        <v>41</v>
      </c>
      <c r="D133" s="7" t="s">
        <v>42</v>
      </c>
      <c r="E133" s="3" t="s">
        <v>43</v>
      </c>
      <c r="F133" s="3" t="s">
        <v>42</v>
      </c>
      <c r="G133" s="3" t="s">
        <v>43</v>
      </c>
      <c r="I133" s="4" t="s">
        <v>40</v>
      </c>
      <c r="J133" s="3" t="s">
        <v>41</v>
      </c>
      <c r="K133" s="7" t="s">
        <v>42</v>
      </c>
      <c r="L133" s="3" t="s">
        <v>43</v>
      </c>
      <c r="M133" s="3" t="s">
        <v>42</v>
      </c>
      <c r="N133" s="3" t="s">
        <v>43</v>
      </c>
      <c r="Q133" t="s">
        <v>28</v>
      </c>
      <c r="R133" t="s">
        <v>13</v>
      </c>
      <c r="S133" t="s">
        <v>23</v>
      </c>
      <c r="U133" s="130" t="s">
        <v>38</v>
      </c>
      <c r="V133" s="131"/>
      <c r="W133" s="132"/>
      <c r="X133" s="8">
        <v>0.91</v>
      </c>
      <c r="Y133" s="9" t="s">
        <v>39</v>
      </c>
      <c r="Z133" s="10">
        <v>0.09</v>
      </c>
      <c r="AC133" t="s">
        <v>101</v>
      </c>
    </row>
    <row r="134" spans="2:37" x14ac:dyDescent="0.3">
      <c r="B134" s="4" t="s">
        <v>44</v>
      </c>
      <c r="C134" s="3"/>
      <c r="D134" s="3"/>
      <c r="E134" s="13">
        <v>0.13</v>
      </c>
      <c r="F134" s="3"/>
      <c r="G134" s="13">
        <v>0.13</v>
      </c>
      <c r="I134" s="4" t="s">
        <v>44</v>
      </c>
      <c r="J134" s="3"/>
      <c r="K134" s="3"/>
      <c r="L134" s="13">
        <v>0.13</v>
      </c>
      <c r="M134" s="3"/>
      <c r="N134" s="13">
        <v>0.13</v>
      </c>
      <c r="Q134">
        <v>3.4000000000000002E-2</v>
      </c>
      <c r="R134">
        <v>7.0000000000000001E-3</v>
      </c>
      <c r="S134">
        <v>1.7000000000000001E-2</v>
      </c>
      <c r="U134" s="4" t="s">
        <v>40</v>
      </c>
      <c r="V134" s="3" t="s">
        <v>41</v>
      </c>
      <c r="W134" s="7" t="s">
        <v>42</v>
      </c>
      <c r="X134" s="3" t="s">
        <v>43</v>
      </c>
      <c r="Y134" s="3" t="s">
        <v>42</v>
      </c>
      <c r="Z134" s="3" t="s">
        <v>43</v>
      </c>
      <c r="AC134" t="s">
        <v>93</v>
      </c>
      <c r="AD134">
        <v>0.09</v>
      </c>
      <c r="AE134">
        <f>C12*AD134</f>
        <v>11.420999999999999</v>
      </c>
      <c r="AF134">
        <v>302</v>
      </c>
      <c r="AG134">
        <f>AE134*AF134</f>
        <v>3449.1419999999998</v>
      </c>
    </row>
    <row r="135" spans="2:37" x14ac:dyDescent="0.3">
      <c r="B135" s="4" t="s">
        <v>45</v>
      </c>
      <c r="C135" s="12">
        <v>1.2500000000000001E-2</v>
      </c>
      <c r="D135" s="13">
        <v>0.21</v>
      </c>
      <c r="E135" s="13">
        <f>C135/D135</f>
        <v>5.9523809523809527E-2</v>
      </c>
      <c r="F135" s="3"/>
      <c r="G135" s="13">
        <f>E135</f>
        <v>5.9523809523809527E-2</v>
      </c>
      <c r="I135" s="4" t="s">
        <v>45</v>
      </c>
      <c r="J135" s="12">
        <v>1.2500000000000001E-2</v>
      </c>
      <c r="K135" s="13">
        <v>0.21</v>
      </c>
      <c r="L135" s="13">
        <f>J135/K135</f>
        <v>5.9523809523809527E-2</v>
      </c>
      <c r="M135" s="3"/>
      <c r="N135" s="13">
        <f>L135</f>
        <v>5.9523809523809527E-2</v>
      </c>
      <c r="U135" s="4" t="s">
        <v>44</v>
      </c>
      <c r="V135" s="3"/>
      <c r="W135" s="3"/>
      <c r="X135" s="13">
        <v>0.13</v>
      </c>
      <c r="Y135" s="3"/>
      <c r="Z135" s="13">
        <v>0.13</v>
      </c>
      <c r="AC135" t="s">
        <v>94</v>
      </c>
      <c r="AD135">
        <v>91.56</v>
      </c>
      <c r="AG135">
        <f>C12*AD135</f>
        <v>11618.964</v>
      </c>
    </row>
    <row r="136" spans="2:37" x14ac:dyDescent="0.3">
      <c r="B136" s="4" t="s">
        <v>46</v>
      </c>
      <c r="C136" s="3"/>
      <c r="D136" s="3"/>
      <c r="E136" s="13">
        <v>0.03</v>
      </c>
      <c r="F136" s="3"/>
      <c r="G136" s="13">
        <v>0.03</v>
      </c>
      <c r="I136" s="4" t="s">
        <v>46</v>
      </c>
      <c r="J136" s="3"/>
      <c r="K136" s="3"/>
      <c r="L136" s="13">
        <v>0.03</v>
      </c>
      <c r="M136" s="3"/>
      <c r="N136" s="13">
        <v>0.03</v>
      </c>
      <c r="U136" s="4" t="s">
        <v>45</v>
      </c>
      <c r="V136" s="12">
        <v>1.2500000000000001E-2</v>
      </c>
      <c r="W136" s="13">
        <v>0.21</v>
      </c>
      <c r="X136" s="13">
        <f>V136/W136</f>
        <v>5.9523809523809527E-2</v>
      </c>
      <c r="Y136" s="3"/>
      <c r="Z136" s="13">
        <f>X136</f>
        <v>5.9523809523809527E-2</v>
      </c>
      <c r="AC136" t="s">
        <v>46</v>
      </c>
      <c r="AD136">
        <v>11</v>
      </c>
      <c r="AG136">
        <f>C12*AD136</f>
        <v>1395.9</v>
      </c>
    </row>
    <row r="137" spans="2:37" x14ac:dyDescent="0.3">
      <c r="B137" s="4" t="s">
        <v>47</v>
      </c>
      <c r="C137" s="13">
        <f>C15/1000</f>
        <v>0.2</v>
      </c>
      <c r="D137" s="13">
        <f>_xlfn.XLOOKUP(C14,Q133:S133,Q134:S134)</f>
        <v>3.4000000000000002E-2</v>
      </c>
      <c r="E137" s="13">
        <f>C137/D137</f>
        <v>5.8823529411764701</v>
      </c>
      <c r="F137" s="13">
        <v>0.13</v>
      </c>
      <c r="G137" s="13">
        <f>C137/F137</f>
        <v>1.5384615384615385</v>
      </c>
      <c r="I137" s="4" t="s">
        <v>66</v>
      </c>
      <c r="J137" s="3">
        <f>E14/1000</f>
        <v>5.2499999999999998E-2</v>
      </c>
      <c r="K137" s="13">
        <f>_xlfn.XLOOKUP(C16,Q133:S133,Q134:S134)</f>
        <v>7.0000000000000001E-3</v>
      </c>
      <c r="L137" s="13">
        <f>J137/K137</f>
        <v>7.5</v>
      </c>
      <c r="M137" s="13">
        <v>0.13</v>
      </c>
      <c r="N137" s="13">
        <f>J137/M137</f>
        <v>0.4038461538461538</v>
      </c>
      <c r="Q137" t="s">
        <v>4</v>
      </c>
      <c r="R137" t="s">
        <v>5</v>
      </c>
      <c r="S137" t="s">
        <v>6</v>
      </c>
      <c r="U137" s="4" t="s">
        <v>46</v>
      </c>
      <c r="V137" s="3"/>
      <c r="W137" s="3"/>
      <c r="X137" s="13">
        <v>0.03</v>
      </c>
      <c r="Y137" s="3"/>
      <c r="Z137" s="13">
        <v>0.03</v>
      </c>
      <c r="AC137" t="s">
        <v>93</v>
      </c>
      <c r="AD137">
        <v>0.09</v>
      </c>
      <c r="AE137">
        <f>AD137*C12</f>
        <v>11.420999999999999</v>
      </c>
      <c r="AF137">
        <f>8.6</f>
        <v>8.6</v>
      </c>
      <c r="AG137">
        <f>AE137*AF137*E14</f>
        <v>5156.5814999999993</v>
      </c>
      <c r="AI137">
        <f>AD137*C19</f>
        <v>3.5640000000000001</v>
      </c>
      <c r="AJ137">
        <f>AF137</f>
        <v>8.6</v>
      </c>
      <c r="AK137">
        <f>AI137*AJ137*E21</f>
        <v>7662.5999999999995</v>
      </c>
    </row>
    <row r="138" spans="2:37" x14ac:dyDescent="0.3">
      <c r="B138" s="4" t="s">
        <v>48</v>
      </c>
      <c r="C138" s="3">
        <v>1.2E-2</v>
      </c>
      <c r="D138" s="13">
        <v>4.9000000000000002E-2</v>
      </c>
      <c r="E138" s="13">
        <f>C138/D138</f>
        <v>0.24489795918367346</v>
      </c>
      <c r="F138" s="3"/>
      <c r="G138" s="13">
        <f>E138</f>
        <v>0.24489795918367346</v>
      </c>
      <c r="I138" s="4" t="s">
        <v>48</v>
      </c>
      <c r="J138" s="3">
        <v>1.2E-2</v>
      </c>
      <c r="K138" s="13">
        <v>4.9000000000000002E-2</v>
      </c>
      <c r="L138" s="13">
        <f>J138/K138</f>
        <v>0.24489795918367346</v>
      </c>
      <c r="M138" s="3"/>
      <c r="N138" s="13">
        <f>L138</f>
        <v>0.24489795918367346</v>
      </c>
      <c r="P138" t="s">
        <v>67</v>
      </c>
      <c r="Q138">
        <v>0.11</v>
      </c>
      <c r="R138">
        <v>0.16</v>
      </c>
      <c r="S138">
        <v>0.22</v>
      </c>
      <c r="U138" s="4" t="s">
        <v>66</v>
      </c>
      <c r="V138" s="3">
        <f>J137</f>
        <v>5.2499999999999998E-2</v>
      </c>
      <c r="W138" s="13">
        <f>K137</f>
        <v>7.0000000000000001E-3</v>
      </c>
      <c r="X138" s="13">
        <f>V138/W138</f>
        <v>7.5</v>
      </c>
      <c r="Y138" s="13">
        <v>0.13</v>
      </c>
      <c r="Z138" s="13">
        <f>V138/Y138</f>
        <v>0.4038461538461538</v>
      </c>
      <c r="AC138" t="s">
        <v>45</v>
      </c>
      <c r="AD138">
        <v>58.9</v>
      </c>
      <c r="AG138">
        <f>C12*AD138</f>
        <v>7474.41</v>
      </c>
      <c r="AK138">
        <f>AD138*C19</f>
        <v>2332.44</v>
      </c>
    </row>
    <row r="139" spans="2:37" x14ac:dyDescent="0.3">
      <c r="B139" s="4" t="s">
        <v>49</v>
      </c>
      <c r="C139" s="3">
        <v>1.9E-2</v>
      </c>
      <c r="D139" s="13">
        <v>0.14000000000000001</v>
      </c>
      <c r="E139" s="13">
        <f>C139/D139</f>
        <v>0.1357142857142857</v>
      </c>
      <c r="F139" s="3"/>
      <c r="G139" s="13">
        <f>E139</f>
        <v>0.1357142857142857</v>
      </c>
      <c r="I139" s="4" t="s">
        <v>49</v>
      </c>
      <c r="J139" s="3">
        <v>1.9E-2</v>
      </c>
      <c r="K139" s="13">
        <v>0.14000000000000001</v>
      </c>
      <c r="L139" s="13">
        <f>J139/K139</f>
        <v>0.1357142857142857</v>
      </c>
      <c r="M139" s="3"/>
      <c r="N139" s="13">
        <f>L139</f>
        <v>0.1357142857142857</v>
      </c>
      <c r="U139" s="4" t="s">
        <v>48</v>
      </c>
      <c r="V139" s="3">
        <v>1.2E-2</v>
      </c>
      <c r="W139" s="13">
        <v>4.9000000000000002E-2</v>
      </c>
      <c r="X139" s="13">
        <f>V139/W139</f>
        <v>0.24489795918367346</v>
      </c>
      <c r="Y139" s="3"/>
      <c r="Z139" s="13">
        <f>X139</f>
        <v>0.24489795918367346</v>
      </c>
      <c r="AG139">
        <f>SUM(AG134:AG138)</f>
        <v>29094.997500000001</v>
      </c>
      <c r="AK139">
        <f>AK137+AK138</f>
        <v>9995.0399999999991</v>
      </c>
    </row>
    <row r="140" spans="2:37" x14ac:dyDescent="0.3">
      <c r="B140" s="4" t="s">
        <v>102</v>
      </c>
      <c r="C140" s="3"/>
      <c r="D140" s="13"/>
      <c r="E140" s="13">
        <v>0.13</v>
      </c>
      <c r="F140" s="3"/>
      <c r="G140" s="13">
        <v>0.13</v>
      </c>
      <c r="I140" s="4" t="s">
        <v>102</v>
      </c>
      <c r="K140" s="11"/>
      <c r="L140" s="11">
        <v>0.13</v>
      </c>
      <c r="N140" s="11">
        <v>0.13</v>
      </c>
      <c r="U140" s="4" t="s">
        <v>102</v>
      </c>
      <c r="V140" s="3"/>
      <c r="W140" s="13"/>
      <c r="X140" s="13">
        <v>0.13</v>
      </c>
      <c r="Y140" s="3"/>
      <c r="Z140" s="13">
        <v>0.13</v>
      </c>
    </row>
    <row r="141" spans="2:37" x14ac:dyDescent="0.3">
      <c r="B141" s="4" t="s">
        <v>50</v>
      </c>
      <c r="C141" s="3"/>
      <c r="D141" s="3"/>
      <c r="E141" s="13">
        <f>SUM(E134:E140)</f>
        <v>6.6124889955982393</v>
      </c>
      <c r="F141" s="3"/>
      <c r="G141" s="13">
        <f>SUM(G134:G140)</f>
        <v>2.2685975928833071</v>
      </c>
      <c r="I141" s="14" t="s">
        <v>65</v>
      </c>
      <c r="J141" s="11">
        <f>C137</f>
        <v>0.2</v>
      </c>
      <c r="K141" s="11">
        <f>D137</f>
        <v>3.4000000000000002E-2</v>
      </c>
      <c r="L141" s="11">
        <f>E137</f>
        <v>5.8823529411764701</v>
      </c>
      <c r="M141" s="11">
        <f>F137</f>
        <v>0.13</v>
      </c>
      <c r="N141" s="11">
        <f>G137</f>
        <v>1.5384615384615385</v>
      </c>
      <c r="U141" s="4" t="s">
        <v>49</v>
      </c>
      <c r="V141" s="3">
        <v>1.9E-2</v>
      </c>
      <c r="W141" s="13">
        <v>0.14000000000000001</v>
      </c>
      <c r="X141" s="13">
        <f>V141/W141</f>
        <v>0.1357142857142857</v>
      </c>
      <c r="Y141" s="3"/>
      <c r="Z141" s="13">
        <f>X141</f>
        <v>0.1357142857142857</v>
      </c>
    </row>
    <row r="142" spans="2:37" x14ac:dyDescent="0.3">
      <c r="I142" s="4" t="s">
        <v>50</v>
      </c>
      <c r="J142" s="3"/>
      <c r="K142" s="3"/>
      <c r="L142" s="13">
        <f>L134+L135+L136+L138+L139+L141+L137+L140</f>
        <v>14.112488995598239</v>
      </c>
      <c r="M142" s="3"/>
      <c r="N142" s="13">
        <f>N134+N135+N136+N138+N139+N141+N137+N140</f>
        <v>2.6724437467294608</v>
      </c>
      <c r="U142" s="14" t="s">
        <v>65</v>
      </c>
      <c r="V142" s="11">
        <f>J141</f>
        <v>0.2</v>
      </c>
      <c r="W142" s="11">
        <f>K141</f>
        <v>3.4000000000000002E-2</v>
      </c>
      <c r="X142" s="11">
        <f>V142/W142</f>
        <v>5.8823529411764701</v>
      </c>
      <c r="Y142" s="11">
        <f>M141</f>
        <v>0.13</v>
      </c>
      <c r="Z142" s="11">
        <f>V142/Y142</f>
        <v>1.5384615384615385</v>
      </c>
    </row>
    <row r="143" spans="2:37" x14ac:dyDescent="0.3">
      <c r="U143" s="4" t="s">
        <v>50</v>
      </c>
      <c r="V143" s="3"/>
      <c r="W143" s="3"/>
      <c r="X143" s="13">
        <f>X135+X136+X137+X139+X141+X142+X138+X140</f>
        <v>14.112488995598239</v>
      </c>
      <c r="Y143" s="3"/>
      <c r="Z143" s="13">
        <f>Z135+Z136+Z137+Z139+Z141+Z142+Z138+Z140</f>
        <v>2.6724437467294608</v>
      </c>
    </row>
    <row r="144" spans="2:37" x14ac:dyDescent="0.3">
      <c r="B144" s="6" t="s">
        <v>51</v>
      </c>
      <c r="C144" s="11">
        <f>1/(E132/E141 + G132/G141)</f>
        <v>5.6404613259790803</v>
      </c>
      <c r="I144" s="6" t="s">
        <v>51</v>
      </c>
      <c r="J144" s="11">
        <f>1/(L132/L142+N132/N142)</f>
        <v>10.187559645288957</v>
      </c>
      <c r="L144" t="s">
        <v>60</v>
      </c>
      <c r="P144" t="s">
        <v>28</v>
      </c>
      <c r="Q144" t="s">
        <v>13</v>
      </c>
      <c r="R144" t="s">
        <v>23</v>
      </c>
    </row>
    <row r="145" spans="2:26" x14ac:dyDescent="0.3">
      <c r="L145">
        <f>_xlfn.XLOOKUP(B3,Q137:S137,Q138:S138)</f>
        <v>0.11</v>
      </c>
      <c r="P145" s="11">
        <f>J152</f>
        <v>0.1080293037517995</v>
      </c>
      <c r="Q145" s="11">
        <f>V153</f>
        <v>0.10802930375179952</v>
      </c>
      <c r="R145" s="11">
        <f>V153</f>
        <v>0.10802930375179952</v>
      </c>
      <c r="U145" s="6" t="s">
        <v>51</v>
      </c>
      <c r="V145" s="11">
        <f>1/(X133/X143+Z133/Z143)</f>
        <v>10.187559645288957</v>
      </c>
      <c r="X145" t="s">
        <v>60</v>
      </c>
    </row>
    <row r="146" spans="2:26" x14ac:dyDescent="0.3">
      <c r="B146" t="s">
        <v>52</v>
      </c>
      <c r="C146" s="11">
        <f>E132*D137 + G132*F137</f>
        <v>4.2640000000000004E-2</v>
      </c>
      <c r="I146" t="s">
        <v>68</v>
      </c>
      <c r="J146" s="11">
        <f>L132*K137 + N132*M137</f>
        <v>1.8070000000000003E-2</v>
      </c>
      <c r="N146" s="11"/>
      <c r="X146">
        <f>_xlfn.XLOOKUP(N4,AC138:AE138,AC139:AE139)</f>
        <v>0</v>
      </c>
    </row>
    <row r="147" spans="2:26" x14ac:dyDescent="0.3">
      <c r="I147" t="s">
        <v>69</v>
      </c>
      <c r="J147">
        <f>L132*K141+N132*M141</f>
        <v>4.2640000000000004E-2</v>
      </c>
      <c r="U147" t="s">
        <v>68</v>
      </c>
      <c r="V147" s="11">
        <f>X133*W138 + Z133*Y138</f>
        <v>1.8070000000000003E-2</v>
      </c>
      <c r="Z147" s="11"/>
    </row>
    <row r="148" spans="2:26" x14ac:dyDescent="0.3">
      <c r="B148" t="s">
        <v>53</v>
      </c>
      <c r="C148" s="11">
        <f>C137/C146</f>
        <v>4.6904315196998123</v>
      </c>
      <c r="I148" t="s">
        <v>70</v>
      </c>
      <c r="J148" s="11">
        <f>J137/J146</f>
        <v>2.9053680132816817</v>
      </c>
      <c r="U148" t="s">
        <v>69</v>
      </c>
      <c r="V148">
        <f>X133*W142+Z133*Y142</f>
        <v>4.2640000000000004E-2</v>
      </c>
    </row>
    <row r="149" spans="2:26" x14ac:dyDescent="0.3">
      <c r="I149" t="s">
        <v>71</v>
      </c>
      <c r="J149">
        <f>J141/J147</f>
        <v>4.6904315196998123</v>
      </c>
      <c r="U149" t="s">
        <v>70</v>
      </c>
      <c r="V149" s="11">
        <f>V138/V147</f>
        <v>2.9053680132816817</v>
      </c>
    </row>
    <row r="150" spans="2:26" x14ac:dyDescent="0.3">
      <c r="B150" t="s">
        <v>54</v>
      </c>
      <c r="C150" s="11">
        <f>E134+E135+E136+C148+E138+E139+E140</f>
        <v>5.4205675741215815</v>
      </c>
      <c r="I150" t="s">
        <v>54</v>
      </c>
      <c r="J150" s="11">
        <f>L134+L135+L136+J148+L138+L139+J149+L140</f>
        <v>8.3259355874032632</v>
      </c>
      <c r="U150" t="s">
        <v>71</v>
      </c>
      <c r="V150">
        <f>V142/V148</f>
        <v>4.6904315196998123</v>
      </c>
    </row>
    <row r="151" spans="2:26" x14ac:dyDescent="0.3">
      <c r="U151" t="s">
        <v>54</v>
      </c>
      <c r="V151" s="11">
        <f>X135+X136+X137+V149+X139+X141+X140+V150</f>
        <v>8.3259355874032615</v>
      </c>
    </row>
    <row r="152" spans="2:26" x14ac:dyDescent="0.3">
      <c r="B152" t="s">
        <v>55</v>
      </c>
      <c r="C152" s="11">
        <f>1/((C144+C150)/2)</f>
        <v>0.18081500537276407</v>
      </c>
      <c r="I152" t="s">
        <v>55</v>
      </c>
      <c r="J152" s="11">
        <f>1/((J144+J150)/2)</f>
        <v>0.1080293037517995</v>
      </c>
    </row>
    <row r="153" spans="2:26" x14ac:dyDescent="0.3">
      <c r="C153" s="11"/>
      <c r="U153" t="s">
        <v>55</v>
      </c>
      <c r="V153" s="11">
        <f>1/((V145+V151)/2)</f>
        <v>0.10802930375179952</v>
      </c>
    </row>
    <row r="154" spans="2:26" x14ac:dyDescent="0.3">
      <c r="C154" s="11"/>
    </row>
    <row r="156" spans="2:26" x14ac:dyDescent="0.3">
      <c r="B156" t="s">
        <v>2</v>
      </c>
      <c r="I156" t="s">
        <v>2</v>
      </c>
    </row>
    <row r="157" spans="2:26" x14ac:dyDescent="0.3">
      <c r="B157" s="130" t="s">
        <v>38</v>
      </c>
      <c r="C157" s="131"/>
      <c r="D157" s="132"/>
      <c r="E157" s="8">
        <v>0.91</v>
      </c>
      <c r="F157" s="9" t="s">
        <v>39</v>
      </c>
      <c r="G157" s="10">
        <v>0.09</v>
      </c>
      <c r="I157" s="130" t="s">
        <v>38</v>
      </c>
      <c r="J157" s="131"/>
      <c r="K157" s="132"/>
      <c r="L157" s="8">
        <v>0.91</v>
      </c>
      <c r="M157" s="9" t="s">
        <v>39</v>
      </c>
      <c r="N157" s="10">
        <v>0.09</v>
      </c>
      <c r="U157" s="130" t="s">
        <v>38</v>
      </c>
      <c r="V157" s="131"/>
      <c r="W157" s="132"/>
      <c r="X157" s="8">
        <v>0.91</v>
      </c>
      <c r="Y157" s="9" t="s">
        <v>39</v>
      </c>
      <c r="Z157" s="10">
        <v>0.09</v>
      </c>
    </row>
    <row r="158" spans="2:26" x14ac:dyDescent="0.3">
      <c r="B158" s="4" t="s">
        <v>40</v>
      </c>
      <c r="C158" s="3" t="s">
        <v>41</v>
      </c>
      <c r="D158" s="7" t="s">
        <v>42</v>
      </c>
      <c r="E158" s="3" t="s">
        <v>43</v>
      </c>
      <c r="F158" s="3" t="s">
        <v>42</v>
      </c>
      <c r="G158" s="3" t="s">
        <v>43</v>
      </c>
      <c r="I158" s="4" t="s">
        <v>40</v>
      </c>
      <c r="J158" s="3" t="s">
        <v>41</v>
      </c>
      <c r="K158" s="7" t="s">
        <v>42</v>
      </c>
      <c r="L158" s="3" t="s">
        <v>43</v>
      </c>
      <c r="M158" s="3" t="s">
        <v>42</v>
      </c>
      <c r="N158" s="3" t="s">
        <v>43</v>
      </c>
      <c r="U158" s="4" t="s">
        <v>40</v>
      </c>
      <c r="V158" s="3" t="s">
        <v>41</v>
      </c>
      <c r="W158" s="7" t="s">
        <v>42</v>
      </c>
      <c r="X158" s="3" t="s">
        <v>43</v>
      </c>
      <c r="Y158" s="3" t="s">
        <v>42</v>
      </c>
      <c r="Z158" s="3" t="s">
        <v>43</v>
      </c>
    </row>
    <row r="159" spans="2:26" x14ac:dyDescent="0.3">
      <c r="B159" s="4" t="s">
        <v>44</v>
      </c>
      <c r="C159" s="3"/>
      <c r="D159" s="3"/>
      <c r="E159" s="13">
        <v>0.13</v>
      </c>
      <c r="F159" s="3"/>
      <c r="G159" s="13">
        <v>0.13</v>
      </c>
      <c r="I159" s="4" t="s">
        <v>44</v>
      </c>
      <c r="J159" s="3"/>
      <c r="K159" s="3"/>
      <c r="L159" s="13">
        <v>0.13</v>
      </c>
      <c r="M159" s="3"/>
      <c r="N159" s="13">
        <v>0.13</v>
      </c>
      <c r="U159" s="4" t="s">
        <v>44</v>
      </c>
      <c r="V159" s="3"/>
      <c r="W159" s="3"/>
      <c r="X159" s="13">
        <v>0.13</v>
      </c>
      <c r="Y159" s="3"/>
      <c r="Z159" s="13">
        <v>0.13</v>
      </c>
    </row>
    <row r="160" spans="2:26" x14ac:dyDescent="0.3">
      <c r="B160" s="4" t="s">
        <v>57</v>
      </c>
      <c r="C160" s="12">
        <v>1.2999999999999999E-2</v>
      </c>
      <c r="D160" s="13">
        <v>0.1</v>
      </c>
      <c r="E160" s="13">
        <f>C160/D160</f>
        <v>0.12999999999999998</v>
      </c>
      <c r="F160" s="3"/>
      <c r="G160" s="13">
        <f>E160</f>
        <v>0.12999999999999998</v>
      </c>
      <c r="I160" s="4" t="s">
        <v>57</v>
      </c>
      <c r="J160" s="12">
        <v>1.2999999999999999E-2</v>
      </c>
      <c r="K160" s="13">
        <v>0.1</v>
      </c>
      <c r="L160" s="13">
        <f>J160/K160</f>
        <v>0.12999999999999998</v>
      </c>
      <c r="M160" s="3"/>
      <c r="N160" s="13">
        <f>L160</f>
        <v>0.12999999999999998</v>
      </c>
      <c r="U160" s="4" t="s">
        <v>57</v>
      </c>
      <c r="V160" s="12">
        <v>1.2999999999999999E-2</v>
      </c>
      <c r="W160" s="13">
        <v>0.1</v>
      </c>
      <c r="X160" s="13">
        <f>V160/W160</f>
        <v>0.12999999999999998</v>
      </c>
      <c r="Y160" s="3"/>
      <c r="Z160" s="13">
        <f>X160</f>
        <v>0.12999999999999998</v>
      </c>
    </row>
    <row r="161" spans="2:26" x14ac:dyDescent="0.3">
      <c r="B161" s="4" t="s">
        <v>46</v>
      </c>
      <c r="C161" s="3"/>
      <c r="D161" s="3"/>
      <c r="E161" s="13">
        <v>0.03</v>
      </c>
      <c r="F161" s="3"/>
      <c r="G161" s="13">
        <v>0.03</v>
      </c>
      <c r="I161" s="4" t="s">
        <v>46</v>
      </c>
      <c r="J161" s="3"/>
      <c r="K161" s="3"/>
      <c r="L161" s="13">
        <v>0.03</v>
      </c>
      <c r="M161" s="3"/>
      <c r="N161" s="13">
        <v>0.03</v>
      </c>
      <c r="Q161" t="s">
        <v>4</v>
      </c>
      <c r="R161" t="s">
        <v>5</v>
      </c>
      <c r="S161" t="s">
        <v>6</v>
      </c>
      <c r="U161" s="4" t="s">
        <v>46</v>
      </c>
      <c r="V161" s="3"/>
      <c r="W161" s="3"/>
      <c r="X161" s="13">
        <v>0.03</v>
      </c>
      <c r="Y161" s="3"/>
      <c r="Z161" s="13">
        <v>0.03</v>
      </c>
    </row>
    <row r="162" spans="2:26" x14ac:dyDescent="0.3">
      <c r="B162" s="4" t="s">
        <v>47</v>
      </c>
      <c r="C162" s="13">
        <f>C8/1000</f>
        <v>0.1</v>
      </c>
      <c r="D162" s="13">
        <f>_xlfn.XLOOKUP(C7,Q133:S133,Q134:S134)</f>
        <v>3.4000000000000002E-2</v>
      </c>
      <c r="E162" s="13">
        <f>C162/D162</f>
        <v>2.9411764705882351</v>
      </c>
      <c r="F162" s="13">
        <v>0.13</v>
      </c>
      <c r="G162" s="13">
        <f>C162/F162</f>
        <v>0.76923076923076927</v>
      </c>
      <c r="I162" s="4" t="s">
        <v>65</v>
      </c>
      <c r="J162" s="13">
        <f>C162</f>
        <v>0.1</v>
      </c>
      <c r="K162" s="13">
        <f>D162</f>
        <v>3.4000000000000002E-2</v>
      </c>
      <c r="L162" s="13">
        <f>J162/K162</f>
        <v>2.9411764705882351</v>
      </c>
      <c r="M162" s="13">
        <v>0.13</v>
      </c>
      <c r="N162" s="13">
        <f>J162/M162</f>
        <v>0.76923076923076927</v>
      </c>
      <c r="Q162">
        <v>0.09</v>
      </c>
      <c r="R162">
        <v>0.12</v>
      </c>
      <c r="S162">
        <v>0.18</v>
      </c>
      <c r="U162" s="4" t="s">
        <v>65</v>
      </c>
      <c r="V162" s="13">
        <f>J162</f>
        <v>0.1</v>
      </c>
      <c r="W162" s="13">
        <f>K162</f>
        <v>3.4000000000000002E-2</v>
      </c>
      <c r="X162" s="13">
        <f>V162/W162</f>
        <v>2.9411764705882351</v>
      </c>
      <c r="Y162" s="13">
        <v>0.13</v>
      </c>
      <c r="Z162" s="13">
        <f>V162/Y162</f>
        <v>0.76923076923076927</v>
      </c>
    </row>
    <row r="163" spans="2:26" x14ac:dyDescent="0.3">
      <c r="B163" s="4" t="s">
        <v>59</v>
      </c>
      <c r="C163" s="13">
        <v>1.4999999999999999E-2</v>
      </c>
      <c r="D163" s="13">
        <v>0.1</v>
      </c>
      <c r="E163" s="13">
        <f>C163/D163</f>
        <v>0.15</v>
      </c>
      <c r="F163" s="13"/>
      <c r="G163" s="13">
        <f>E163</f>
        <v>0.15</v>
      </c>
      <c r="I163" s="4" t="s">
        <v>59</v>
      </c>
      <c r="J163" s="13">
        <v>1.4999999999999999E-2</v>
      </c>
      <c r="K163" s="13">
        <v>0.1</v>
      </c>
      <c r="L163" s="13">
        <f>J163/K163</f>
        <v>0.15</v>
      </c>
      <c r="M163" s="13"/>
      <c r="N163" s="13">
        <f>L163</f>
        <v>0.15</v>
      </c>
      <c r="U163" s="4" t="s">
        <v>59</v>
      </c>
      <c r="V163" s="13">
        <v>1.4999999999999999E-2</v>
      </c>
      <c r="W163" s="13">
        <v>0.1</v>
      </c>
      <c r="X163" s="13">
        <f>V163/W163</f>
        <v>0.15</v>
      </c>
      <c r="Y163" s="13"/>
      <c r="Z163" s="13">
        <f>X163</f>
        <v>0.15</v>
      </c>
    </row>
    <row r="164" spans="2:26" x14ac:dyDescent="0.3">
      <c r="B164" s="4" t="s">
        <v>48</v>
      </c>
      <c r="C164" s="3">
        <v>1.2E-2</v>
      </c>
      <c r="D164" s="13">
        <v>4.9000000000000002E-2</v>
      </c>
      <c r="E164" s="13">
        <f>C164/D164</f>
        <v>0.24489795918367346</v>
      </c>
      <c r="F164" s="3"/>
      <c r="G164" s="13">
        <f>E164</f>
        <v>0.24489795918367346</v>
      </c>
      <c r="I164" s="4" t="s">
        <v>48</v>
      </c>
      <c r="J164" s="3">
        <v>1.2E-2</v>
      </c>
      <c r="K164" s="13">
        <v>4.9000000000000002E-2</v>
      </c>
      <c r="L164" s="13">
        <f>J164/K164</f>
        <v>0.24489795918367346</v>
      </c>
      <c r="M164" s="3"/>
      <c r="N164" s="13">
        <v>0.17</v>
      </c>
      <c r="U164" s="4" t="s">
        <v>48</v>
      </c>
      <c r="V164" s="3">
        <v>1.2E-2</v>
      </c>
      <c r="W164" s="13">
        <v>4.9000000000000002E-2</v>
      </c>
      <c r="X164" s="13">
        <f>V164/W164</f>
        <v>0.24489795918367346</v>
      </c>
      <c r="Y164" s="3"/>
      <c r="Z164" s="13">
        <f>X164</f>
        <v>0.24489795918367346</v>
      </c>
    </row>
    <row r="165" spans="2:26" x14ac:dyDescent="0.3">
      <c r="B165" s="4" t="s">
        <v>58</v>
      </c>
      <c r="C165" s="3">
        <v>1.9E-2</v>
      </c>
      <c r="D165" s="13">
        <v>0.14000000000000001</v>
      </c>
      <c r="E165" s="13">
        <f>C165/D165</f>
        <v>0.1357142857142857</v>
      </c>
      <c r="F165" s="3"/>
      <c r="G165" s="13">
        <f>E165</f>
        <v>0.1357142857142857</v>
      </c>
      <c r="I165" s="4" t="s">
        <v>66</v>
      </c>
      <c r="J165" s="3">
        <f>E7/1000</f>
        <v>7.0000000000000007E-2</v>
      </c>
      <c r="K165" s="3">
        <f>_xlfn.XLOOKUP(C9,Q133:S133,Q134:S134)</f>
        <v>7.0000000000000001E-3</v>
      </c>
      <c r="L165" s="13">
        <f>J165/K165</f>
        <v>10</v>
      </c>
      <c r="M165" s="13">
        <f>M162</f>
        <v>0.13</v>
      </c>
      <c r="N165" s="13">
        <f>J165/M165</f>
        <v>0.53846153846153855</v>
      </c>
      <c r="U165" s="4" t="s">
        <v>66</v>
      </c>
      <c r="V165" s="3">
        <f>J165</f>
        <v>7.0000000000000007E-2</v>
      </c>
      <c r="W165" s="3">
        <f>K165</f>
        <v>7.0000000000000001E-3</v>
      </c>
      <c r="X165" s="13">
        <f>V165/W165</f>
        <v>10</v>
      </c>
      <c r="Y165" s="13">
        <f>Y162</f>
        <v>0.13</v>
      </c>
      <c r="Z165" s="13">
        <f>V165/Y165</f>
        <v>0.53846153846153855</v>
      </c>
    </row>
    <row r="166" spans="2:26" x14ac:dyDescent="0.3">
      <c r="B166" s="4" t="s">
        <v>102</v>
      </c>
      <c r="C166" s="3"/>
      <c r="D166" s="13"/>
      <c r="E166" s="13">
        <v>0.13</v>
      </c>
      <c r="F166" s="3"/>
      <c r="G166" s="13">
        <v>0.13</v>
      </c>
      <c r="I166" s="4" t="s">
        <v>102</v>
      </c>
      <c r="J166" s="3"/>
      <c r="K166" s="3"/>
      <c r="L166" s="13">
        <v>0.13</v>
      </c>
      <c r="M166" s="13"/>
      <c r="N166" s="13">
        <v>0.13</v>
      </c>
      <c r="U166" s="4" t="s">
        <v>102</v>
      </c>
      <c r="V166" s="3"/>
      <c r="W166" s="3"/>
      <c r="X166" s="13">
        <v>0.13</v>
      </c>
      <c r="Y166" s="13"/>
      <c r="Z166" s="13">
        <v>0.13</v>
      </c>
    </row>
    <row r="167" spans="2:26" x14ac:dyDescent="0.3">
      <c r="B167" s="4" t="s">
        <v>50</v>
      </c>
      <c r="C167" s="3"/>
      <c r="D167" s="3"/>
      <c r="E167" s="13">
        <f>SUM(E159:E166)</f>
        <v>3.8917887154861939</v>
      </c>
      <c r="F167" s="3"/>
      <c r="G167" s="13">
        <f>SUM(G159:G166)</f>
        <v>1.7198430141287284</v>
      </c>
      <c r="I167" s="4" t="s">
        <v>58</v>
      </c>
      <c r="J167" s="3">
        <v>1.9E-2</v>
      </c>
      <c r="K167" s="13">
        <v>0.14000000000000001</v>
      </c>
      <c r="L167" s="13">
        <f>J167/K167</f>
        <v>0.1357142857142857</v>
      </c>
      <c r="M167" s="3"/>
      <c r="N167" s="13">
        <f>L167</f>
        <v>0.1357142857142857</v>
      </c>
      <c r="U167" s="4" t="s">
        <v>58</v>
      </c>
      <c r="V167" s="3">
        <v>1.9E-2</v>
      </c>
      <c r="W167" s="13">
        <v>0.14000000000000001</v>
      </c>
      <c r="X167" s="13">
        <f>V167/W167</f>
        <v>0.1357142857142857</v>
      </c>
      <c r="Y167" s="3"/>
      <c r="Z167" s="13">
        <f>X167</f>
        <v>0.1357142857142857</v>
      </c>
    </row>
    <row r="168" spans="2:26" x14ac:dyDescent="0.3">
      <c r="I168" s="4" t="s">
        <v>50</v>
      </c>
      <c r="J168" s="3"/>
      <c r="K168" s="3"/>
      <c r="L168" s="13">
        <f>SUM(L159:L167)</f>
        <v>13.891788715486195</v>
      </c>
      <c r="M168" s="3"/>
      <c r="N168" s="13">
        <f>SUM(N159:N167)</f>
        <v>2.1834065934065934</v>
      </c>
      <c r="U168" s="4" t="s">
        <v>50</v>
      </c>
      <c r="V168" s="3"/>
      <c r="W168" s="3"/>
      <c r="X168" s="13">
        <f>SUM(X159:X167)</f>
        <v>13.891788715486195</v>
      </c>
      <c r="Y168" s="3"/>
      <c r="Z168" s="13">
        <f>SUM(Z159:Z167)</f>
        <v>2.2583045525902667</v>
      </c>
    </row>
    <row r="170" spans="2:26" x14ac:dyDescent="0.3">
      <c r="B170" s="6" t="s">
        <v>51</v>
      </c>
      <c r="C170" s="11">
        <f>1/(E157/E167 + G157/G167)</f>
        <v>3.494597341069885</v>
      </c>
    </row>
    <row r="171" spans="2:26" x14ac:dyDescent="0.3">
      <c r="I171" s="6" t="s">
        <v>51</v>
      </c>
      <c r="J171" s="11">
        <f>1/(L157/L168 + N157/N168)</f>
        <v>9.369760485138249</v>
      </c>
      <c r="Q171" t="s">
        <v>28</v>
      </c>
      <c r="R171" t="s">
        <v>13</v>
      </c>
      <c r="S171" t="s">
        <v>23</v>
      </c>
      <c r="U171" s="6" t="s">
        <v>51</v>
      </c>
      <c r="V171" s="11">
        <f>1/(X157/X168 + Z157/Z168)</f>
        <v>9.4913374422743395</v>
      </c>
    </row>
    <row r="172" spans="2:26" x14ac:dyDescent="0.3">
      <c r="B172" t="s">
        <v>52</v>
      </c>
      <c r="C172" s="11">
        <f>E157*D162 + G157*F162</f>
        <v>4.2640000000000004E-2</v>
      </c>
      <c r="M172" t="s">
        <v>60</v>
      </c>
      <c r="Q172" s="11">
        <f>J179</f>
        <v>0.12092327941404114</v>
      </c>
      <c r="R172" s="11">
        <f>V179</f>
        <v>0.12004088978230906</v>
      </c>
      <c r="S172" s="11">
        <f>V179</f>
        <v>0.12004088978230906</v>
      </c>
      <c r="Y172" t="s">
        <v>60</v>
      </c>
    </row>
    <row r="173" spans="2:26" x14ac:dyDescent="0.3">
      <c r="I173" t="s">
        <v>68</v>
      </c>
      <c r="J173" s="11">
        <f>L157*K162 + N157*M162</f>
        <v>4.2640000000000004E-2</v>
      </c>
      <c r="M173">
        <f>_xlfn.XLOOKUP(B3,Q161:S161,Q162:S162)</f>
        <v>0.09</v>
      </c>
      <c r="U173" t="s">
        <v>68</v>
      </c>
      <c r="V173" s="11">
        <f>X157*W162 + Z157*Y162</f>
        <v>4.2640000000000004E-2</v>
      </c>
      <c r="Y173">
        <f>_xlfn.XLOOKUP(N3,AC161:AE161,AC162:AE162)</f>
        <v>0</v>
      </c>
    </row>
    <row r="174" spans="2:26" x14ac:dyDescent="0.3">
      <c r="B174" t="s">
        <v>53</v>
      </c>
      <c r="C174" s="11">
        <f>C162/C172</f>
        <v>2.3452157598499062</v>
      </c>
      <c r="I174" t="s">
        <v>69</v>
      </c>
      <c r="J174">
        <f>L157*K165+N157*M165</f>
        <v>1.8070000000000003E-2</v>
      </c>
      <c r="U174" t="s">
        <v>69</v>
      </c>
      <c r="V174">
        <f>X157*W165+Z157*Y165</f>
        <v>1.8070000000000003E-2</v>
      </c>
    </row>
    <row r="175" spans="2:26" x14ac:dyDescent="0.3">
      <c r="I175" t="s">
        <v>70</v>
      </c>
      <c r="J175" s="11">
        <f>J162/J173</f>
        <v>2.3452157598499062</v>
      </c>
      <c r="U175" t="s">
        <v>70</v>
      </c>
      <c r="V175" s="11">
        <f>V162/V173</f>
        <v>2.3452157598499062</v>
      </c>
    </row>
    <row r="176" spans="2:26" x14ac:dyDescent="0.3">
      <c r="B176" t="s">
        <v>54</v>
      </c>
      <c r="C176" s="11">
        <f>E159+E160+E161+C174+E164+E165+E163+E166</f>
        <v>3.295828004747865</v>
      </c>
      <c r="I176" t="s">
        <v>71</v>
      </c>
      <c r="J176" s="11">
        <f>J165/J174</f>
        <v>3.8738240177089094</v>
      </c>
      <c r="U176" t="s">
        <v>71</v>
      </c>
      <c r="V176" s="11">
        <f>V165/V174</f>
        <v>3.8738240177089094</v>
      </c>
    </row>
    <row r="177" spans="2:24" x14ac:dyDescent="0.3">
      <c r="I177" t="s">
        <v>54</v>
      </c>
      <c r="J177" s="11">
        <f>L159+L160+L161+J175+L164+L167+L163+J176+L166</f>
        <v>7.1696520224567744</v>
      </c>
      <c r="U177" t="s">
        <v>54</v>
      </c>
      <c r="V177" s="11">
        <f>X159+X160+X161+V175+X164+X167+X163+X166+V176</f>
        <v>7.1696520224567744</v>
      </c>
    </row>
    <row r="178" spans="2:24" x14ac:dyDescent="0.3">
      <c r="B178" t="s">
        <v>55</v>
      </c>
      <c r="C178" s="11">
        <f>1/((C170+C176)/2)</f>
        <v>0.29453235963072738</v>
      </c>
    </row>
    <row r="179" spans="2:24" x14ac:dyDescent="0.3">
      <c r="I179" t="s">
        <v>55</v>
      </c>
      <c r="J179" s="11">
        <f>1/((J171+J177)/2)</f>
        <v>0.12092327941404114</v>
      </c>
      <c r="U179" t="s">
        <v>55</v>
      </c>
      <c r="V179" s="11">
        <f>1/((V171+V177)/2)</f>
        <v>0.12004088978230906</v>
      </c>
    </row>
    <row r="181" spans="2:24" x14ac:dyDescent="0.3">
      <c r="B181" t="s">
        <v>56</v>
      </c>
      <c r="I181" t="s">
        <v>56</v>
      </c>
      <c r="S181" t="s">
        <v>56</v>
      </c>
    </row>
    <row r="182" spans="2:24" x14ac:dyDescent="0.3">
      <c r="B182" s="130" t="s">
        <v>38</v>
      </c>
      <c r="C182" s="131"/>
      <c r="D182" s="132"/>
      <c r="E182" s="8">
        <v>0.91</v>
      </c>
      <c r="F182" s="9" t="s">
        <v>39</v>
      </c>
      <c r="G182" s="10">
        <v>0.09</v>
      </c>
      <c r="I182" s="130" t="s">
        <v>38</v>
      </c>
      <c r="J182" s="131"/>
      <c r="K182" s="132"/>
      <c r="L182" s="8">
        <v>0.91</v>
      </c>
      <c r="M182" s="9" t="s">
        <v>39</v>
      </c>
      <c r="N182" s="10">
        <v>0.09</v>
      </c>
      <c r="S182" s="130" t="s">
        <v>38</v>
      </c>
      <c r="T182" s="131"/>
      <c r="U182" s="132"/>
      <c r="V182" s="8">
        <v>0.91</v>
      </c>
      <c r="W182" s="9" t="s">
        <v>39</v>
      </c>
      <c r="X182" s="10">
        <v>0.09</v>
      </c>
    </row>
    <row r="183" spans="2:24" x14ac:dyDescent="0.3">
      <c r="B183" s="4" t="s">
        <v>40</v>
      </c>
      <c r="C183" s="3" t="s">
        <v>41</v>
      </c>
      <c r="D183" s="7" t="s">
        <v>42</v>
      </c>
      <c r="E183" s="3" t="s">
        <v>43</v>
      </c>
      <c r="F183" s="3" t="s">
        <v>42</v>
      </c>
      <c r="G183" s="3" t="s">
        <v>43</v>
      </c>
      <c r="I183" s="4" t="s">
        <v>40</v>
      </c>
      <c r="J183" s="3" t="s">
        <v>41</v>
      </c>
      <c r="K183" s="7" t="s">
        <v>42</v>
      </c>
      <c r="L183" s="3" t="s">
        <v>43</v>
      </c>
      <c r="M183" s="3" t="s">
        <v>42</v>
      </c>
      <c r="N183" s="3" t="s">
        <v>43</v>
      </c>
      <c r="S183" s="4" t="s">
        <v>40</v>
      </c>
      <c r="T183" s="3" t="s">
        <v>41</v>
      </c>
      <c r="U183" s="7" t="s">
        <v>42</v>
      </c>
      <c r="V183" s="3" t="s">
        <v>43</v>
      </c>
      <c r="W183" s="3" t="s">
        <v>42</v>
      </c>
      <c r="X183" s="3" t="s">
        <v>43</v>
      </c>
    </row>
    <row r="184" spans="2:24" x14ac:dyDescent="0.3">
      <c r="B184" s="4" t="s">
        <v>44</v>
      </c>
      <c r="C184" s="3"/>
      <c r="D184" s="3"/>
      <c r="E184" s="13">
        <v>0.13</v>
      </c>
      <c r="F184" s="3"/>
      <c r="G184" s="13">
        <v>0.13</v>
      </c>
      <c r="I184" s="4" t="s">
        <v>44</v>
      </c>
      <c r="J184" s="3"/>
      <c r="K184" s="3"/>
      <c r="L184" s="13">
        <v>0.13</v>
      </c>
      <c r="M184" s="3"/>
      <c r="N184" s="13">
        <v>0.13</v>
      </c>
      <c r="S184" s="4" t="s">
        <v>44</v>
      </c>
      <c r="T184" s="3"/>
      <c r="U184" s="3"/>
      <c r="V184" s="13">
        <v>0.13</v>
      </c>
      <c r="W184" s="3"/>
      <c r="X184" s="13">
        <v>0.13</v>
      </c>
    </row>
    <row r="185" spans="2:24" x14ac:dyDescent="0.3">
      <c r="B185" s="4" t="s">
        <v>45</v>
      </c>
      <c r="C185" s="12">
        <v>1.2500000000000001E-2</v>
      </c>
      <c r="D185" s="13">
        <v>0.06</v>
      </c>
      <c r="E185" s="13">
        <f>C185/D185</f>
        <v>0.20833333333333334</v>
      </c>
      <c r="F185" s="3"/>
      <c r="G185" s="13">
        <f>E185</f>
        <v>0.20833333333333334</v>
      </c>
      <c r="I185" s="4" t="s">
        <v>45</v>
      </c>
      <c r="J185" s="12">
        <v>1.2500000000000001E-2</v>
      </c>
      <c r="K185" s="13">
        <v>0.06</v>
      </c>
      <c r="L185" s="13">
        <f>J185/K185</f>
        <v>0.20833333333333334</v>
      </c>
      <c r="M185" s="3"/>
      <c r="N185" s="13">
        <f>L185</f>
        <v>0.20833333333333334</v>
      </c>
      <c r="S185" s="4" t="s">
        <v>45</v>
      </c>
      <c r="T185" s="12">
        <v>1.2500000000000001E-2</v>
      </c>
      <c r="U185" s="13">
        <v>0.06</v>
      </c>
      <c r="V185" s="13">
        <f>T185/U185</f>
        <v>0.20833333333333334</v>
      </c>
      <c r="W185" s="3"/>
      <c r="X185" s="13">
        <f>V185</f>
        <v>0.20833333333333334</v>
      </c>
    </row>
    <row r="186" spans="2:24" x14ac:dyDescent="0.3">
      <c r="B186" s="4" t="s">
        <v>46</v>
      </c>
      <c r="C186" s="3"/>
      <c r="D186" s="3"/>
      <c r="E186" s="13">
        <v>0.03</v>
      </c>
      <c r="F186" s="3"/>
      <c r="G186" s="13">
        <v>0.03</v>
      </c>
      <c r="I186" s="4" t="s">
        <v>46</v>
      </c>
      <c r="J186" s="3"/>
      <c r="K186" s="3"/>
      <c r="L186" s="13">
        <v>0.03</v>
      </c>
      <c r="M186" s="3"/>
      <c r="N186" s="13">
        <v>0.03</v>
      </c>
      <c r="S186" s="4" t="s">
        <v>46</v>
      </c>
      <c r="T186" s="3"/>
      <c r="U186" s="3"/>
      <c r="V186" s="13">
        <v>0.03</v>
      </c>
      <c r="W186" s="3"/>
      <c r="X186" s="13">
        <v>0.03</v>
      </c>
    </row>
    <row r="187" spans="2:24" x14ac:dyDescent="0.3">
      <c r="B187" s="4" t="s">
        <v>47</v>
      </c>
      <c r="C187" s="13">
        <f>C22/1000</f>
        <v>0.1</v>
      </c>
      <c r="D187" s="13">
        <f>_xlfn.XLOOKUP(C21,Q133:S133,Q134:S134)</f>
        <v>3.4000000000000002E-2</v>
      </c>
      <c r="E187" s="13">
        <f>C187/D187</f>
        <v>2.9411764705882351</v>
      </c>
      <c r="F187" s="13">
        <v>0.13</v>
      </c>
      <c r="G187" s="13">
        <f>C187/F187</f>
        <v>0.76923076923076927</v>
      </c>
      <c r="I187" s="4" t="s">
        <v>65</v>
      </c>
      <c r="J187" s="13">
        <f>C187</f>
        <v>0.1</v>
      </c>
      <c r="K187" s="13">
        <f>D187</f>
        <v>3.4000000000000002E-2</v>
      </c>
      <c r="L187" s="13">
        <f>J187/K187</f>
        <v>2.9411764705882351</v>
      </c>
      <c r="M187" s="13">
        <v>0.13</v>
      </c>
      <c r="N187" s="13">
        <f>J187/M187</f>
        <v>0.76923076923076927</v>
      </c>
      <c r="S187" s="4" t="s">
        <v>65</v>
      </c>
      <c r="T187" s="13">
        <f>J187</f>
        <v>0.1</v>
      </c>
      <c r="U187" s="13">
        <f>K187</f>
        <v>3.4000000000000002E-2</v>
      </c>
      <c r="V187" s="13">
        <f>T187/U187</f>
        <v>2.9411764705882351</v>
      </c>
      <c r="W187" s="13">
        <v>0.13</v>
      </c>
      <c r="X187" s="13">
        <f>T187/W187</f>
        <v>0.76923076923076927</v>
      </c>
    </row>
    <row r="188" spans="2:24" x14ac:dyDescent="0.3">
      <c r="B188" s="4" t="s">
        <v>56</v>
      </c>
      <c r="C188" s="3">
        <f>C20/1000</f>
        <v>0.4</v>
      </c>
      <c r="D188" s="13">
        <v>2</v>
      </c>
      <c r="E188" s="13">
        <f>C188/D188</f>
        <v>0.2</v>
      </c>
      <c r="F188" s="3"/>
      <c r="G188" s="13">
        <f>E188</f>
        <v>0.2</v>
      </c>
      <c r="I188" s="4" t="s">
        <v>56</v>
      </c>
      <c r="J188" s="3">
        <f>C188</f>
        <v>0.4</v>
      </c>
      <c r="K188" s="13">
        <v>2</v>
      </c>
      <c r="L188" s="13">
        <f>J188/K188</f>
        <v>0.2</v>
      </c>
      <c r="M188" s="3"/>
      <c r="N188" s="13">
        <f>L188</f>
        <v>0.2</v>
      </c>
      <c r="S188" s="4" t="s">
        <v>56</v>
      </c>
      <c r="T188" s="3">
        <f>J188</f>
        <v>0.4</v>
      </c>
      <c r="U188" s="13">
        <v>2</v>
      </c>
      <c r="V188" s="13">
        <f>T188/U188</f>
        <v>0.2</v>
      </c>
      <c r="W188" s="3"/>
      <c r="X188" s="13">
        <f>V188</f>
        <v>0.2</v>
      </c>
    </row>
    <row r="189" spans="2:24" x14ac:dyDescent="0.3">
      <c r="B189" s="4" t="s">
        <v>102</v>
      </c>
      <c r="C189" s="3"/>
      <c r="D189" s="13"/>
      <c r="E189" s="13">
        <v>0.13</v>
      </c>
      <c r="F189" s="3"/>
      <c r="G189" s="13">
        <f>E189</f>
        <v>0.13</v>
      </c>
      <c r="I189" s="4" t="s">
        <v>102</v>
      </c>
      <c r="J189" s="3"/>
      <c r="K189" s="13"/>
      <c r="L189" s="13">
        <v>0.13</v>
      </c>
      <c r="M189" s="3"/>
      <c r="N189" s="13">
        <v>0.13</v>
      </c>
      <c r="S189" s="4" t="s">
        <v>102</v>
      </c>
      <c r="T189" s="3"/>
      <c r="U189" s="13"/>
      <c r="V189" s="13">
        <v>0.13</v>
      </c>
      <c r="W189" s="3"/>
      <c r="X189" s="13">
        <v>0.13</v>
      </c>
    </row>
    <row r="190" spans="2:24" x14ac:dyDescent="0.3">
      <c r="B190" s="4" t="s">
        <v>50</v>
      </c>
      <c r="C190" s="3"/>
      <c r="D190" s="3"/>
      <c r="E190" s="13">
        <f>SUM(E184:E189)</f>
        <v>3.6395098039215688</v>
      </c>
      <c r="F190" s="3"/>
      <c r="G190" s="13">
        <f>SUM(G184:G189)</f>
        <v>1.4675641025641029</v>
      </c>
      <c r="I190" s="4" t="s">
        <v>66</v>
      </c>
      <c r="J190" s="3">
        <f>E21/1000</f>
        <v>0.25</v>
      </c>
      <c r="K190" s="3">
        <f>_xlfn.XLOOKUP(C23,Q133:S133,Q134:S134)</f>
        <v>3.4000000000000002E-2</v>
      </c>
      <c r="L190" s="15">
        <f>J190/K190</f>
        <v>7.3529411764705879</v>
      </c>
      <c r="M190" s="13">
        <v>0.13</v>
      </c>
      <c r="N190" s="13">
        <f>J190/M190</f>
        <v>1.9230769230769229</v>
      </c>
      <c r="S190" s="4" t="s">
        <v>66</v>
      </c>
      <c r="T190" s="3">
        <f>J190</f>
        <v>0.25</v>
      </c>
      <c r="U190" s="3">
        <f>K190</f>
        <v>3.4000000000000002E-2</v>
      </c>
      <c r="V190" s="15">
        <f>T190/U190</f>
        <v>7.3529411764705879</v>
      </c>
      <c r="W190" s="13">
        <v>0.13</v>
      </c>
      <c r="X190" s="13">
        <f>T190/W190</f>
        <v>1.9230769230769229</v>
      </c>
    </row>
    <row r="191" spans="2:24" x14ac:dyDescent="0.3">
      <c r="I191" s="4" t="s">
        <v>50</v>
      </c>
      <c r="J191" s="3"/>
      <c r="K191" s="3"/>
      <c r="L191" s="13">
        <f>SUM(L184:L190)</f>
        <v>10.992450980392157</v>
      </c>
      <c r="M191" s="3"/>
      <c r="N191" s="13">
        <f>SUM(N184:N190)</f>
        <v>3.3906410256410258</v>
      </c>
      <c r="S191" s="4" t="s">
        <v>50</v>
      </c>
      <c r="T191" s="3"/>
      <c r="U191" s="3"/>
      <c r="V191" s="13">
        <f>SUM(V184:V190)</f>
        <v>10.992450980392157</v>
      </c>
      <c r="W191" s="3"/>
      <c r="X191" s="13">
        <f>SUM(X184:X190)</f>
        <v>3.3906410256410258</v>
      </c>
    </row>
    <row r="193" spans="2:23" x14ac:dyDescent="0.3">
      <c r="B193" s="6" t="s">
        <v>51</v>
      </c>
      <c r="C193" s="11">
        <f>1/(E182/E190 + G182/G190)</f>
        <v>3.2117185745143653</v>
      </c>
    </row>
    <row r="194" spans="2:23" x14ac:dyDescent="0.3">
      <c r="I194" s="6" t="s">
        <v>51</v>
      </c>
      <c r="J194" s="11">
        <f>1/(L182/L191 + N182/N191)</f>
        <v>9.1468095112948706</v>
      </c>
      <c r="M194" t="s">
        <v>60</v>
      </c>
      <c r="O194" t="s">
        <v>28</v>
      </c>
      <c r="P194" t="s">
        <v>13</v>
      </c>
      <c r="Q194" t="s">
        <v>23</v>
      </c>
      <c r="S194" s="6" t="s">
        <v>51</v>
      </c>
      <c r="T194" s="11">
        <f>1/(V182/V191 + X182/X191)</f>
        <v>9.1468095112948706</v>
      </c>
      <c r="W194" t="s">
        <v>60</v>
      </c>
    </row>
    <row r="195" spans="2:23" x14ac:dyDescent="0.3">
      <c r="B195" t="s">
        <v>52</v>
      </c>
      <c r="C195" s="11">
        <f>E182*D187 + G182*F187</f>
        <v>4.2640000000000004E-2</v>
      </c>
      <c r="M195">
        <f>_xlfn.XLOOKUP(B3,Q137:S137,Q138:S138)</f>
        <v>0.11</v>
      </c>
      <c r="O195" s="11">
        <f>J202</f>
        <v>0.11078246873776745</v>
      </c>
      <c r="P195" s="11">
        <f>T202</f>
        <v>0.11078246873776745</v>
      </c>
      <c r="Q195" s="11">
        <f>T202</f>
        <v>0.11078246873776745</v>
      </c>
      <c r="W195">
        <f>_xlfn.XLOOKUP(L3,AA137:AC137,AA138:AC138)</f>
        <v>0</v>
      </c>
    </row>
    <row r="196" spans="2:23" x14ac:dyDescent="0.3">
      <c r="I196" t="s">
        <v>68</v>
      </c>
      <c r="J196" s="11">
        <f>L182*K187 + N182*M187</f>
        <v>4.2640000000000004E-2</v>
      </c>
      <c r="S196" t="s">
        <v>68</v>
      </c>
      <c r="T196" s="11">
        <f>V182*U187 + X182*W187</f>
        <v>4.2640000000000004E-2</v>
      </c>
    </row>
    <row r="197" spans="2:23" x14ac:dyDescent="0.3">
      <c r="B197" t="s">
        <v>53</v>
      </c>
      <c r="C197" s="11">
        <f>C187/C195</f>
        <v>2.3452157598499062</v>
      </c>
      <c r="I197" t="s">
        <v>69</v>
      </c>
      <c r="J197">
        <f>K190*L182+M190*N182</f>
        <v>4.2640000000000004E-2</v>
      </c>
      <c r="S197" t="s">
        <v>69</v>
      </c>
      <c r="T197">
        <f>U190*V182+W190*X182</f>
        <v>4.2640000000000004E-2</v>
      </c>
    </row>
    <row r="198" spans="2:23" x14ac:dyDescent="0.3">
      <c r="I198" t="s">
        <v>70</v>
      </c>
      <c r="J198" s="11">
        <f>J187/J196</f>
        <v>2.3452157598499062</v>
      </c>
      <c r="S198" t="s">
        <v>70</v>
      </c>
      <c r="T198" s="11">
        <f>T187/T196</f>
        <v>2.3452157598499062</v>
      </c>
    </row>
    <row r="199" spans="2:23" x14ac:dyDescent="0.3">
      <c r="B199" t="s">
        <v>54</v>
      </c>
      <c r="C199" s="11">
        <f>E184+E185+E186+C197+E188+E189</f>
        <v>3.0435490931832394</v>
      </c>
      <c r="I199" t="s">
        <v>71</v>
      </c>
      <c r="J199">
        <f>J190/J197</f>
        <v>5.8630393996247649</v>
      </c>
      <c r="S199" t="s">
        <v>71</v>
      </c>
      <c r="T199">
        <f>T190/T197</f>
        <v>5.8630393996247649</v>
      </c>
    </row>
    <row r="200" spans="2:23" x14ac:dyDescent="0.3">
      <c r="I200" t="s">
        <v>54</v>
      </c>
      <c r="J200" s="11">
        <f>L184+L185+L186+J198+L188+J199+L189</f>
        <v>8.9065884928080052</v>
      </c>
      <c r="S200" t="s">
        <v>54</v>
      </c>
      <c r="T200" s="11">
        <f>V184+V185+V186+T198+V188+V189+T199</f>
        <v>8.9065884928080052</v>
      </c>
    </row>
    <row r="201" spans="2:23" x14ac:dyDescent="0.3">
      <c r="B201" t="s">
        <v>55</v>
      </c>
      <c r="C201" s="11">
        <f>1/((C193+C199)/2)</f>
        <v>0.31973052253671919</v>
      </c>
    </row>
    <row r="202" spans="2:23" x14ac:dyDescent="0.3">
      <c r="I202" t="s">
        <v>55</v>
      </c>
      <c r="J202" s="11">
        <f>1/((J194+J200)/2)</f>
        <v>0.11078246873776745</v>
      </c>
      <c r="S202" t="s">
        <v>55</v>
      </c>
      <c r="T202" s="11">
        <f>1/((T194+T200)/2)</f>
        <v>0.11078246873776745</v>
      </c>
    </row>
    <row r="213" spans="2:16" x14ac:dyDescent="0.3">
      <c r="B213" t="s">
        <v>78</v>
      </c>
    </row>
    <row r="214" spans="2:16" x14ac:dyDescent="0.3">
      <c r="B214" t="s">
        <v>4</v>
      </c>
      <c r="C214" t="s">
        <v>5</v>
      </c>
      <c r="D214" t="s">
        <v>6</v>
      </c>
    </row>
    <row r="215" spans="2:16" x14ac:dyDescent="0.3">
      <c r="B215">
        <v>0.8</v>
      </c>
      <c r="C215">
        <v>1.2</v>
      </c>
      <c r="D215">
        <v>1.6</v>
      </c>
    </row>
    <row r="218" spans="2:16" x14ac:dyDescent="0.3">
      <c r="C218" t="s">
        <v>4</v>
      </c>
      <c r="D218" t="s">
        <v>84</v>
      </c>
      <c r="E218" t="s">
        <v>85</v>
      </c>
      <c r="F218" t="s">
        <v>5</v>
      </c>
      <c r="G218" t="s">
        <v>84</v>
      </c>
      <c r="H218" t="s">
        <v>85</v>
      </c>
      <c r="I218" t="s">
        <v>6</v>
      </c>
      <c r="J218" t="s">
        <v>84</v>
      </c>
      <c r="K218" t="s">
        <v>85</v>
      </c>
    </row>
    <row r="219" spans="2:16" x14ac:dyDescent="0.3">
      <c r="B219" s="53" t="s">
        <v>79</v>
      </c>
      <c r="D219">
        <v>9695</v>
      </c>
      <c r="E219">
        <v>0.8</v>
      </c>
      <c r="G219">
        <v>5590</v>
      </c>
      <c r="H219">
        <v>1.2</v>
      </c>
      <c r="J219">
        <v>5590</v>
      </c>
      <c r="K219">
        <v>1.2</v>
      </c>
      <c r="M219" t="s">
        <v>86</v>
      </c>
      <c r="P219" t="s">
        <v>88</v>
      </c>
    </row>
    <row r="220" spans="2:16" x14ac:dyDescent="0.3">
      <c r="B220" s="52" t="s">
        <v>80</v>
      </c>
      <c r="D220">
        <v>9495</v>
      </c>
      <c r="E220">
        <v>0.8</v>
      </c>
      <c r="G220">
        <v>5590</v>
      </c>
      <c r="H220">
        <v>1.2</v>
      </c>
      <c r="J220">
        <v>5590</v>
      </c>
      <c r="K220">
        <v>1.2</v>
      </c>
    </row>
    <row r="221" spans="2:16" x14ac:dyDescent="0.3">
      <c r="B221" s="52" t="s">
        <v>81</v>
      </c>
      <c r="D221">
        <v>4353</v>
      </c>
      <c r="E221">
        <v>0.8</v>
      </c>
      <c r="G221">
        <v>1649</v>
      </c>
      <c r="H221">
        <v>1.2</v>
      </c>
      <c r="J221">
        <v>1649</v>
      </c>
      <c r="K221">
        <v>1.2</v>
      </c>
    </row>
    <row r="222" spans="2:16" x14ac:dyDescent="0.3">
      <c r="B222" s="52" t="s">
        <v>82</v>
      </c>
      <c r="D222">
        <v>4429</v>
      </c>
      <c r="E222">
        <v>0.8</v>
      </c>
      <c r="G222">
        <v>4349</v>
      </c>
      <c r="H222">
        <v>1.2</v>
      </c>
      <c r="J222">
        <v>4349</v>
      </c>
      <c r="K222">
        <v>1.2</v>
      </c>
      <c r="M222" t="s">
        <v>87</v>
      </c>
    </row>
    <row r="223" spans="2:16" x14ac:dyDescent="0.3">
      <c r="B223" s="16"/>
    </row>
    <row r="225" spans="2:14" x14ac:dyDescent="0.3">
      <c r="H225" t="s">
        <v>4</v>
      </c>
      <c r="I225" t="s">
        <v>5</v>
      </c>
      <c r="J225" t="s">
        <v>6</v>
      </c>
      <c r="L225" t="s">
        <v>4</v>
      </c>
      <c r="M225" t="s">
        <v>5</v>
      </c>
      <c r="N225" t="s">
        <v>6</v>
      </c>
    </row>
    <row r="226" spans="2:14" x14ac:dyDescent="0.3">
      <c r="D226">
        <f>C26</f>
        <v>5</v>
      </c>
      <c r="E226" cm="1">
        <f t="array" ref="E226:E229">_xlfn.XLOOKUP(B3,H225:J225,H226:J229)</f>
        <v>9695</v>
      </c>
      <c r="F226">
        <f>D226*E226+D227*E227+D228*E228+D229*E229</f>
        <v>95237</v>
      </c>
      <c r="H226">
        <v>9695</v>
      </c>
      <c r="I226">
        <v>5590</v>
      </c>
      <c r="J226">
        <v>5590</v>
      </c>
      <c r="L226">
        <v>0.8</v>
      </c>
      <c r="M226">
        <v>1.2</v>
      </c>
      <c r="N226">
        <v>1.2</v>
      </c>
    </row>
    <row r="227" spans="2:14" x14ac:dyDescent="0.3">
      <c r="D227">
        <f>C27</f>
        <v>4</v>
      </c>
      <c r="E227">
        <v>9495</v>
      </c>
      <c r="H227">
        <v>9495</v>
      </c>
      <c r="I227">
        <v>5590</v>
      </c>
      <c r="J227">
        <v>5590</v>
      </c>
    </row>
    <row r="228" spans="2:14" x14ac:dyDescent="0.3">
      <c r="D228">
        <f>C28</f>
        <v>1</v>
      </c>
      <c r="E228">
        <v>4353</v>
      </c>
      <c r="H228">
        <v>4353</v>
      </c>
      <c r="I228">
        <v>1649</v>
      </c>
      <c r="J228">
        <v>1649</v>
      </c>
    </row>
    <row r="229" spans="2:14" x14ac:dyDescent="0.3">
      <c r="D229">
        <f>C29</f>
        <v>1</v>
      </c>
      <c r="E229">
        <v>4429</v>
      </c>
      <c r="H229">
        <v>4429</v>
      </c>
      <c r="I229">
        <v>4349</v>
      </c>
      <c r="J229">
        <v>4349</v>
      </c>
    </row>
    <row r="231" spans="2:14" x14ac:dyDescent="0.3">
      <c r="D231">
        <f>D226*E226+D227*E227+D228*E228+D229*E229</f>
        <v>95237</v>
      </c>
    </row>
    <row r="233" spans="2:14" x14ac:dyDescent="0.3">
      <c r="C233" t="s">
        <v>4</v>
      </c>
      <c r="D233" t="s">
        <v>5</v>
      </c>
      <c r="E233" t="s">
        <v>6</v>
      </c>
    </row>
    <row r="234" spans="2:14" x14ac:dyDescent="0.3">
      <c r="B234" t="s">
        <v>74</v>
      </c>
      <c r="C234">
        <v>15485</v>
      </c>
      <c r="D234">
        <v>8610</v>
      </c>
      <c r="E234">
        <v>8610</v>
      </c>
    </row>
    <row r="235" spans="2:14" x14ac:dyDescent="0.3">
      <c r="B235" t="s">
        <v>89</v>
      </c>
      <c r="C235">
        <v>17249</v>
      </c>
      <c r="D235">
        <v>9490</v>
      </c>
      <c r="E235">
        <v>9490</v>
      </c>
    </row>
    <row r="237" spans="2:14" x14ac:dyDescent="0.3">
      <c r="D237">
        <f>C32</f>
        <v>1</v>
      </c>
      <c r="E237" cm="1">
        <f t="array" ref="E237:E238">_xlfn.XLOOKUP(B3,C233:E233,C234:E235)</f>
        <v>15485</v>
      </c>
      <c r="G237">
        <f>D237*E237+D238*E238</f>
        <v>49983</v>
      </c>
    </row>
    <row r="238" spans="2:14" x14ac:dyDescent="0.3">
      <c r="D238">
        <f>C33</f>
        <v>2</v>
      </c>
      <c r="E238">
        <v>17249</v>
      </c>
    </row>
  </sheetData>
  <mergeCells count="11">
    <mergeCell ref="U157:W157"/>
    <mergeCell ref="U133:W133"/>
    <mergeCell ref="S182:U182"/>
    <mergeCell ref="I132:K132"/>
    <mergeCell ref="I157:K157"/>
    <mergeCell ref="I182:K182"/>
    <mergeCell ref="B132:D132"/>
    <mergeCell ref="B157:D157"/>
    <mergeCell ref="B182:D182"/>
    <mergeCell ref="C3:G3"/>
    <mergeCell ref="F4:G4"/>
  </mergeCells>
  <phoneticPr fontId="2" type="noConversion"/>
  <dataValidations count="3">
    <dataValidation type="list" allowBlank="1" showInputMessage="1" showErrorMessage="1" sqref="B3" xr:uid="{5137DDA5-1208-48C3-AFB2-9E3D77D7DA79}">
      <formula1>$E$63:$E$65</formula1>
    </dataValidation>
    <dataValidation type="list" allowBlank="1" showInputMessage="1" showErrorMessage="1" sqref="C34" xr:uid="{2A1E1447-A038-4411-B7D2-7EC976376C90}">
      <formula1>$F$63:$F$64</formula1>
    </dataValidation>
    <dataValidation type="list" allowBlank="1" showInputMessage="1" showErrorMessage="1" sqref="C9 C23 C16" xr:uid="{EED11A66-BD37-48C3-BE23-CAA0591B69E4}">
      <formula1>$H$63:$H$66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8BE2E-D6F3-4AD1-A0A5-31185D8FCC7D}">
  <dimension ref="B4:AB245"/>
  <sheetViews>
    <sheetView tabSelected="1" zoomScale="43" zoomScaleNormal="55" workbookViewId="0">
      <selection activeCell="Q10" sqref="Q10"/>
    </sheetView>
  </sheetViews>
  <sheetFormatPr baseColWidth="10" defaultRowHeight="15.6" x14ac:dyDescent="0.3"/>
  <cols>
    <col min="1" max="2" width="11.5546875" style="18"/>
    <col min="3" max="3" width="32.77734375" style="18" customWidth="1"/>
    <col min="4" max="4" width="15.6640625" style="18" customWidth="1"/>
    <col min="5" max="5" width="33.109375" style="18" customWidth="1"/>
    <col min="6" max="6" width="17" style="18" customWidth="1"/>
    <col min="7" max="7" width="14.44140625" style="18" customWidth="1"/>
    <col min="8" max="8" width="14.6640625" style="18" customWidth="1"/>
    <col min="9" max="9" width="15.88671875" style="18" customWidth="1"/>
    <col min="10" max="10" width="32.5546875" style="18" customWidth="1"/>
    <col min="11" max="11" width="18.21875" style="18" customWidth="1"/>
    <col min="12" max="12" width="11.5546875" style="18"/>
    <col min="13" max="13" width="14.33203125" style="18" bestFit="1" customWidth="1"/>
    <col min="14" max="14" width="11.5546875" style="18" customWidth="1"/>
    <col min="15" max="15" width="18.33203125" style="18" customWidth="1"/>
    <col min="16" max="16" width="17.77734375" style="18" customWidth="1"/>
    <col min="17" max="17" width="21.44140625" style="18" customWidth="1"/>
    <col min="18" max="18" width="11.5546875" style="18"/>
    <col min="19" max="19" width="12.109375" style="18" customWidth="1"/>
    <col min="20" max="20" width="11.5546875" style="18"/>
    <col min="21" max="21" width="24.33203125" style="18" customWidth="1"/>
    <col min="22" max="22" width="12.44140625" style="18" customWidth="1"/>
    <col min="23" max="23" width="14.21875" style="18" customWidth="1"/>
    <col min="24" max="27" width="11.5546875" style="18"/>
    <col min="28" max="28" width="25.21875" style="18" customWidth="1"/>
    <col min="29" max="29" width="11.5546875" style="18"/>
    <col min="30" max="30" width="19.5546875" style="18" customWidth="1"/>
    <col min="31" max="16384" width="11.5546875" style="18"/>
  </cols>
  <sheetData>
    <row r="4" spans="3:17" x14ac:dyDescent="0.3">
      <c r="C4" s="103" t="s">
        <v>6</v>
      </c>
      <c r="D4" s="151" t="s">
        <v>190</v>
      </c>
      <c r="E4" s="152"/>
      <c r="F4" s="152"/>
      <c r="G4" s="153"/>
      <c r="H4" s="154"/>
      <c r="J4" s="150" t="s">
        <v>184</v>
      </c>
      <c r="K4" s="150"/>
      <c r="O4" s="150" t="s">
        <v>109</v>
      </c>
      <c r="P4" s="150"/>
      <c r="Q4" s="150"/>
    </row>
    <row r="5" spans="3:17" x14ac:dyDescent="0.3">
      <c r="C5" s="19" t="s">
        <v>2</v>
      </c>
      <c r="D5" s="139"/>
      <c r="E5" s="139"/>
      <c r="F5" s="139"/>
      <c r="G5" s="158" t="s">
        <v>55</v>
      </c>
      <c r="H5" s="158"/>
      <c r="J5" s="21" t="s">
        <v>7</v>
      </c>
      <c r="K5" s="119">
        <f>F6+F12+F18+F32+F37+F43+F25</f>
        <v>0</v>
      </c>
      <c r="O5" s="59" t="s">
        <v>110</v>
      </c>
      <c r="P5" s="59" t="s">
        <v>111</v>
      </c>
      <c r="Q5" s="59" t="s">
        <v>112</v>
      </c>
    </row>
    <row r="6" spans="3:17" x14ac:dyDescent="0.3">
      <c r="C6" s="21" t="s">
        <v>3</v>
      </c>
      <c r="D6" s="115">
        <v>0</v>
      </c>
      <c r="E6" s="58" t="s">
        <v>7</v>
      </c>
      <c r="F6" s="117">
        <f>D6*D201</f>
        <v>0</v>
      </c>
      <c r="G6" s="21"/>
      <c r="H6" s="21"/>
      <c r="J6" s="21" t="s">
        <v>205</v>
      </c>
      <c r="K6" s="120">
        <f>F7+F8+F13+F14+F19+F20+F26+F27+F33+F34+F38+F39+F44</f>
        <v>0</v>
      </c>
      <c r="O6" s="104">
        <v>1100</v>
      </c>
      <c r="P6" s="104">
        <v>1200</v>
      </c>
      <c r="Q6" s="104">
        <v>0</v>
      </c>
    </row>
    <row r="7" spans="3:17" x14ac:dyDescent="0.3">
      <c r="C7" s="21" t="s">
        <v>83</v>
      </c>
      <c r="D7" s="99">
        <v>0</v>
      </c>
      <c r="E7" s="21" t="s">
        <v>143</v>
      </c>
      <c r="F7" s="116">
        <f>D6*E201</f>
        <v>0</v>
      </c>
      <c r="G7" s="21"/>
      <c r="H7" s="21"/>
      <c r="J7" s="21" t="s">
        <v>113</v>
      </c>
      <c r="K7" s="119">
        <f>F41</f>
        <v>0</v>
      </c>
      <c r="O7" s="104">
        <v>1000</v>
      </c>
      <c r="P7" s="104">
        <v>1200</v>
      </c>
      <c r="Q7" s="104">
        <v>0</v>
      </c>
    </row>
    <row r="8" spans="3:17" ht="16.2" thickBot="1" x14ac:dyDescent="0.35">
      <c r="C8" s="21" t="s">
        <v>103</v>
      </c>
      <c r="D8" s="99" t="s">
        <v>28</v>
      </c>
      <c r="E8" s="21" t="s">
        <v>108</v>
      </c>
      <c r="F8" s="60">
        <f>D6*F201</f>
        <v>0</v>
      </c>
      <c r="G8" s="21" t="s">
        <v>60</v>
      </c>
      <c r="H8" s="45">
        <f>L67</f>
        <v>0.18</v>
      </c>
      <c r="J8" s="100" t="str">
        <f>_xlfn.XLOOKUP(D41,K60:L60,K61:L61)</f>
        <v>Totalpris med støtte</v>
      </c>
      <c r="K8" s="121">
        <f>K6-K7</f>
        <v>0</v>
      </c>
      <c r="O8" s="104">
        <v>1000</v>
      </c>
      <c r="P8" s="104">
        <v>500</v>
      </c>
      <c r="Q8" s="104">
        <v>0</v>
      </c>
    </row>
    <row r="9" spans="3:17" ht="16.2" thickTop="1" x14ac:dyDescent="0.3">
      <c r="C9" s="21" t="s">
        <v>31</v>
      </c>
      <c r="D9" s="99">
        <v>100</v>
      </c>
      <c r="E9" s="21" t="s">
        <v>30</v>
      </c>
      <c r="F9" s="45">
        <f>D7+D9</f>
        <v>100</v>
      </c>
      <c r="G9" s="21" t="s">
        <v>72</v>
      </c>
      <c r="H9" s="54">
        <f>_xlfn.XLOOKUP(D8,X84:Z84,X85:Z85)</f>
        <v>0.30044913224088199</v>
      </c>
      <c r="O9" s="104">
        <v>600</v>
      </c>
      <c r="P9" s="104">
        <v>900</v>
      </c>
      <c r="Q9" s="104">
        <v>0</v>
      </c>
    </row>
    <row r="10" spans="3:17" x14ac:dyDescent="0.3">
      <c r="C10" s="155"/>
      <c r="D10" s="156"/>
      <c r="E10" s="156"/>
      <c r="F10" s="156"/>
      <c r="G10" s="156"/>
      <c r="H10" s="157"/>
      <c r="O10" s="104"/>
      <c r="P10" s="104"/>
      <c r="Q10" s="104"/>
    </row>
    <row r="11" spans="3:17" x14ac:dyDescent="0.3">
      <c r="C11" s="19" t="s">
        <v>35</v>
      </c>
      <c r="D11" s="136"/>
      <c r="E11" s="137"/>
      <c r="F11" s="138"/>
      <c r="G11" s="136"/>
      <c r="H11" s="138"/>
      <c r="O11" s="104"/>
      <c r="P11" s="104"/>
      <c r="Q11" s="104"/>
    </row>
    <row r="12" spans="3:17" x14ac:dyDescent="0.3">
      <c r="C12" s="21" t="s">
        <v>3</v>
      </c>
      <c r="D12" s="99">
        <v>0</v>
      </c>
      <c r="E12" s="21" t="s">
        <v>7</v>
      </c>
      <c r="F12" s="60">
        <f>D12*D211</f>
        <v>0</v>
      </c>
      <c r="G12" s="21"/>
      <c r="H12" s="21"/>
      <c r="O12" s="104"/>
      <c r="P12" s="104"/>
      <c r="Q12" s="104"/>
    </row>
    <row r="13" spans="3:17" x14ac:dyDescent="0.3">
      <c r="C13" s="21" t="s">
        <v>83</v>
      </c>
      <c r="D13" s="99">
        <v>0</v>
      </c>
      <c r="E13" s="21" t="s">
        <v>143</v>
      </c>
      <c r="F13" s="60">
        <f>D12*E211</f>
        <v>0</v>
      </c>
      <c r="G13" s="21"/>
      <c r="H13" s="21"/>
      <c r="O13" s="104"/>
      <c r="P13" s="104"/>
      <c r="Q13" s="104"/>
    </row>
    <row r="14" spans="3:17" x14ac:dyDescent="0.3">
      <c r="C14" s="21" t="s">
        <v>103</v>
      </c>
      <c r="D14" s="99" t="s">
        <v>28</v>
      </c>
      <c r="E14" s="21" t="s">
        <v>108</v>
      </c>
      <c r="F14" s="60">
        <f>D12*F211</f>
        <v>0</v>
      </c>
      <c r="G14" s="21" t="s">
        <v>60</v>
      </c>
      <c r="H14" s="45">
        <f>L70</f>
        <v>0.22</v>
      </c>
      <c r="O14" s="104"/>
      <c r="P14" s="104"/>
      <c r="Q14" s="104"/>
    </row>
    <row r="15" spans="3:17" x14ac:dyDescent="0.3">
      <c r="C15" s="21" t="s">
        <v>31</v>
      </c>
      <c r="D15" s="99">
        <v>100</v>
      </c>
      <c r="E15" s="21" t="s">
        <v>30</v>
      </c>
      <c r="F15" s="45">
        <f>D13+D15</f>
        <v>100</v>
      </c>
      <c r="G15" s="21" t="s">
        <v>72</v>
      </c>
      <c r="H15" s="54">
        <f>_xlfn.XLOOKUP(D14,X108:Z108,X109:Z109)</f>
        <v>0.3412773846556032</v>
      </c>
      <c r="O15" s="104"/>
      <c r="P15" s="104"/>
      <c r="Q15" s="104"/>
    </row>
    <row r="16" spans="3:17" x14ac:dyDescent="0.3">
      <c r="C16" s="155"/>
      <c r="D16" s="156"/>
      <c r="E16" s="156"/>
      <c r="F16" s="156"/>
      <c r="G16" s="156"/>
      <c r="H16" s="157"/>
      <c r="O16" s="104"/>
      <c r="P16" s="104"/>
      <c r="Q16" s="104"/>
    </row>
    <row r="17" spans="3:17" x14ac:dyDescent="0.3">
      <c r="C17" s="19" t="s">
        <v>34</v>
      </c>
      <c r="D17" s="136"/>
      <c r="E17" s="137"/>
      <c r="F17" s="138"/>
      <c r="G17" s="136"/>
      <c r="H17" s="138"/>
      <c r="J17" s="118"/>
      <c r="O17" s="104"/>
      <c r="P17" s="104"/>
      <c r="Q17" s="104"/>
    </row>
    <row r="18" spans="3:17" ht="16.2" thickBot="1" x14ac:dyDescent="0.35">
      <c r="C18" s="21" t="s">
        <v>3</v>
      </c>
      <c r="D18" s="99">
        <v>0</v>
      </c>
      <c r="E18" s="21" t="s">
        <v>7</v>
      </c>
      <c r="F18" s="60">
        <f>D18*D218</f>
        <v>0</v>
      </c>
      <c r="G18" s="21"/>
      <c r="H18" s="21"/>
      <c r="O18" s="61" t="s">
        <v>107</v>
      </c>
      <c r="P18" s="62">
        <f>(O6*P6*Q6+O7*P7*Q7+O8*P8*Q8+O9*P9*Q9+O10*P10*Q10+O11*P11*Q11+O12*P12*Q12+O13*P13*Q13+O14*P14*Q14+O15*P15*Q15+O16*P16*Q16+O17*P17*Q17)/1000000</f>
        <v>0</v>
      </c>
    </row>
    <row r="19" spans="3:17" ht="16.2" thickTop="1" x14ac:dyDescent="0.3">
      <c r="C19" s="21" t="s">
        <v>73</v>
      </c>
      <c r="D19" s="99">
        <v>400</v>
      </c>
      <c r="E19" s="21" t="s">
        <v>143</v>
      </c>
      <c r="F19" s="60">
        <f>D18*E218</f>
        <v>0</v>
      </c>
      <c r="G19" s="21"/>
      <c r="H19" s="21"/>
    </row>
    <row r="20" spans="3:17" x14ac:dyDescent="0.3">
      <c r="C20" s="21" t="s">
        <v>83</v>
      </c>
      <c r="D20" s="99">
        <v>0</v>
      </c>
      <c r="E20" s="21" t="s">
        <v>108</v>
      </c>
      <c r="F20" s="60">
        <f>D18*F218</f>
        <v>0</v>
      </c>
      <c r="G20" s="21"/>
      <c r="H20" s="21"/>
      <c r="O20" s="150" t="s">
        <v>188</v>
      </c>
      <c r="P20" s="150"/>
      <c r="Q20" s="150"/>
    </row>
    <row r="21" spans="3:17" x14ac:dyDescent="0.3">
      <c r="C21" s="21" t="s">
        <v>29</v>
      </c>
      <c r="D21" s="99" t="s">
        <v>28</v>
      </c>
      <c r="E21" s="21" t="s">
        <v>30</v>
      </c>
      <c r="F21" s="45">
        <f>D20+D22</f>
        <v>100</v>
      </c>
      <c r="G21" s="21" t="s">
        <v>60</v>
      </c>
      <c r="H21" s="45">
        <f>L73</f>
        <v>0.22</v>
      </c>
      <c r="O21" s="59" t="s">
        <v>110</v>
      </c>
      <c r="P21" s="59" t="s">
        <v>111</v>
      </c>
      <c r="Q21" s="59" t="s">
        <v>112</v>
      </c>
    </row>
    <row r="22" spans="3:17" x14ac:dyDescent="0.3">
      <c r="C22" s="21" t="s">
        <v>31</v>
      </c>
      <c r="D22" s="99">
        <v>100</v>
      </c>
      <c r="E22" s="21"/>
      <c r="F22" s="21"/>
      <c r="G22" s="21" t="s">
        <v>72</v>
      </c>
      <c r="H22" s="54">
        <f>_xlfn.XLOOKUP(D21,X131:Z131,X132:Z132)</f>
        <v>0.33699432916810784</v>
      </c>
      <c r="O22" s="59"/>
      <c r="P22" s="59"/>
      <c r="Q22" s="59"/>
    </row>
    <row r="23" spans="3:17" x14ac:dyDescent="0.3">
      <c r="C23" s="155"/>
      <c r="D23" s="156"/>
      <c r="E23" s="156"/>
      <c r="F23" s="156"/>
      <c r="G23" s="156"/>
      <c r="H23" s="157"/>
      <c r="K23" s="108"/>
      <c r="O23" s="21">
        <v>550</v>
      </c>
      <c r="P23" s="21">
        <v>780</v>
      </c>
      <c r="Q23" s="104">
        <v>0</v>
      </c>
    </row>
    <row r="24" spans="3:17" x14ac:dyDescent="0.3">
      <c r="C24" s="19" t="s">
        <v>192</v>
      </c>
      <c r="D24" s="136"/>
      <c r="E24" s="137"/>
      <c r="F24" s="138"/>
      <c r="G24" s="136"/>
      <c r="H24" s="138"/>
      <c r="O24" s="21">
        <v>780</v>
      </c>
      <c r="P24" s="21">
        <v>1180</v>
      </c>
      <c r="Q24" s="104">
        <v>0</v>
      </c>
    </row>
    <row r="25" spans="3:17" x14ac:dyDescent="0.3">
      <c r="C25" s="21" t="s">
        <v>3</v>
      </c>
      <c r="D25" s="99">
        <v>0</v>
      </c>
      <c r="E25" s="21" t="s">
        <v>7</v>
      </c>
      <c r="F25" s="60">
        <f>D25*D226</f>
        <v>0</v>
      </c>
      <c r="G25" s="21"/>
      <c r="H25" s="21"/>
      <c r="O25" s="21">
        <v>1140</v>
      </c>
      <c r="P25" s="21">
        <v>1400</v>
      </c>
      <c r="Q25" s="104">
        <v>0</v>
      </c>
    </row>
    <row r="26" spans="3:17" ht="16.2" thickBot="1" x14ac:dyDescent="0.35">
      <c r="C26" s="21" t="s">
        <v>73</v>
      </c>
      <c r="D26" s="99">
        <v>300</v>
      </c>
      <c r="E26" s="21" t="s">
        <v>143</v>
      </c>
      <c r="F26" s="60">
        <f>D25*E226</f>
        <v>0</v>
      </c>
      <c r="G26" s="21"/>
      <c r="H26" s="21"/>
      <c r="O26" s="61" t="s">
        <v>183</v>
      </c>
      <c r="P26" s="62"/>
      <c r="Q26" s="62">
        <f>SUM(Q23:Q25)</f>
        <v>0</v>
      </c>
    </row>
    <row r="27" spans="3:17" ht="16.2" thickTop="1" x14ac:dyDescent="0.3">
      <c r="C27" s="21" t="s">
        <v>83</v>
      </c>
      <c r="D27" s="99">
        <v>0</v>
      </c>
      <c r="E27" s="21" t="s">
        <v>108</v>
      </c>
      <c r="F27" s="60">
        <f>D25*F226</f>
        <v>0</v>
      </c>
      <c r="G27" s="21"/>
      <c r="H27" s="21"/>
    </row>
    <row r="28" spans="3:17" x14ac:dyDescent="0.3">
      <c r="C28" s="21" t="s">
        <v>193</v>
      </c>
      <c r="D28" s="99" t="s">
        <v>28</v>
      </c>
      <c r="E28" s="21" t="s">
        <v>30</v>
      </c>
      <c r="F28" s="45">
        <f>D27+D29</f>
        <v>100</v>
      </c>
      <c r="G28" s="21" t="s">
        <v>60</v>
      </c>
      <c r="H28" s="45">
        <f>L80</f>
        <v>0.22</v>
      </c>
    </row>
    <row r="29" spans="3:17" x14ac:dyDescent="0.3">
      <c r="C29" s="21" t="s">
        <v>198</v>
      </c>
      <c r="D29" s="99">
        <v>100</v>
      </c>
      <c r="E29" s="21"/>
      <c r="F29" s="21"/>
      <c r="G29" s="21" t="s">
        <v>72</v>
      </c>
      <c r="H29" s="54">
        <f>_xlfn.XLOOKUP(D28,X154:Z154,X155:Z155)</f>
        <v>0.35113119283901195</v>
      </c>
    </row>
    <row r="30" spans="3:17" x14ac:dyDescent="0.3">
      <c r="C30" s="155"/>
      <c r="D30" s="156"/>
      <c r="E30" s="156"/>
      <c r="F30" s="156"/>
      <c r="G30" s="156"/>
      <c r="H30" s="157"/>
    </row>
    <row r="31" spans="3:17" x14ac:dyDescent="0.3">
      <c r="C31" s="19" t="s">
        <v>104</v>
      </c>
      <c r="D31" s="139"/>
      <c r="E31" s="139"/>
      <c r="F31" s="139"/>
      <c r="G31" s="136"/>
      <c r="H31" s="138"/>
    </row>
    <row r="32" spans="3:17" x14ac:dyDescent="0.3">
      <c r="C32" s="21" t="s">
        <v>55</v>
      </c>
      <c r="D32" s="99">
        <v>1.2</v>
      </c>
      <c r="E32" s="21" t="s">
        <v>7</v>
      </c>
      <c r="F32" s="60">
        <f>D33*O230+Q23*D242+D243*Q24+Q25*D244</f>
        <v>0</v>
      </c>
      <c r="G32" s="21"/>
      <c r="H32" s="21"/>
    </row>
    <row r="33" spans="3:13" x14ac:dyDescent="0.3">
      <c r="C33" s="21" t="s">
        <v>127</v>
      </c>
      <c r="D33" s="45">
        <f>P18</f>
        <v>0</v>
      </c>
      <c r="E33" s="21" t="s">
        <v>143</v>
      </c>
      <c r="F33" s="116">
        <f>D33*O231+Q23*E242+E243*Q24+Q25*E244</f>
        <v>0</v>
      </c>
      <c r="G33" s="21" t="s">
        <v>60</v>
      </c>
      <c r="H33" s="45">
        <f>L75</f>
        <v>1.6</v>
      </c>
    </row>
    <row r="34" spans="3:13" x14ac:dyDescent="0.3">
      <c r="C34" s="21" t="s">
        <v>182</v>
      </c>
      <c r="D34" s="45">
        <f>Q26</f>
        <v>0</v>
      </c>
      <c r="E34" s="21" t="s">
        <v>108</v>
      </c>
      <c r="F34" s="60">
        <f>D33*O232+Q23*F242+F243*Q24+Q25*F244</f>
        <v>0</v>
      </c>
      <c r="G34" s="21" t="s">
        <v>72</v>
      </c>
      <c r="H34" s="45">
        <f>D32</f>
        <v>1.2</v>
      </c>
    </row>
    <row r="35" spans="3:13" x14ac:dyDescent="0.3">
      <c r="C35" s="155"/>
      <c r="D35" s="156"/>
      <c r="E35" s="156"/>
      <c r="F35" s="156"/>
      <c r="G35" s="156"/>
      <c r="H35" s="157"/>
    </row>
    <row r="36" spans="3:13" x14ac:dyDescent="0.3">
      <c r="C36" s="19" t="s">
        <v>0</v>
      </c>
      <c r="D36" s="136"/>
      <c r="E36" s="137"/>
      <c r="F36" s="138"/>
      <c r="G36" s="136"/>
      <c r="H36" s="138"/>
    </row>
    <row r="37" spans="3:13" x14ac:dyDescent="0.3">
      <c r="C37" s="21" t="s">
        <v>55</v>
      </c>
      <c r="D37" s="99">
        <v>1.2</v>
      </c>
      <c r="E37" s="21" t="s">
        <v>7</v>
      </c>
      <c r="F37" s="60">
        <f>D38*O234+O237*D39</f>
        <v>0</v>
      </c>
      <c r="G37" s="21"/>
      <c r="H37" s="21"/>
    </row>
    <row r="38" spans="3:13" x14ac:dyDescent="0.3">
      <c r="C38" s="21" t="s">
        <v>105</v>
      </c>
      <c r="D38" s="99">
        <v>0</v>
      </c>
      <c r="E38" s="21" t="s">
        <v>143</v>
      </c>
      <c r="F38" s="60">
        <f>D38*O234+O235*D39</f>
        <v>0</v>
      </c>
      <c r="G38" s="21" t="s">
        <v>60</v>
      </c>
      <c r="H38" s="45">
        <f>L77</f>
        <v>1.6</v>
      </c>
    </row>
    <row r="39" spans="3:13" x14ac:dyDescent="0.3">
      <c r="C39" s="21" t="s">
        <v>106</v>
      </c>
      <c r="D39" s="99">
        <v>0</v>
      </c>
      <c r="E39" s="21" t="s">
        <v>108</v>
      </c>
      <c r="F39" s="60">
        <f>(D38+D39)*O239</f>
        <v>0</v>
      </c>
      <c r="G39" s="21" t="s">
        <v>72</v>
      </c>
      <c r="H39" s="45">
        <f>D37</f>
        <v>1.2</v>
      </c>
    </row>
    <row r="40" spans="3:13" x14ac:dyDescent="0.3">
      <c r="C40" s="112"/>
      <c r="D40" s="113"/>
      <c r="E40" s="113"/>
      <c r="F40" s="113"/>
      <c r="G40" s="113"/>
      <c r="H40" s="114"/>
      <c r="M40" s="108"/>
    </row>
    <row r="41" spans="3:13" x14ac:dyDescent="0.3">
      <c r="C41" s="25" t="s">
        <v>14</v>
      </c>
      <c r="D41" s="99" t="s">
        <v>15</v>
      </c>
      <c r="E41" s="21" t="s">
        <v>18</v>
      </c>
      <c r="F41" s="60">
        <f>_xlfn.XLOOKUP(D41,H60:I60,H64:I64)</f>
        <v>0</v>
      </c>
      <c r="G41" s="21"/>
      <c r="H41" s="21"/>
    </row>
    <row r="42" spans="3:13" x14ac:dyDescent="0.3">
      <c r="C42" s="112"/>
      <c r="D42" s="113"/>
      <c r="E42" s="113"/>
      <c r="F42" s="113"/>
      <c r="G42" s="113"/>
      <c r="H42" s="114"/>
    </row>
    <row r="43" spans="3:13" x14ac:dyDescent="0.3">
      <c r="C43" s="25" t="s">
        <v>186</v>
      </c>
      <c r="D43" s="99" t="s">
        <v>16</v>
      </c>
      <c r="E43" s="21" t="s">
        <v>7</v>
      </c>
      <c r="F43" s="60">
        <f>_xlfn.XLOOKUP(D43,H60:I60,H62:I62)</f>
        <v>0</v>
      </c>
      <c r="G43" s="21"/>
      <c r="H43" s="21"/>
    </row>
    <row r="44" spans="3:13" x14ac:dyDescent="0.3">
      <c r="C44" s="21" t="s">
        <v>191</v>
      </c>
      <c r="D44" s="21"/>
      <c r="E44" s="21" t="s">
        <v>143</v>
      </c>
      <c r="F44" s="60">
        <f>_xlfn.XLOOKUP(D43,H60:I60,H63:I63)</f>
        <v>0</v>
      </c>
      <c r="G44" s="21"/>
      <c r="H44" s="21"/>
    </row>
    <row r="45" spans="3:13" x14ac:dyDescent="0.3">
      <c r="C45" s="105"/>
      <c r="D45" s="106"/>
      <c r="E45" s="106"/>
      <c r="F45" s="106"/>
      <c r="G45" s="106"/>
      <c r="H45" s="107"/>
    </row>
    <row r="54" spans="2:28" x14ac:dyDescent="0.3">
      <c r="C54" s="95" t="s">
        <v>126</v>
      </c>
      <c r="D54" s="95"/>
      <c r="E54" s="64"/>
      <c r="F54" s="64"/>
      <c r="G54" s="64"/>
      <c r="H54" s="64"/>
      <c r="I54" s="64"/>
      <c r="J54" s="64"/>
    </row>
    <row r="55" spans="2:28" x14ac:dyDescent="0.3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2:28" x14ac:dyDescent="0.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2:28" x14ac:dyDescent="0.3">
      <c r="B57" s="64"/>
      <c r="C57" s="65" t="s">
        <v>115</v>
      </c>
      <c r="D57" s="65" t="s">
        <v>28</v>
      </c>
      <c r="E57" s="65" t="s">
        <v>23</v>
      </c>
      <c r="F57" s="65" t="s">
        <v>116</v>
      </c>
      <c r="G57" s="65"/>
      <c r="H57" s="65" t="s">
        <v>114</v>
      </c>
      <c r="I57" s="65"/>
      <c r="J57" s="65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2:28" x14ac:dyDescent="0.3">
      <c r="B58" s="64"/>
      <c r="C58" s="66" t="s">
        <v>84</v>
      </c>
      <c r="D58" s="66">
        <f>G191</f>
        <v>1.2318739177489177</v>
      </c>
      <c r="E58" s="66">
        <v>6.931</v>
      </c>
      <c r="F58" s="66">
        <v>26.67</v>
      </c>
      <c r="G58" s="66"/>
      <c r="H58" s="66" t="s">
        <v>4</v>
      </c>
      <c r="I58" s="66" t="s">
        <v>5</v>
      </c>
      <c r="J58" s="66" t="s">
        <v>6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2:28" x14ac:dyDescent="0.3">
      <c r="B59" s="64"/>
      <c r="C59" s="66" t="s">
        <v>138</v>
      </c>
      <c r="D59" s="66">
        <v>1</v>
      </c>
      <c r="E59" s="66">
        <v>0.6</v>
      </c>
      <c r="F59" s="66">
        <v>0.2</v>
      </c>
      <c r="G59" s="66"/>
      <c r="H59" s="66">
        <v>150000</v>
      </c>
      <c r="I59" s="66">
        <v>125000</v>
      </c>
      <c r="J59" s="66">
        <v>100000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2:28" x14ac:dyDescent="0.3">
      <c r="B60" s="64"/>
      <c r="C60" s="66" t="s">
        <v>139</v>
      </c>
      <c r="D60" s="66">
        <v>1</v>
      </c>
      <c r="E60" s="66">
        <v>0.6</v>
      </c>
      <c r="F60" s="66">
        <v>0.2</v>
      </c>
      <c r="G60" s="66"/>
      <c r="H60" s="66" t="s">
        <v>15</v>
      </c>
      <c r="I60" s="66" t="s">
        <v>16</v>
      </c>
      <c r="J60" s="109">
        <v>0.25</v>
      </c>
      <c r="K60" s="64" t="s">
        <v>15</v>
      </c>
      <c r="L60" s="64" t="s">
        <v>16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2:28" x14ac:dyDescent="0.3">
      <c r="B61" s="64"/>
      <c r="C61" s="66" t="s">
        <v>137</v>
      </c>
      <c r="D61" s="66">
        <v>3.4000000000000002E-2</v>
      </c>
      <c r="E61" s="66">
        <v>1.7000000000000001E-2</v>
      </c>
      <c r="F61" s="66">
        <v>7.0000000000000001E-3</v>
      </c>
      <c r="G61" s="66"/>
      <c r="H61" s="66">
        <f>_xlfn.XLOOKUP(C4,H58:J58,H59:J59)</f>
        <v>100000</v>
      </c>
      <c r="I61" s="66">
        <v>0</v>
      </c>
      <c r="J61" s="110">
        <f>0.25*K6</f>
        <v>0</v>
      </c>
      <c r="K61" s="64" t="s">
        <v>163</v>
      </c>
      <c r="L61" s="64" t="s">
        <v>12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2:28" x14ac:dyDescent="0.3">
      <c r="B62" s="64"/>
      <c r="C62" s="101" t="s">
        <v>187</v>
      </c>
      <c r="D62" s="20"/>
      <c r="E62" s="20"/>
      <c r="F62" s="20"/>
      <c r="G62" s="101" t="s">
        <v>7</v>
      </c>
      <c r="H62" s="102">
        <v>17785</v>
      </c>
      <c r="I62" s="102">
        <v>0</v>
      </c>
      <c r="J62" s="20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2:28" x14ac:dyDescent="0.3">
      <c r="B63" s="64"/>
      <c r="C63" s="21"/>
      <c r="D63" s="21"/>
      <c r="E63" s="21"/>
      <c r="F63" s="21"/>
      <c r="G63" s="66" t="s">
        <v>189</v>
      </c>
      <c r="H63" s="63">
        <v>25887</v>
      </c>
      <c r="I63" s="63">
        <v>0</v>
      </c>
      <c r="J63" s="21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2:28" x14ac:dyDescent="0.3">
      <c r="B64" s="64"/>
      <c r="C64" s="64"/>
      <c r="D64" s="64"/>
      <c r="E64" s="64"/>
      <c r="F64" s="64"/>
      <c r="G64" s="64"/>
      <c r="H64" s="66">
        <f>IF(H61&gt;J61,J61,H61)</f>
        <v>0</v>
      </c>
      <c r="I64" s="66">
        <v>0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2:28" x14ac:dyDescent="0.3">
      <c r="B65" s="64"/>
      <c r="C65" s="65" t="s">
        <v>2</v>
      </c>
      <c r="D65" s="65" t="s">
        <v>4</v>
      </c>
      <c r="E65" s="65" t="s">
        <v>5</v>
      </c>
      <c r="F65" s="65" t="s">
        <v>6</v>
      </c>
      <c r="G65" s="65"/>
      <c r="H65" s="65" t="s">
        <v>118</v>
      </c>
      <c r="I65" s="65" t="s">
        <v>119</v>
      </c>
      <c r="J65" s="65" t="s">
        <v>120</v>
      </c>
      <c r="K65" s="67" t="s">
        <v>117</v>
      </c>
      <c r="L65" s="68" t="s">
        <v>125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2:28" x14ac:dyDescent="0.3">
      <c r="B66" s="64"/>
      <c r="C66" s="66" t="s">
        <v>121</v>
      </c>
      <c r="D66" s="66">
        <v>450</v>
      </c>
      <c r="E66" s="66">
        <v>350</v>
      </c>
      <c r="F66" s="66">
        <v>200</v>
      </c>
      <c r="G66" s="66"/>
      <c r="H66" s="66">
        <f>_xlfn.XLOOKUP(C4,D65:F65,D66:F66)</f>
        <v>200</v>
      </c>
      <c r="I66" s="66">
        <f>H66-J66</f>
        <v>200</v>
      </c>
      <c r="J66" s="66">
        <f>D7</f>
        <v>0</v>
      </c>
      <c r="K66" s="69">
        <f>_xlfn.XLOOKUP(D8,D57:F57,D59:F59)</f>
        <v>1</v>
      </c>
      <c r="L66" s="70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2:28" x14ac:dyDescent="0.3">
      <c r="B67" s="64"/>
      <c r="C67" s="66" t="s">
        <v>124</v>
      </c>
      <c r="D67" s="66">
        <v>0.09</v>
      </c>
      <c r="E67" s="66">
        <v>0.12</v>
      </c>
      <c r="F67" s="66">
        <v>0.18</v>
      </c>
      <c r="G67" s="66"/>
      <c r="H67" s="66"/>
      <c r="I67" s="66"/>
      <c r="J67" s="66"/>
      <c r="K67" s="69"/>
      <c r="L67" s="70">
        <f>_xlfn.XLOOKUP(C4,D65:F65,D67:F67)</f>
        <v>0.18</v>
      </c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x14ac:dyDescent="0.3">
      <c r="B68" s="64"/>
      <c r="C68" s="65" t="s">
        <v>32</v>
      </c>
      <c r="D68" s="65"/>
      <c r="E68" s="65"/>
      <c r="F68" s="65"/>
      <c r="G68" s="65"/>
      <c r="H68" s="65"/>
      <c r="I68" s="65"/>
      <c r="J68" s="65"/>
      <c r="K68" s="67"/>
      <c r="L68" s="68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x14ac:dyDescent="0.3">
      <c r="B69" s="64"/>
      <c r="C69" s="66" t="s">
        <v>121</v>
      </c>
      <c r="D69" s="66">
        <v>350</v>
      </c>
      <c r="E69" s="66">
        <v>250</v>
      </c>
      <c r="F69" s="66">
        <v>200</v>
      </c>
      <c r="G69" s="66"/>
      <c r="H69" s="66">
        <f>_xlfn.XLOOKUP(C4,D65:F65,D69:F69)</f>
        <v>200</v>
      </c>
      <c r="I69" s="66">
        <f>H69-J69</f>
        <v>200</v>
      </c>
      <c r="J69" s="66">
        <f>D13</f>
        <v>0</v>
      </c>
      <c r="K69" s="69">
        <f>_xlfn.XLOOKUP(D14,D57:F57,D59:F59)</f>
        <v>1</v>
      </c>
      <c r="L69" s="70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2:28" x14ac:dyDescent="0.3">
      <c r="B70" s="64"/>
      <c r="C70" s="66" t="s">
        <v>124</v>
      </c>
      <c r="D70" s="66">
        <v>0.11</v>
      </c>
      <c r="E70" s="66">
        <v>0.16</v>
      </c>
      <c r="F70" s="66">
        <v>0.22</v>
      </c>
      <c r="G70" s="66"/>
      <c r="H70" s="66"/>
      <c r="I70" s="66"/>
      <c r="J70" s="66"/>
      <c r="K70" s="69"/>
      <c r="L70" s="70">
        <f>_xlfn.XLOOKUP(C4,D65:F65,D70:F70)</f>
        <v>0.22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2:28" x14ac:dyDescent="0.3">
      <c r="B71" s="64"/>
      <c r="C71" s="65" t="s">
        <v>33</v>
      </c>
      <c r="D71" s="65"/>
      <c r="E71" s="65"/>
      <c r="F71" s="65"/>
      <c r="G71" s="65"/>
      <c r="H71" s="65"/>
      <c r="I71" s="65"/>
      <c r="J71" s="65"/>
      <c r="K71" s="67"/>
      <c r="L71" s="68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2:28" x14ac:dyDescent="0.3">
      <c r="B72" s="64"/>
      <c r="C72" s="66" t="s">
        <v>121</v>
      </c>
      <c r="D72" s="71">
        <v>350</v>
      </c>
      <c r="E72" s="71">
        <v>250</v>
      </c>
      <c r="F72" s="71">
        <v>200</v>
      </c>
      <c r="G72" s="71"/>
      <c r="H72" s="71">
        <f>_xlfn.XLOOKUP(C4,D65:F65,D72:F72)</f>
        <v>200</v>
      </c>
      <c r="I72" s="71">
        <f>H72-J72</f>
        <v>200</v>
      </c>
      <c r="J72" s="71">
        <f>D20</f>
        <v>0</v>
      </c>
      <c r="K72" s="72">
        <f>_xlfn.XLOOKUP(D21,D57:F57,D60:F60)</f>
        <v>1</v>
      </c>
      <c r="L72" s="70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2:28" x14ac:dyDescent="0.3">
      <c r="B73" s="64"/>
      <c r="C73" s="72" t="s">
        <v>124</v>
      </c>
      <c r="D73" s="73">
        <v>0.11</v>
      </c>
      <c r="E73" s="73">
        <v>0.16</v>
      </c>
      <c r="F73" s="73">
        <v>0.22</v>
      </c>
      <c r="G73" s="73"/>
      <c r="H73" s="73"/>
      <c r="I73" s="73"/>
      <c r="J73" s="73"/>
      <c r="K73" s="74"/>
      <c r="L73" s="73">
        <f>_xlfn.XLOOKUP(C4,D65:F65,D73:F73)</f>
        <v>0.22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2:28" x14ac:dyDescent="0.3">
      <c r="B74" s="64"/>
      <c r="C74" s="68" t="s">
        <v>1</v>
      </c>
      <c r="D74" s="68"/>
      <c r="E74" s="68"/>
      <c r="F74" s="68"/>
      <c r="G74" s="68"/>
      <c r="H74" s="68"/>
      <c r="I74" s="68"/>
      <c r="J74" s="68"/>
      <c r="K74" s="68"/>
      <c r="L74" s="68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2:28" x14ac:dyDescent="0.3">
      <c r="B75" s="64"/>
      <c r="C75" s="72" t="s">
        <v>124</v>
      </c>
      <c r="D75" s="73">
        <v>0.8</v>
      </c>
      <c r="E75" s="73">
        <v>1.2</v>
      </c>
      <c r="F75" s="73">
        <v>1.6</v>
      </c>
      <c r="G75" s="73"/>
      <c r="H75" s="73"/>
      <c r="I75" s="73"/>
      <c r="J75" s="73"/>
      <c r="K75" s="73"/>
      <c r="L75" s="73">
        <f>_xlfn.XLOOKUP(C4,D65:F65,D75:F75)</f>
        <v>1.6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2:28" x14ac:dyDescent="0.3">
      <c r="B76" s="64"/>
      <c r="C76" s="68" t="s">
        <v>0</v>
      </c>
      <c r="D76" s="68"/>
      <c r="E76" s="68"/>
      <c r="F76" s="68"/>
      <c r="G76" s="68"/>
      <c r="H76" s="68"/>
      <c r="I76" s="68"/>
      <c r="J76" s="68"/>
      <c r="K76" s="68"/>
      <c r="L76" s="68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2:28" x14ac:dyDescent="0.3">
      <c r="B77" s="64"/>
      <c r="C77" s="73" t="s">
        <v>124</v>
      </c>
      <c r="D77" s="73">
        <v>0.8</v>
      </c>
      <c r="E77" s="73">
        <v>1.2</v>
      </c>
      <c r="F77" s="73">
        <v>1.6</v>
      </c>
      <c r="G77" s="73"/>
      <c r="H77" s="73"/>
      <c r="I77" s="73"/>
      <c r="J77" s="73"/>
      <c r="K77" s="73"/>
      <c r="L77" s="73">
        <f>_xlfn.XLOOKUP(C4,D65:F65,D77:F77)</f>
        <v>1.6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2:28" x14ac:dyDescent="0.3">
      <c r="B78" s="64"/>
      <c r="C78" s="101" t="s">
        <v>197</v>
      </c>
      <c r="D78" s="101"/>
      <c r="E78" s="101"/>
      <c r="F78" s="101"/>
      <c r="G78" s="101"/>
      <c r="H78" s="101"/>
      <c r="I78" s="101"/>
      <c r="J78" s="101"/>
      <c r="K78" s="101"/>
      <c r="L78" s="101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2:28" x14ac:dyDescent="0.3">
      <c r="B79" s="64"/>
      <c r="C79" s="66" t="s">
        <v>121</v>
      </c>
      <c r="D79" s="71">
        <v>350</v>
      </c>
      <c r="E79" s="71">
        <v>250</v>
      </c>
      <c r="F79" s="71">
        <v>200</v>
      </c>
      <c r="G79" s="66"/>
      <c r="H79" s="66"/>
      <c r="I79" s="66"/>
      <c r="J79" s="66"/>
      <c r="K79" s="66">
        <f>_xlfn.XLOOKUP(D28,D57:F57,D59:F59)</f>
        <v>1</v>
      </c>
      <c r="L79" s="66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2:28" x14ac:dyDescent="0.3">
      <c r="B80" s="64"/>
      <c r="C80" s="66" t="s">
        <v>124</v>
      </c>
      <c r="D80" s="66">
        <v>0.11</v>
      </c>
      <c r="E80" s="66">
        <v>0.16</v>
      </c>
      <c r="F80" s="66">
        <v>0.22</v>
      </c>
      <c r="G80" s="66"/>
      <c r="H80" s="66"/>
      <c r="I80" s="66"/>
      <c r="J80" s="66"/>
      <c r="K80" s="66"/>
      <c r="L80" s="66">
        <f>_xlfn.XLOOKUP(C4,D65:F65,D80:F80)</f>
        <v>0.22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2:28" x14ac:dyDescent="0.3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2:28" x14ac:dyDescent="0.3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2:28" x14ac:dyDescent="0.3">
      <c r="B83" s="64"/>
      <c r="C83" s="142" t="s">
        <v>122</v>
      </c>
      <c r="D83" s="142"/>
      <c r="E83" s="142"/>
      <c r="F83" s="64"/>
      <c r="G83" s="64"/>
      <c r="H83" s="64"/>
      <c r="I83" s="64"/>
      <c r="J83" s="142" t="s">
        <v>123</v>
      </c>
      <c r="K83" s="142"/>
      <c r="L83" s="142"/>
      <c r="M83" s="64"/>
      <c r="N83" s="64"/>
      <c r="O83" s="64"/>
      <c r="P83" s="64"/>
      <c r="Q83" s="142" t="s">
        <v>128</v>
      </c>
      <c r="R83" s="142"/>
      <c r="S83" s="142"/>
      <c r="T83" s="64"/>
      <c r="U83" s="64"/>
      <c r="V83" s="64"/>
      <c r="W83" s="64"/>
      <c r="X83" s="64"/>
      <c r="Y83" s="64"/>
      <c r="Z83" s="64"/>
      <c r="AA83" s="64"/>
      <c r="AB83" s="64"/>
    </row>
    <row r="84" spans="2:28" x14ac:dyDescent="0.3">
      <c r="B84" s="64"/>
      <c r="C84" s="143" t="s">
        <v>38</v>
      </c>
      <c r="D84" s="144"/>
      <c r="E84" s="145"/>
      <c r="F84" s="78">
        <v>0.91</v>
      </c>
      <c r="G84" s="67" t="s">
        <v>39</v>
      </c>
      <c r="H84" s="79">
        <v>0.09</v>
      </c>
      <c r="I84" s="64"/>
      <c r="J84" s="143" t="s">
        <v>38</v>
      </c>
      <c r="K84" s="144"/>
      <c r="L84" s="145"/>
      <c r="M84" s="78">
        <v>0.91</v>
      </c>
      <c r="N84" s="67" t="s">
        <v>39</v>
      </c>
      <c r="O84" s="79">
        <v>0.09</v>
      </c>
      <c r="P84" s="64"/>
      <c r="Q84" s="143" t="s">
        <v>38</v>
      </c>
      <c r="R84" s="144"/>
      <c r="S84" s="145"/>
      <c r="T84" s="78">
        <v>0.91</v>
      </c>
      <c r="U84" s="67" t="s">
        <v>39</v>
      </c>
      <c r="V84" s="80">
        <v>0.09</v>
      </c>
      <c r="W84" s="70"/>
      <c r="X84" s="70" t="s">
        <v>28</v>
      </c>
      <c r="Y84" s="70" t="s">
        <v>116</v>
      </c>
      <c r="Z84" s="70" t="s">
        <v>23</v>
      </c>
      <c r="AA84" s="64"/>
      <c r="AB84" s="64"/>
    </row>
    <row r="85" spans="2:28" x14ac:dyDescent="0.3">
      <c r="B85" s="64"/>
      <c r="C85" s="65" t="s">
        <v>40</v>
      </c>
      <c r="D85" s="66" t="s">
        <v>41</v>
      </c>
      <c r="E85" s="81" t="s">
        <v>42</v>
      </c>
      <c r="F85" s="66" t="s">
        <v>43</v>
      </c>
      <c r="G85" s="66" t="s">
        <v>42</v>
      </c>
      <c r="H85" s="66" t="s">
        <v>43</v>
      </c>
      <c r="I85" s="64"/>
      <c r="J85" s="65" t="s">
        <v>40</v>
      </c>
      <c r="K85" s="66" t="s">
        <v>41</v>
      </c>
      <c r="L85" s="81" t="s">
        <v>42</v>
      </c>
      <c r="M85" s="66" t="s">
        <v>43</v>
      </c>
      <c r="N85" s="66" t="s">
        <v>42</v>
      </c>
      <c r="O85" s="66" t="s">
        <v>43</v>
      </c>
      <c r="P85" s="64"/>
      <c r="Q85" s="65" t="s">
        <v>40</v>
      </c>
      <c r="R85" s="66" t="s">
        <v>41</v>
      </c>
      <c r="S85" s="81" t="s">
        <v>42</v>
      </c>
      <c r="T85" s="66" t="s">
        <v>43</v>
      </c>
      <c r="U85" s="66" t="s">
        <v>42</v>
      </c>
      <c r="V85" s="69" t="s">
        <v>43</v>
      </c>
      <c r="W85" s="70" t="s">
        <v>132</v>
      </c>
      <c r="X85" s="82">
        <f>K104</f>
        <v>0.30044913224088199</v>
      </c>
      <c r="Y85" s="82">
        <f>R98</f>
        <v>0.25498568957864615</v>
      </c>
      <c r="Z85" s="82">
        <f>K104</f>
        <v>0.30044913224088199</v>
      </c>
      <c r="AA85" s="64"/>
      <c r="AB85" s="64"/>
    </row>
    <row r="86" spans="2:28" x14ac:dyDescent="0.3">
      <c r="B86" s="64"/>
      <c r="C86" s="65" t="s">
        <v>44</v>
      </c>
      <c r="D86" s="66"/>
      <c r="E86" s="66"/>
      <c r="F86" s="83">
        <v>0.13</v>
      </c>
      <c r="G86" s="66"/>
      <c r="H86" s="83">
        <v>0.13</v>
      </c>
      <c r="I86" s="64"/>
      <c r="J86" s="65" t="s">
        <v>44</v>
      </c>
      <c r="K86" s="66"/>
      <c r="L86" s="66"/>
      <c r="M86" s="83">
        <v>0.13</v>
      </c>
      <c r="N86" s="66"/>
      <c r="O86" s="83">
        <v>0.13</v>
      </c>
      <c r="P86" s="64"/>
      <c r="Q86" s="65" t="s">
        <v>44</v>
      </c>
      <c r="R86" s="66"/>
      <c r="S86" s="66"/>
      <c r="T86" s="83">
        <v>0.13</v>
      </c>
      <c r="U86" s="66"/>
      <c r="V86" s="83">
        <v>0.13</v>
      </c>
      <c r="W86" s="64"/>
      <c r="X86" s="64"/>
      <c r="Y86" s="64"/>
      <c r="Z86" s="64"/>
      <c r="AA86" s="64"/>
      <c r="AB86" s="64"/>
    </row>
    <row r="87" spans="2:28" x14ac:dyDescent="0.3">
      <c r="B87" s="64"/>
      <c r="C87" s="65" t="s">
        <v>57</v>
      </c>
      <c r="D87" s="84">
        <v>1.2999999999999999E-2</v>
      </c>
      <c r="E87" s="83">
        <v>0.1</v>
      </c>
      <c r="F87" s="83">
        <f>D87/E87</f>
        <v>0.12999999999999998</v>
      </c>
      <c r="G87" s="66"/>
      <c r="H87" s="83">
        <f>F87</f>
        <v>0.12999999999999998</v>
      </c>
      <c r="I87" s="64"/>
      <c r="J87" s="65" t="s">
        <v>57</v>
      </c>
      <c r="K87" s="84">
        <v>1.2999999999999999E-2</v>
      </c>
      <c r="L87" s="83">
        <v>0.1</v>
      </c>
      <c r="M87" s="83">
        <f>K87/L87</f>
        <v>0.12999999999999998</v>
      </c>
      <c r="N87" s="66"/>
      <c r="O87" s="83">
        <f>M87</f>
        <v>0.12999999999999998</v>
      </c>
      <c r="P87" s="64"/>
      <c r="Q87" s="65" t="s">
        <v>57</v>
      </c>
      <c r="R87" s="84">
        <v>1.2999999999999999E-2</v>
      </c>
      <c r="S87" s="83">
        <v>0.1</v>
      </c>
      <c r="T87" s="83">
        <f>R87/S87</f>
        <v>0.12999999999999998</v>
      </c>
      <c r="U87" s="66"/>
      <c r="V87" s="83">
        <f>T87</f>
        <v>0.12999999999999998</v>
      </c>
      <c r="W87" s="64"/>
      <c r="X87" s="64"/>
      <c r="Y87" s="64"/>
      <c r="Z87" s="64"/>
      <c r="AA87" s="64"/>
      <c r="AB87" s="64"/>
    </row>
    <row r="88" spans="2:28" x14ac:dyDescent="0.3">
      <c r="B88" s="64"/>
      <c r="C88" s="65" t="s">
        <v>46</v>
      </c>
      <c r="D88" s="66"/>
      <c r="E88" s="66"/>
      <c r="F88" s="83">
        <v>0.03</v>
      </c>
      <c r="G88" s="66"/>
      <c r="H88" s="83">
        <v>0.03</v>
      </c>
      <c r="I88" s="64"/>
      <c r="J88" s="65" t="s">
        <v>46</v>
      </c>
      <c r="K88" s="66"/>
      <c r="L88" s="66"/>
      <c r="M88" s="83">
        <v>0.03</v>
      </c>
      <c r="N88" s="66"/>
      <c r="O88" s="83">
        <v>0.03</v>
      </c>
      <c r="P88" s="64"/>
      <c r="Q88" s="65" t="s">
        <v>46</v>
      </c>
      <c r="R88" s="66"/>
      <c r="S88" s="66"/>
      <c r="T88" s="83">
        <v>0.03</v>
      </c>
      <c r="U88" s="66"/>
      <c r="V88" s="83">
        <v>0.03</v>
      </c>
      <c r="W88" s="64"/>
      <c r="X88" s="64"/>
      <c r="Y88" s="64"/>
      <c r="Z88" s="64"/>
      <c r="AA88" s="64"/>
      <c r="AB88" s="64"/>
    </row>
    <row r="89" spans="2:28" x14ac:dyDescent="0.3">
      <c r="B89" s="64"/>
      <c r="C89" s="65" t="s">
        <v>47</v>
      </c>
      <c r="D89" s="83">
        <f>D7/1000</f>
        <v>0</v>
      </c>
      <c r="E89" s="83">
        <f>_xlfn.XLOOKUP(D8,D57:F57,D61:F61)</f>
        <v>3.4000000000000002E-2</v>
      </c>
      <c r="F89" s="83">
        <f>D89/E89</f>
        <v>0</v>
      </c>
      <c r="G89" s="83">
        <v>0.13</v>
      </c>
      <c r="H89" s="83">
        <f>D89/G89</f>
        <v>0</v>
      </c>
      <c r="I89" s="64"/>
      <c r="J89" s="65" t="s">
        <v>65</v>
      </c>
      <c r="K89" s="83">
        <f>D89</f>
        <v>0</v>
      </c>
      <c r="L89" s="83">
        <f>E89</f>
        <v>3.4000000000000002E-2</v>
      </c>
      <c r="M89" s="83">
        <f>K89/L89</f>
        <v>0</v>
      </c>
      <c r="N89" s="83">
        <v>0.13</v>
      </c>
      <c r="O89" s="83">
        <f>K89/N89</f>
        <v>0</v>
      </c>
      <c r="P89" s="64"/>
      <c r="Q89" s="65" t="s">
        <v>65</v>
      </c>
      <c r="R89" s="83">
        <f>K89</f>
        <v>0</v>
      </c>
      <c r="S89" s="83">
        <f>L89</f>
        <v>3.4000000000000002E-2</v>
      </c>
      <c r="T89" s="83">
        <f>R89/S89</f>
        <v>0</v>
      </c>
      <c r="U89" s="83">
        <v>0.13</v>
      </c>
      <c r="V89" s="83">
        <f>R89/U89</f>
        <v>0</v>
      </c>
      <c r="W89" s="64"/>
      <c r="X89" s="64"/>
      <c r="Y89" s="64"/>
      <c r="Z89" s="64"/>
      <c r="AA89" s="64"/>
      <c r="AB89" s="64"/>
    </row>
    <row r="90" spans="2:28" x14ac:dyDescent="0.3">
      <c r="B90" s="64"/>
      <c r="C90" s="65"/>
      <c r="D90" s="83"/>
      <c r="E90" s="83"/>
      <c r="F90" s="83"/>
      <c r="G90" s="83"/>
      <c r="H90" s="83"/>
      <c r="I90" s="64"/>
      <c r="J90" s="65" t="s">
        <v>48</v>
      </c>
      <c r="K90" s="83">
        <v>1.2E-2</v>
      </c>
      <c r="L90" s="83">
        <v>4.9000000000000002E-2</v>
      </c>
      <c r="M90" s="83">
        <f>K90/L90</f>
        <v>0.24489795918367346</v>
      </c>
      <c r="N90" s="83"/>
      <c r="O90" s="83">
        <f>M90</f>
        <v>0.24489795918367346</v>
      </c>
      <c r="P90" s="64"/>
      <c r="Q90" s="65" t="s">
        <v>48</v>
      </c>
      <c r="R90" s="83">
        <v>1.2E-2</v>
      </c>
      <c r="S90" s="83">
        <v>4.9000000000000002E-2</v>
      </c>
      <c r="T90" s="83">
        <f>R90/S90</f>
        <v>0.24489795918367346</v>
      </c>
      <c r="U90" s="83"/>
      <c r="V90" s="83">
        <f>T90</f>
        <v>0.24489795918367346</v>
      </c>
      <c r="W90" s="64"/>
      <c r="X90" s="64"/>
      <c r="Y90" s="64"/>
      <c r="Z90" s="64"/>
      <c r="AA90" s="64"/>
      <c r="AB90" s="64"/>
    </row>
    <row r="91" spans="2:28" x14ac:dyDescent="0.3">
      <c r="B91" s="64"/>
      <c r="C91" s="65" t="s">
        <v>59</v>
      </c>
      <c r="D91" s="83">
        <v>1.4999999999999999E-2</v>
      </c>
      <c r="E91" s="83">
        <v>0.1</v>
      </c>
      <c r="F91" s="83">
        <f>D91/E91</f>
        <v>0.15</v>
      </c>
      <c r="G91" s="83"/>
      <c r="H91" s="83">
        <f>F91</f>
        <v>0.15</v>
      </c>
      <c r="I91" s="64"/>
      <c r="J91" s="65" t="s">
        <v>59</v>
      </c>
      <c r="K91" s="83">
        <v>1.4999999999999999E-2</v>
      </c>
      <c r="L91" s="83">
        <v>0.1</v>
      </c>
      <c r="M91" s="83">
        <f>K91/L91</f>
        <v>0.15</v>
      </c>
      <c r="N91" s="83"/>
      <c r="O91" s="83">
        <f>M91</f>
        <v>0.15</v>
      </c>
      <c r="P91" s="64"/>
      <c r="Q91" s="65" t="s">
        <v>59</v>
      </c>
      <c r="R91" s="83">
        <v>1.4999999999999999E-2</v>
      </c>
      <c r="S91" s="83">
        <v>0.1</v>
      </c>
      <c r="T91" s="83">
        <f>R91/S91</f>
        <v>0.15</v>
      </c>
      <c r="U91" s="83"/>
      <c r="V91" s="83">
        <f>T91</f>
        <v>0.15</v>
      </c>
      <c r="W91" s="64"/>
      <c r="X91" s="64"/>
      <c r="Y91" s="64"/>
      <c r="Z91" s="64"/>
      <c r="AA91" s="64"/>
      <c r="AB91" s="64"/>
    </row>
    <row r="92" spans="2:28" x14ac:dyDescent="0.3">
      <c r="B92" s="64"/>
      <c r="C92" s="65" t="s">
        <v>48</v>
      </c>
      <c r="D92" s="66">
        <v>1.2E-2</v>
      </c>
      <c r="E92" s="83">
        <v>4.9000000000000002E-2</v>
      </c>
      <c r="F92" s="83">
        <f>D92/E92</f>
        <v>0.24489795918367346</v>
      </c>
      <c r="G92" s="66"/>
      <c r="H92" s="83">
        <f>F92</f>
        <v>0.24489795918367346</v>
      </c>
      <c r="I92" s="64"/>
      <c r="J92" s="65" t="s">
        <v>94</v>
      </c>
      <c r="K92" s="66"/>
      <c r="L92" s="83"/>
      <c r="M92" s="83">
        <v>0.03</v>
      </c>
      <c r="N92" s="66"/>
      <c r="O92" s="83">
        <v>0.17</v>
      </c>
      <c r="P92" s="64"/>
      <c r="Q92" s="65" t="s">
        <v>94</v>
      </c>
      <c r="R92" s="66"/>
      <c r="S92" s="83"/>
      <c r="T92" s="83">
        <v>0.03</v>
      </c>
      <c r="U92" s="66"/>
      <c r="V92" s="83">
        <f>T92</f>
        <v>0.03</v>
      </c>
      <c r="W92" s="64"/>
      <c r="X92" s="64"/>
      <c r="Y92" s="64"/>
      <c r="Z92" s="64"/>
      <c r="AA92" s="64"/>
      <c r="AB92" s="64"/>
    </row>
    <row r="93" spans="2:28" x14ac:dyDescent="0.3">
      <c r="B93" s="64"/>
      <c r="C93" s="65" t="s">
        <v>58</v>
      </c>
      <c r="D93" s="66">
        <v>1.9E-2</v>
      </c>
      <c r="E93" s="83">
        <v>0.14000000000000001</v>
      </c>
      <c r="F93" s="83">
        <f>D93/E93</f>
        <v>0.1357142857142857</v>
      </c>
      <c r="G93" s="66"/>
      <c r="H93" s="83">
        <f>F93</f>
        <v>0.1357142857142857</v>
      </c>
      <c r="I93" s="64"/>
      <c r="J93" s="65" t="s">
        <v>66</v>
      </c>
      <c r="K93" s="66">
        <f>D9/1000</f>
        <v>0.1</v>
      </c>
      <c r="L93" s="66">
        <f>_xlfn.XLOOKUP(D8,D57:F57,D61:F61)</f>
        <v>3.4000000000000002E-2</v>
      </c>
      <c r="M93" s="83">
        <f>K93/L93</f>
        <v>2.9411764705882351</v>
      </c>
      <c r="N93" s="83">
        <f>N89</f>
        <v>0.13</v>
      </c>
      <c r="O93" s="83">
        <f>K93/N93</f>
        <v>0.76923076923076927</v>
      </c>
      <c r="P93" s="64"/>
      <c r="Q93" s="65" t="s">
        <v>66</v>
      </c>
      <c r="R93" s="66">
        <f>K93</f>
        <v>0.1</v>
      </c>
      <c r="S93" s="66">
        <f>L93</f>
        <v>3.4000000000000002E-2</v>
      </c>
      <c r="T93" s="83">
        <f>R93/S93</f>
        <v>2.9411764705882351</v>
      </c>
      <c r="U93" s="83">
        <f>U89</f>
        <v>0.13</v>
      </c>
      <c r="V93" s="83">
        <f>R93/U93</f>
        <v>0.76923076923076927</v>
      </c>
      <c r="W93" s="64"/>
      <c r="X93" s="64"/>
      <c r="Y93" s="64"/>
      <c r="Z93" s="64"/>
      <c r="AA93" s="64"/>
      <c r="AB93" s="64"/>
    </row>
    <row r="94" spans="2:28" x14ac:dyDescent="0.3">
      <c r="B94" s="64"/>
      <c r="C94" s="65" t="s">
        <v>102</v>
      </c>
      <c r="D94" s="66"/>
      <c r="E94" s="83"/>
      <c r="F94" s="83">
        <v>0.13</v>
      </c>
      <c r="G94" s="66"/>
      <c r="H94" s="83">
        <v>0.13</v>
      </c>
      <c r="I94" s="64"/>
      <c r="J94" s="65" t="s">
        <v>102</v>
      </c>
      <c r="K94" s="66"/>
      <c r="L94" s="66"/>
      <c r="M94" s="83">
        <v>0.13</v>
      </c>
      <c r="N94" s="83"/>
      <c r="O94" s="83">
        <v>0.13</v>
      </c>
      <c r="P94" s="64"/>
      <c r="Q94" s="65" t="s">
        <v>102</v>
      </c>
      <c r="R94" s="66"/>
      <c r="S94" s="66"/>
      <c r="T94" s="83">
        <v>0.13</v>
      </c>
      <c r="U94" s="83"/>
      <c r="V94" s="83">
        <v>0.13</v>
      </c>
      <c r="W94" s="64"/>
      <c r="X94" s="64"/>
      <c r="Y94" s="64"/>
      <c r="Z94" s="64"/>
      <c r="AA94" s="64"/>
      <c r="AB94" s="64"/>
    </row>
    <row r="95" spans="2:28" x14ac:dyDescent="0.3">
      <c r="B95" s="64"/>
      <c r="C95" s="65" t="s">
        <v>185</v>
      </c>
      <c r="D95" s="66"/>
      <c r="E95" s="66"/>
      <c r="F95" s="83">
        <f>SUM(F86:F94)</f>
        <v>0.95061224489795915</v>
      </c>
      <c r="G95" s="66"/>
      <c r="H95" s="83">
        <f>SUM(H86:H94)</f>
        <v>0.95061224489795915</v>
      </c>
      <c r="I95" s="64"/>
      <c r="J95" s="65" t="s">
        <v>58</v>
      </c>
      <c r="K95" s="66">
        <v>1.9E-2</v>
      </c>
      <c r="L95" s="83">
        <v>0.14000000000000001</v>
      </c>
      <c r="M95" s="83">
        <f>K95/L95</f>
        <v>0.1357142857142857</v>
      </c>
      <c r="N95" s="66"/>
      <c r="O95" s="83">
        <f>M95</f>
        <v>0.1357142857142857</v>
      </c>
      <c r="P95" s="64"/>
      <c r="Q95" s="65" t="s">
        <v>58</v>
      </c>
      <c r="R95" s="66">
        <v>1.9E-2</v>
      </c>
      <c r="S95" s="83">
        <v>0.14000000000000001</v>
      </c>
      <c r="T95" s="83">
        <f>R95/S95</f>
        <v>0.1357142857142857</v>
      </c>
      <c r="U95" s="66"/>
      <c r="V95" s="83">
        <f>T95</f>
        <v>0.1357142857142857</v>
      </c>
      <c r="W95" s="64"/>
      <c r="X95" s="64"/>
      <c r="Y95" s="64"/>
      <c r="Z95" s="64"/>
      <c r="AA95" s="64"/>
      <c r="AB95" s="64"/>
    </row>
    <row r="96" spans="2:28" x14ac:dyDescent="0.3">
      <c r="B96" s="64"/>
      <c r="C96" s="64"/>
      <c r="D96" s="64"/>
      <c r="E96" s="64"/>
      <c r="F96" s="64"/>
      <c r="G96" s="64"/>
      <c r="H96" s="64"/>
      <c r="I96" s="64"/>
      <c r="J96" s="65" t="s">
        <v>185</v>
      </c>
      <c r="K96" s="66"/>
      <c r="L96" s="66"/>
      <c r="M96" s="83">
        <f>SUM(M86:M95)</f>
        <v>3.9217887154861941</v>
      </c>
      <c r="N96" s="66"/>
      <c r="O96" s="83">
        <f>SUM(O86:O95)</f>
        <v>1.8898430141287283</v>
      </c>
      <c r="P96" s="64"/>
      <c r="Q96" s="65" t="s">
        <v>185</v>
      </c>
      <c r="R96" s="66"/>
      <c r="S96" s="66"/>
      <c r="T96" s="83">
        <f>SUM(T86:T95)</f>
        <v>3.9217887154861941</v>
      </c>
      <c r="U96" s="66"/>
      <c r="V96" s="83">
        <f>SUM(V86:V95)</f>
        <v>1.7498430141287287</v>
      </c>
      <c r="W96" s="64"/>
      <c r="X96" s="64"/>
      <c r="Y96" s="64"/>
      <c r="Z96" s="64"/>
      <c r="AA96" s="64"/>
      <c r="AB96" s="64"/>
    </row>
    <row r="97" spans="2:28" x14ac:dyDescent="0.3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2:28" x14ac:dyDescent="0.3">
      <c r="B98" s="64"/>
      <c r="C98" s="85" t="s">
        <v>51</v>
      </c>
      <c r="D98" s="86">
        <f>1/(F84/F95 + H84/H95)</f>
        <v>0.95061224489795915</v>
      </c>
      <c r="E98" s="64"/>
      <c r="F98" s="64"/>
      <c r="G98" s="64"/>
      <c r="H98" s="64"/>
      <c r="I98" s="64"/>
      <c r="J98" s="85" t="s">
        <v>51</v>
      </c>
      <c r="K98" s="87">
        <f>1/(M84/M96 + O84/O96)</f>
        <v>3.5757708245069546</v>
      </c>
      <c r="L98" s="64"/>
      <c r="M98" s="64"/>
      <c r="N98" s="64"/>
      <c r="O98" s="64"/>
      <c r="P98" s="64"/>
      <c r="Q98" s="85" t="s">
        <v>202</v>
      </c>
      <c r="R98" s="86">
        <f>1/T96</f>
        <v>0.25498568957864615</v>
      </c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2:28" x14ac:dyDescent="0.3">
      <c r="B99" s="64"/>
      <c r="C99" s="64" t="s">
        <v>52</v>
      </c>
      <c r="D99" s="86">
        <f>F84*E89 + H84*G89</f>
        <v>4.2640000000000004E-2</v>
      </c>
      <c r="E99" s="64"/>
      <c r="F99" s="64"/>
      <c r="G99" s="64"/>
      <c r="H99" s="64"/>
      <c r="I99" s="64"/>
      <c r="J99" s="64" t="s">
        <v>68</v>
      </c>
      <c r="K99" s="86">
        <f>M84*L89 + O84*N89</f>
        <v>4.2640000000000004E-2</v>
      </c>
      <c r="L99" s="64"/>
      <c r="M99" s="64"/>
      <c r="N99" s="64"/>
      <c r="O99" s="64"/>
      <c r="P99" s="64"/>
      <c r="Q99" s="64"/>
      <c r="R99" s="86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2:28" x14ac:dyDescent="0.3">
      <c r="B100" s="64"/>
      <c r="C100" s="64" t="s">
        <v>53</v>
      </c>
      <c r="D100" s="86">
        <f>D89/D99</f>
        <v>0</v>
      </c>
      <c r="E100" s="64"/>
      <c r="F100" s="64"/>
      <c r="G100" s="64"/>
      <c r="H100" s="64"/>
      <c r="I100" s="64"/>
      <c r="J100" s="64" t="s">
        <v>69</v>
      </c>
      <c r="K100" s="64">
        <f>M84*L93+O84*N93</f>
        <v>4.2640000000000004E-2</v>
      </c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2:28" x14ac:dyDescent="0.3">
      <c r="B101" s="64"/>
      <c r="C101" s="64" t="s">
        <v>54</v>
      </c>
      <c r="D101" s="86">
        <f>F86+F87+F88+D100+F92+F93+F91+F94</f>
        <v>0.95061224489795926</v>
      </c>
      <c r="E101" s="64"/>
      <c r="F101" s="64"/>
      <c r="G101" s="64"/>
      <c r="H101" s="64"/>
      <c r="I101" s="64"/>
      <c r="J101" s="64" t="s">
        <v>70</v>
      </c>
      <c r="K101" s="86">
        <f>K89/K99</f>
        <v>0</v>
      </c>
      <c r="L101" s="64"/>
      <c r="M101" s="64"/>
      <c r="N101" s="64"/>
      <c r="O101" s="64"/>
      <c r="P101" s="64"/>
      <c r="Q101" s="64"/>
      <c r="R101" s="86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2:28" x14ac:dyDescent="0.3">
      <c r="B102" s="64"/>
      <c r="C102" s="64" t="s">
        <v>55</v>
      </c>
      <c r="D102" s="86">
        <f>1/((D98+D101)/2)</f>
        <v>1.0519536281665951</v>
      </c>
      <c r="E102" s="64"/>
      <c r="F102" s="64"/>
      <c r="G102" s="64"/>
      <c r="H102" s="88"/>
      <c r="I102" s="64"/>
      <c r="J102" s="64" t="s">
        <v>71</v>
      </c>
      <c r="K102" s="86">
        <f>K93/K100</f>
        <v>2.3452157598499062</v>
      </c>
      <c r="L102" s="64"/>
      <c r="M102" s="64"/>
      <c r="N102" s="64"/>
      <c r="O102" s="64"/>
      <c r="P102" s="64"/>
      <c r="Q102" s="64"/>
      <c r="R102" s="86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2:28" x14ac:dyDescent="0.3">
      <c r="B103" s="64"/>
      <c r="C103" s="64"/>
      <c r="D103" s="64"/>
      <c r="E103" s="64"/>
      <c r="F103" s="64"/>
      <c r="G103" s="64"/>
      <c r="H103" s="64"/>
      <c r="I103" s="64"/>
      <c r="J103" s="64" t="s">
        <v>54</v>
      </c>
      <c r="K103" s="86">
        <f>M86+M87+M88+K101+M92+M95+M91+K102+M94</f>
        <v>3.0809300455641919</v>
      </c>
      <c r="L103" s="64"/>
      <c r="M103" s="64"/>
      <c r="N103" s="64"/>
      <c r="O103" s="64"/>
      <c r="P103" s="64"/>
      <c r="Q103" s="64"/>
      <c r="R103" s="86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2:28" x14ac:dyDescent="0.3">
      <c r="B104" s="64"/>
      <c r="C104" s="64"/>
      <c r="D104" s="64"/>
      <c r="E104" s="64"/>
      <c r="F104" s="64"/>
      <c r="G104" s="64"/>
      <c r="H104" s="64"/>
      <c r="I104" s="64"/>
      <c r="J104" s="64" t="s">
        <v>55</v>
      </c>
      <c r="K104" s="86">
        <f>1/((K98+K103)/2)</f>
        <v>0.30044913224088199</v>
      </c>
      <c r="L104" s="64"/>
      <c r="M104" s="64"/>
      <c r="N104" s="64"/>
      <c r="O104" s="64"/>
      <c r="P104" s="64"/>
      <c r="Q104" s="64"/>
      <c r="R104" s="86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2:28" x14ac:dyDescent="0.3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2:28" x14ac:dyDescent="0.3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2:28" x14ac:dyDescent="0.3">
      <c r="B107" s="64"/>
      <c r="C107" s="142" t="s">
        <v>129</v>
      </c>
      <c r="D107" s="142"/>
      <c r="E107" s="142"/>
      <c r="F107" s="64"/>
      <c r="G107" s="64"/>
      <c r="H107" s="64"/>
      <c r="I107" s="64"/>
      <c r="J107" s="89" t="s">
        <v>130</v>
      </c>
      <c r="K107" s="89"/>
      <c r="L107" s="89"/>
      <c r="M107" s="64"/>
      <c r="N107" s="64"/>
      <c r="O107" s="64"/>
      <c r="P107" s="64"/>
      <c r="Q107" s="89" t="s">
        <v>131</v>
      </c>
      <c r="R107" s="89"/>
      <c r="S107" s="89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2:28" x14ac:dyDescent="0.3">
      <c r="B108" s="64"/>
      <c r="C108" s="75" t="s">
        <v>38</v>
      </c>
      <c r="D108" s="76"/>
      <c r="E108" s="77"/>
      <c r="F108" s="78">
        <v>0.91</v>
      </c>
      <c r="G108" s="67" t="s">
        <v>39</v>
      </c>
      <c r="H108" s="79">
        <v>0.09</v>
      </c>
      <c r="I108" s="64"/>
      <c r="J108" s="143" t="s">
        <v>38</v>
      </c>
      <c r="K108" s="144"/>
      <c r="L108" s="145"/>
      <c r="M108" s="78">
        <v>0.91</v>
      </c>
      <c r="N108" s="67" t="s">
        <v>39</v>
      </c>
      <c r="O108" s="79">
        <v>0.09</v>
      </c>
      <c r="P108" s="64"/>
      <c r="Q108" s="143" t="s">
        <v>38</v>
      </c>
      <c r="R108" s="144"/>
      <c r="S108" s="145"/>
      <c r="T108" s="78">
        <v>0.91</v>
      </c>
      <c r="U108" s="67" t="s">
        <v>39</v>
      </c>
      <c r="V108" s="80">
        <v>0.09</v>
      </c>
      <c r="W108" s="70"/>
      <c r="X108" s="70" t="s">
        <v>28</v>
      </c>
      <c r="Y108" s="70" t="s">
        <v>116</v>
      </c>
      <c r="Z108" s="70" t="s">
        <v>23</v>
      </c>
      <c r="AA108" s="64"/>
      <c r="AB108" s="64"/>
    </row>
    <row r="109" spans="2:28" x14ac:dyDescent="0.3">
      <c r="B109" s="64"/>
      <c r="C109" s="65" t="s">
        <v>40</v>
      </c>
      <c r="D109" s="66" t="s">
        <v>41</v>
      </c>
      <c r="E109" s="81" t="s">
        <v>42</v>
      </c>
      <c r="F109" s="66" t="s">
        <v>43</v>
      </c>
      <c r="G109" s="66" t="s">
        <v>42</v>
      </c>
      <c r="H109" s="66" t="s">
        <v>43</v>
      </c>
      <c r="I109" s="64"/>
      <c r="J109" s="65" t="s">
        <v>40</v>
      </c>
      <c r="K109" s="66" t="s">
        <v>41</v>
      </c>
      <c r="L109" s="81" t="s">
        <v>42</v>
      </c>
      <c r="M109" s="66" t="s">
        <v>43</v>
      </c>
      <c r="N109" s="66" t="s">
        <v>42</v>
      </c>
      <c r="O109" s="66" t="s">
        <v>43</v>
      </c>
      <c r="P109" s="64"/>
      <c r="Q109" s="65" t="s">
        <v>40</v>
      </c>
      <c r="R109" s="66" t="s">
        <v>41</v>
      </c>
      <c r="S109" s="81" t="s">
        <v>42</v>
      </c>
      <c r="T109" s="66" t="s">
        <v>43</v>
      </c>
      <c r="U109" s="66" t="s">
        <v>42</v>
      </c>
      <c r="V109" s="69" t="s">
        <v>43</v>
      </c>
      <c r="W109" s="70" t="s">
        <v>132</v>
      </c>
      <c r="X109" s="82">
        <f>K126</f>
        <v>0.3412773846556032</v>
      </c>
      <c r="Y109" s="82">
        <f>R120</f>
        <v>0.28931714670081204</v>
      </c>
      <c r="Z109" s="82">
        <f>R120</f>
        <v>0.28931714670081204</v>
      </c>
      <c r="AA109" s="64"/>
      <c r="AB109" s="64"/>
    </row>
    <row r="110" spans="2:28" x14ac:dyDescent="0.3">
      <c r="B110" s="64"/>
      <c r="C110" s="65" t="s">
        <v>44</v>
      </c>
      <c r="D110" s="66"/>
      <c r="E110" s="66"/>
      <c r="F110" s="83">
        <v>0.13</v>
      </c>
      <c r="G110" s="66"/>
      <c r="H110" s="83">
        <v>0.13</v>
      </c>
      <c r="I110" s="64"/>
      <c r="J110" s="65" t="s">
        <v>44</v>
      </c>
      <c r="K110" s="66"/>
      <c r="L110" s="66"/>
      <c r="M110" s="83">
        <v>0.13</v>
      </c>
      <c r="N110" s="66"/>
      <c r="O110" s="83">
        <v>0.13</v>
      </c>
      <c r="P110" s="64"/>
      <c r="Q110" s="65" t="s">
        <v>44</v>
      </c>
      <c r="R110" s="66"/>
      <c r="S110" s="66"/>
      <c r="T110" s="83">
        <v>0.13</v>
      </c>
      <c r="U110" s="66"/>
      <c r="V110" s="83">
        <v>0.13</v>
      </c>
      <c r="W110" s="64"/>
      <c r="X110" s="64"/>
      <c r="Y110" s="64"/>
      <c r="Z110" s="64"/>
      <c r="AA110" s="64"/>
      <c r="AB110" s="64"/>
    </row>
    <row r="111" spans="2:28" x14ac:dyDescent="0.3">
      <c r="B111" s="64"/>
      <c r="C111" s="65" t="s">
        <v>45</v>
      </c>
      <c r="D111" s="84">
        <v>1.2500000000000001E-2</v>
      </c>
      <c r="E111" s="83">
        <v>0.21</v>
      </c>
      <c r="F111" s="83">
        <f>D111/E111</f>
        <v>5.9523809523809527E-2</v>
      </c>
      <c r="G111" s="66"/>
      <c r="H111" s="83">
        <f>F111</f>
        <v>5.9523809523809527E-2</v>
      </c>
      <c r="I111" s="64"/>
      <c r="J111" s="65" t="s">
        <v>45</v>
      </c>
      <c r="K111" s="84">
        <v>1.2500000000000001E-2</v>
      </c>
      <c r="L111" s="83">
        <v>0.21</v>
      </c>
      <c r="M111" s="83">
        <f>K111/L111</f>
        <v>5.9523809523809527E-2</v>
      </c>
      <c r="N111" s="66"/>
      <c r="O111" s="83">
        <f>M111</f>
        <v>5.9523809523809527E-2</v>
      </c>
      <c r="P111" s="64"/>
      <c r="Q111" s="65" t="s">
        <v>45</v>
      </c>
      <c r="R111" s="84">
        <v>1.2500000000000001E-2</v>
      </c>
      <c r="S111" s="83">
        <v>0.21</v>
      </c>
      <c r="T111" s="83">
        <f>R111/S111</f>
        <v>5.9523809523809527E-2</v>
      </c>
      <c r="U111" s="66"/>
      <c r="V111" s="83">
        <f>T111</f>
        <v>5.9523809523809527E-2</v>
      </c>
      <c r="W111" s="64"/>
      <c r="X111" s="64"/>
      <c r="Y111" s="64"/>
      <c r="Z111" s="64"/>
      <c r="AA111" s="64"/>
      <c r="AB111" s="64"/>
    </row>
    <row r="112" spans="2:28" x14ac:dyDescent="0.3">
      <c r="B112" s="64"/>
      <c r="C112" s="65" t="s">
        <v>46</v>
      </c>
      <c r="D112" s="66"/>
      <c r="E112" s="66"/>
      <c r="F112" s="83">
        <v>0.03</v>
      </c>
      <c r="G112" s="66"/>
      <c r="H112" s="83">
        <v>0.03</v>
      </c>
      <c r="I112" s="64"/>
      <c r="J112" s="65" t="s">
        <v>46</v>
      </c>
      <c r="K112" s="66"/>
      <c r="L112" s="66"/>
      <c r="M112" s="83">
        <v>0.03</v>
      </c>
      <c r="N112" s="66"/>
      <c r="O112" s="83">
        <v>0.03</v>
      </c>
      <c r="P112" s="64"/>
      <c r="Q112" s="65" t="s">
        <v>46</v>
      </c>
      <c r="R112" s="66"/>
      <c r="S112" s="66"/>
      <c r="T112" s="83">
        <v>0.03</v>
      </c>
      <c r="U112" s="66"/>
      <c r="V112" s="83">
        <v>0.03</v>
      </c>
      <c r="W112" s="64"/>
      <c r="X112" s="64"/>
      <c r="Y112" s="64"/>
      <c r="Z112" s="64"/>
      <c r="AA112" s="64"/>
      <c r="AB112" s="64"/>
    </row>
    <row r="113" spans="2:28" x14ac:dyDescent="0.3">
      <c r="B113" s="64"/>
      <c r="C113" s="65" t="s">
        <v>47</v>
      </c>
      <c r="D113" s="83">
        <f>D13/1000</f>
        <v>0</v>
      </c>
      <c r="E113" s="83">
        <v>3.4000000000000002E-2</v>
      </c>
      <c r="F113" s="83">
        <f>D113/E113</f>
        <v>0</v>
      </c>
      <c r="G113" s="83">
        <v>0.13</v>
      </c>
      <c r="H113" s="83">
        <f>D113/G113</f>
        <v>0</v>
      </c>
      <c r="I113" s="64"/>
      <c r="J113" s="65" t="s">
        <v>66</v>
      </c>
      <c r="K113" s="66">
        <f>D15/1000</f>
        <v>0.1</v>
      </c>
      <c r="L113" s="83">
        <f>_xlfn.XLOOKUP(D14,D57:F57,D61:F61)</f>
        <v>3.4000000000000002E-2</v>
      </c>
      <c r="M113" s="83">
        <f>K113/L113</f>
        <v>2.9411764705882351</v>
      </c>
      <c r="N113" s="83">
        <v>0.13</v>
      </c>
      <c r="O113" s="83">
        <f>K113/N113</f>
        <v>0.76923076923076927</v>
      </c>
      <c r="P113" s="64"/>
      <c r="Q113" s="65" t="s">
        <v>66</v>
      </c>
      <c r="R113" s="66">
        <f>K113</f>
        <v>0.1</v>
      </c>
      <c r="S113" s="83">
        <f>L113</f>
        <v>3.4000000000000002E-2</v>
      </c>
      <c r="T113" s="83">
        <f>R113/S113</f>
        <v>2.9411764705882351</v>
      </c>
      <c r="U113" s="83">
        <v>0.13</v>
      </c>
      <c r="V113" s="83">
        <f>R113/U113</f>
        <v>0.76923076923076927</v>
      </c>
      <c r="W113" s="64"/>
      <c r="X113" s="64"/>
      <c r="Y113" s="64"/>
      <c r="Z113" s="64"/>
      <c r="AA113" s="64"/>
      <c r="AB113" s="64"/>
    </row>
    <row r="114" spans="2:28" x14ac:dyDescent="0.3">
      <c r="B114" s="64"/>
      <c r="C114" s="65" t="s">
        <v>48</v>
      </c>
      <c r="D114" s="66">
        <v>1.2E-2</v>
      </c>
      <c r="E114" s="83">
        <v>4.9000000000000002E-2</v>
      </c>
      <c r="F114" s="83">
        <f>D114/E114</f>
        <v>0.24489795918367346</v>
      </c>
      <c r="G114" s="66"/>
      <c r="H114" s="83">
        <f>F114</f>
        <v>0.24489795918367346</v>
      </c>
      <c r="I114" s="64"/>
      <c r="J114" s="65" t="s">
        <v>94</v>
      </c>
      <c r="K114" s="66"/>
      <c r="L114" s="83"/>
      <c r="M114" s="83">
        <v>0.03</v>
      </c>
      <c r="N114" s="66"/>
      <c r="O114" s="83">
        <f>M114</f>
        <v>0.03</v>
      </c>
      <c r="P114" s="64"/>
      <c r="Q114" s="65" t="s">
        <v>94</v>
      </c>
      <c r="R114" s="66"/>
      <c r="S114" s="83"/>
      <c r="T114" s="83">
        <v>0.03</v>
      </c>
      <c r="U114" s="66"/>
      <c r="V114" s="83">
        <f>T114</f>
        <v>0.03</v>
      </c>
      <c r="W114" s="64"/>
      <c r="X114" s="64"/>
      <c r="Y114" s="64"/>
      <c r="Z114" s="64"/>
      <c r="AA114" s="64"/>
      <c r="AB114" s="64"/>
    </row>
    <row r="115" spans="2:28" x14ac:dyDescent="0.3">
      <c r="B115" s="64"/>
      <c r="C115" s="65" t="s">
        <v>49</v>
      </c>
      <c r="D115" s="66">
        <v>1.9E-2</v>
      </c>
      <c r="E115" s="83">
        <v>0.14000000000000001</v>
      </c>
      <c r="F115" s="83">
        <f>D115/E115</f>
        <v>0.1357142857142857</v>
      </c>
      <c r="G115" s="66"/>
      <c r="H115" s="83">
        <f>F115</f>
        <v>0.1357142857142857</v>
      </c>
      <c r="I115" s="64"/>
      <c r="J115" s="65" t="s">
        <v>49</v>
      </c>
      <c r="K115" s="71">
        <v>1.9E-2</v>
      </c>
      <c r="L115" s="90">
        <v>0.14000000000000001</v>
      </c>
      <c r="M115" s="90">
        <f>K115/L115</f>
        <v>0.1357142857142857</v>
      </c>
      <c r="N115" s="71"/>
      <c r="O115" s="90">
        <f>M115</f>
        <v>0.1357142857142857</v>
      </c>
      <c r="P115" s="64"/>
      <c r="Q115" s="65" t="s">
        <v>102</v>
      </c>
      <c r="R115" s="66"/>
      <c r="S115" s="83"/>
      <c r="T115" s="83">
        <v>0.13</v>
      </c>
      <c r="U115" s="66"/>
      <c r="V115" s="83">
        <v>0.13</v>
      </c>
      <c r="W115" s="64"/>
      <c r="X115" s="64"/>
      <c r="Y115" s="64"/>
      <c r="Z115" s="64"/>
      <c r="AA115" s="64"/>
      <c r="AB115" s="64"/>
    </row>
    <row r="116" spans="2:28" x14ac:dyDescent="0.3">
      <c r="B116" s="64"/>
      <c r="C116" s="65" t="s">
        <v>102</v>
      </c>
      <c r="D116" s="66"/>
      <c r="E116" s="83"/>
      <c r="F116" s="83">
        <v>0.13</v>
      </c>
      <c r="G116" s="66"/>
      <c r="H116" s="83">
        <v>0.13</v>
      </c>
      <c r="I116" s="64"/>
      <c r="J116" s="67" t="s">
        <v>102</v>
      </c>
      <c r="K116" s="70"/>
      <c r="L116" s="82"/>
      <c r="M116" s="82">
        <v>0.13</v>
      </c>
      <c r="N116" s="70"/>
      <c r="O116" s="82">
        <v>0.13</v>
      </c>
      <c r="P116" s="64"/>
      <c r="Q116" s="65" t="s">
        <v>49</v>
      </c>
      <c r="R116" s="71">
        <v>1.9E-2</v>
      </c>
      <c r="S116" s="90">
        <v>0.14000000000000001</v>
      </c>
      <c r="T116" s="90">
        <f>R116/S116</f>
        <v>0.1357142857142857</v>
      </c>
      <c r="U116" s="71"/>
      <c r="V116" s="90">
        <f>T116</f>
        <v>0.1357142857142857</v>
      </c>
      <c r="W116" s="64"/>
      <c r="X116" s="64"/>
      <c r="Y116" s="64"/>
      <c r="Z116" s="64"/>
      <c r="AA116" s="64"/>
      <c r="AB116" s="64"/>
    </row>
    <row r="117" spans="2:28" x14ac:dyDescent="0.3">
      <c r="B117" s="64"/>
      <c r="C117" s="65" t="s">
        <v>185</v>
      </c>
      <c r="D117" s="66"/>
      <c r="E117" s="66"/>
      <c r="F117" s="83">
        <f>SUM(F110:F116)</f>
        <v>0.73013605442176865</v>
      </c>
      <c r="G117" s="66"/>
      <c r="H117" s="83">
        <f>SUM(H110:H116)</f>
        <v>0.73013605442176865</v>
      </c>
      <c r="I117" s="64"/>
      <c r="J117" s="91" t="s">
        <v>65</v>
      </c>
      <c r="K117" s="82">
        <f>D113</f>
        <v>0</v>
      </c>
      <c r="L117" s="82">
        <f>E113</f>
        <v>3.4000000000000002E-2</v>
      </c>
      <c r="M117" s="82">
        <f>K117/L117</f>
        <v>0</v>
      </c>
      <c r="N117" s="82">
        <f>G113</f>
        <v>0.13</v>
      </c>
      <c r="O117" s="82">
        <f>H113</f>
        <v>0</v>
      </c>
      <c r="P117" s="64"/>
      <c r="Q117" s="91" t="s">
        <v>65</v>
      </c>
      <c r="R117" s="82">
        <f>K117</f>
        <v>0</v>
      </c>
      <c r="S117" s="82">
        <f>L117</f>
        <v>3.4000000000000002E-2</v>
      </c>
      <c r="T117" s="82">
        <f>R117/S117</f>
        <v>0</v>
      </c>
      <c r="U117" s="82">
        <f>N117</f>
        <v>0.13</v>
      </c>
      <c r="V117" s="82">
        <f>R117/U117</f>
        <v>0</v>
      </c>
      <c r="W117" s="64"/>
      <c r="X117" s="64"/>
      <c r="Y117" s="64"/>
      <c r="Z117" s="64"/>
      <c r="AA117" s="64"/>
      <c r="AB117" s="64"/>
    </row>
    <row r="118" spans="2:28" x14ac:dyDescent="0.3">
      <c r="B118" s="64"/>
      <c r="C118" s="64"/>
      <c r="D118" s="64"/>
      <c r="E118" s="64"/>
      <c r="F118" s="64"/>
      <c r="G118" s="64"/>
      <c r="H118" s="64"/>
      <c r="I118" s="64"/>
      <c r="J118" s="65" t="s">
        <v>185</v>
      </c>
      <c r="K118" s="92"/>
      <c r="L118" s="92"/>
      <c r="M118" s="93">
        <f>M110+M111+M112+M114+M115+M117+M113+M116</f>
        <v>3.4564145658263303</v>
      </c>
      <c r="N118" s="92"/>
      <c r="O118" s="93">
        <f>O110+O111+O112+O114+O115+O117+O113+O116</f>
        <v>1.2844688644688644</v>
      </c>
      <c r="P118" s="64"/>
      <c r="Q118" s="65" t="s">
        <v>185</v>
      </c>
      <c r="R118" s="92"/>
      <c r="S118" s="92"/>
      <c r="T118" s="93">
        <f>T110+T111+T112+T114+T116+T117+T113+T115</f>
        <v>3.4564145658263303</v>
      </c>
      <c r="U118" s="92"/>
      <c r="V118" s="93">
        <f>V110+V111+V112+V114+V116+V117+V113+V115</f>
        <v>1.2844688644688644</v>
      </c>
      <c r="W118" s="64"/>
      <c r="X118" s="64"/>
      <c r="Y118" s="64"/>
      <c r="Z118" s="64"/>
      <c r="AA118" s="64"/>
      <c r="AB118" s="64"/>
    </row>
    <row r="119" spans="2:28" x14ac:dyDescent="0.3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2:28" x14ac:dyDescent="0.3">
      <c r="B120" s="64"/>
      <c r="C120" s="122" t="s">
        <v>51</v>
      </c>
      <c r="D120" s="123">
        <f>1/(F108/F117 + H108/H117)</f>
        <v>0.73013605442176865</v>
      </c>
      <c r="E120" s="64"/>
      <c r="F120" s="64"/>
      <c r="G120" s="64"/>
      <c r="H120" s="64"/>
      <c r="I120" s="64"/>
      <c r="J120" s="85" t="s">
        <v>51</v>
      </c>
      <c r="K120" s="86">
        <f>1/(M108/M118+O108/O118)</f>
        <v>2.9998817250685366</v>
      </c>
      <c r="L120" s="64"/>
      <c r="M120" s="64"/>
      <c r="N120" s="64"/>
      <c r="O120" s="64"/>
      <c r="P120" s="64"/>
      <c r="Q120" s="85" t="s">
        <v>55</v>
      </c>
      <c r="R120" s="86">
        <f>1/T118</f>
        <v>0.28931714670081204</v>
      </c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2:28" x14ac:dyDescent="0.3">
      <c r="B121" s="64"/>
      <c r="C121" s="66" t="s">
        <v>52</v>
      </c>
      <c r="D121" s="83">
        <f>F108*E113 + H108*G113</f>
        <v>4.2640000000000004E-2</v>
      </c>
      <c r="E121" s="64"/>
      <c r="F121" s="64"/>
      <c r="G121" s="64"/>
      <c r="H121" s="64"/>
      <c r="I121" s="64"/>
      <c r="J121" s="64" t="s">
        <v>68</v>
      </c>
      <c r="K121" s="86">
        <f>M108*L113 + O108*N113</f>
        <v>4.2640000000000004E-2</v>
      </c>
      <c r="L121" s="64"/>
      <c r="M121" s="64"/>
      <c r="N121" s="64"/>
      <c r="O121" s="64"/>
      <c r="P121" s="64"/>
      <c r="Q121" s="64"/>
      <c r="R121" s="86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2:28" x14ac:dyDescent="0.3">
      <c r="B122" s="64"/>
      <c r="C122" s="122" t="s">
        <v>53</v>
      </c>
      <c r="D122" s="123">
        <f>D113/D121</f>
        <v>0</v>
      </c>
      <c r="E122" s="64"/>
      <c r="F122" s="64"/>
      <c r="G122" s="64"/>
      <c r="H122" s="64"/>
      <c r="I122" s="64"/>
      <c r="J122" s="64" t="s">
        <v>69</v>
      </c>
      <c r="K122" s="64">
        <f>M108*L117+O108*N117</f>
        <v>4.2640000000000004E-2</v>
      </c>
      <c r="L122" s="64"/>
      <c r="M122" s="64"/>
      <c r="N122" s="64"/>
      <c r="O122" s="86"/>
      <c r="P122" s="64"/>
      <c r="Q122" s="64"/>
      <c r="R122" s="64"/>
      <c r="S122" s="64"/>
      <c r="T122" s="64"/>
      <c r="U122" s="64"/>
      <c r="V122" s="86"/>
      <c r="W122" s="64"/>
      <c r="X122" s="64"/>
      <c r="Y122" s="64"/>
      <c r="Z122" s="64"/>
      <c r="AA122" s="64"/>
      <c r="AB122" s="64"/>
    </row>
    <row r="123" spans="2:28" x14ac:dyDescent="0.3">
      <c r="B123" s="64"/>
      <c r="C123" s="66" t="s">
        <v>54</v>
      </c>
      <c r="D123" s="83">
        <f>F110+F111+F112+D122+F114+F115+F116</f>
        <v>0.73013605442176865</v>
      </c>
      <c r="E123" s="64"/>
      <c r="F123" s="64"/>
      <c r="G123" s="64"/>
      <c r="H123" s="64"/>
      <c r="I123" s="64"/>
      <c r="J123" s="64" t="s">
        <v>70</v>
      </c>
      <c r="K123" s="86">
        <f>K113/K121</f>
        <v>2.3452157598499062</v>
      </c>
      <c r="L123" s="64"/>
      <c r="M123" s="64"/>
      <c r="N123" s="64"/>
      <c r="O123" s="64"/>
      <c r="P123" s="64"/>
      <c r="Q123" s="64"/>
      <c r="R123" s="86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2:28" x14ac:dyDescent="0.3">
      <c r="B124" s="64"/>
      <c r="C124" s="122" t="s">
        <v>55</v>
      </c>
      <c r="D124" s="123">
        <f>1/((D120+D123)/2)</f>
        <v>1.3696077517935341</v>
      </c>
      <c r="E124" s="64"/>
      <c r="F124" s="64"/>
      <c r="G124" s="64"/>
      <c r="H124" s="64"/>
      <c r="I124" s="64"/>
      <c r="J124" s="64" t="s">
        <v>71</v>
      </c>
      <c r="K124" s="64">
        <f>K117/K122</f>
        <v>0</v>
      </c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2:28" x14ac:dyDescent="0.3">
      <c r="B125" s="64"/>
      <c r="C125" s="64"/>
      <c r="D125" s="64"/>
      <c r="E125" s="64"/>
      <c r="F125" s="64"/>
      <c r="G125" s="64"/>
      <c r="H125" s="64"/>
      <c r="I125" s="64"/>
      <c r="J125" s="64" t="s">
        <v>54</v>
      </c>
      <c r="K125" s="86">
        <f>M110+M111+M112+K123+M114+M115+K124+M116</f>
        <v>2.860453855088001</v>
      </c>
      <c r="L125" s="64"/>
      <c r="M125" s="64"/>
      <c r="N125" s="64"/>
      <c r="O125" s="64"/>
      <c r="P125" s="64"/>
      <c r="Q125" s="64"/>
      <c r="R125" s="86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2:28" x14ac:dyDescent="0.3">
      <c r="B126" s="64"/>
      <c r="C126" s="64"/>
      <c r="D126" s="64"/>
      <c r="E126" s="64"/>
      <c r="F126" s="64"/>
      <c r="G126" s="64"/>
      <c r="H126" s="64"/>
      <c r="I126" s="64"/>
      <c r="J126" s="64" t="s">
        <v>55</v>
      </c>
      <c r="K126" s="86">
        <f>1/((K120+K125)/2)</f>
        <v>0.3412773846556032</v>
      </c>
      <c r="L126" s="64"/>
      <c r="M126" s="64"/>
      <c r="N126" s="64"/>
      <c r="O126" s="64"/>
      <c r="P126" s="64"/>
      <c r="Q126" s="64"/>
      <c r="R126" s="86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2:28" x14ac:dyDescent="0.3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2:28" x14ac:dyDescent="0.3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2:28" x14ac:dyDescent="0.3">
      <c r="B129" s="64"/>
      <c r="C129" s="64"/>
      <c r="D129" s="86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2:28" x14ac:dyDescent="0.3">
      <c r="B130" s="64"/>
      <c r="C130" s="142" t="s">
        <v>133</v>
      </c>
      <c r="D130" s="142"/>
      <c r="E130" s="142"/>
      <c r="F130" s="64"/>
      <c r="G130" s="64"/>
      <c r="H130" s="64"/>
      <c r="I130" s="64"/>
      <c r="J130" s="142" t="s">
        <v>134</v>
      </c>
      <c r="K130" s="142"/>
      <c r="L130" s="142"/>
      <c r="M130" s="142"/>
      <c r="N130" s="64"/>
      <c r="O130" s="64"/>
      <c r="P130" s="64"/>
      <c r="Q130" s="142" t="s">
        <v>135</v>
      </c>
      <c r="R130" s="142"/>
      <c r="S130" s="142"/>
      <c r="T130" s="142"/>
      <c r="U130" s="64"/>
      <c r="V130" s="64"/>
      <c r="W130" s="64"/>
      <c r="X130" s="64"/>
      <c r="Y130" s="64"/>
      <c r="Z130" s="64"/>
      <c r="AA130" s="64"/>
      <c r="AB130" s="64"/>
    </row>
    <row r="131" spans="2:28" x14ac:dyDescent="0.3">
      <c r="B131" s="64"/>
      <c r="C131" s="143" t="s">
        <v>38</v>
      </c>
      <c r="D131" s="144"/>
      <c r="E131" s="145"/>
      <c r="F131" s="78">
        <v>0.91</v>
      </c>
      <c r="G131" s="67" t="s">
        <v>39</v>
      </c>
      <c r="H131" s="79">
        <v>0.09</v>
      </c>
      <c r="I131" s="64"/>
      <c r="J131" s="143" t="s">
        <v>38</v>
      </c>
      <c r="K131" s="144"/>
      <c r="L131" s="145"/>
      <c r="M131" s="78">
        <v>0.91</v>
      </c>
      <c r="N131" s="67" t="s">
        <v>39</v>
      </c>
      <c r="O131" s="79">
        <v>0.09</v>
      </c>
      <c r="P131" s="64"/>
      <c r="Q131" s="143" t="s">
        <v>38</v>
      </c>
      <c r="R131" s="144"/>
      <c r="S131" s="145"/>
      <c r="T131" s="78">
        <v>0.91</v>
      </c>
      <c r="U131" s="67" t="s">
        <v>39</v>
      </c>
      <c r="V131" s="80">
        <v>0.09</v>
      </c>
      <c r="W131" s="70"/>
      <c r="X131" s="70" t="s">
        <v>28</v>
      </c>
      <c r="Y131" s="70" t="s">
        <v>116</v>
      </c>
      <c r="Z131" s="70" t="s">
        <v>23</v>
      </c>
      <c r="AA131" s="64"/>
      <c r="AB131" s="64"/>
    </row>
    <row r="132" spans="2:28" x14ac:dyDescent="0.3">
      <c r="B132" s="64"/>
      <c r="C132" s="65" t="s">
        <v>40</v>
      </c>
      <c r="D132" s="66" t="s">
        <v>41</v>
      </c>
      <c r="E132" s="81" t="s">
        <v>42</v>
      </c>
      <c r="F132" s="66" t="s">
        <v>43</v>
      </c>
      <c r="G132" s="66" t="s">
        <v>42</v>
      </c>
      <c r="H132" s="66" t="s">
        <v>43</v>
      </c>
      <c r="I132" s="64"/>
      <c r="J132" s="65" t="s">
        <v>40</v>
      </c>
      <c r="K132" s="66" t="s">
        <v>41</v>
      </c>
      <c r="L132" s="81" t="s">
        <v>42</v>
      </c>
      <c r="M132" s="66" t="s">
        <v>43</v>
      </c>
      <c r="N132" s="66" t="s">
        <v>42</v>
      </c>
      <c r="O132" s="66" t="s">
        <v>43</v>
      </c>
      <c r="P132" s="64"/>
      <c r="Q132" s="65" t="s">
        <v>40</v>
      </c>
      <c r="R132" s="66" t="s">
        <v>41</v>
      </c>
      <c r="S132" s="81" t="s">
        <v>42</v>
      </c>
      <c r="T132" s="66" t="s">
        <v>43</v>
      </c>
      <c r="U132" s="66" t="s">
        <v>42</v>
      </c>
      <c r="V132" s="69" t="s">
        <v>43</v>
      </c>
      <c r="W132" s="70" t="s">
        <v>136</v>
      </c>
      <c r="X132" s="82">
        <f>K149</f>
        <v>0.33699432916810784</v>
      </c>
      <c r="Y132" s="82">
        <f>R143</f>
        <v>0.28647546903336596</v>
      </c>
      <c r="Z132" s="82">
        <f>R143</f>
        <v>0.28647546903336596</v>
      </c>
      <c r="AA132" s="64"/>
      <c r="AB132" s="64"/>
    </row>
    <row r="133" spans="2:28" x14ac:dyDescent="0.3">
      <c r="B133" s="64"/>
      <c r="C133" s="65" t="s">
        <v>44</v>
      </c>
      <c r="D133" s="66"/>
      <c r="E133" s="66"/>
      <c r="F133" s="83">
        <v>0.13</v>
      </c>
      <c r="G133" s="66"/>
      <c r="H133" s="83">
        <v>0.13</v>
      </c>
      <c r="I133" s="64"/>
      <c r="J133" s="65" t="s">
        <v>44</v>
      </c>
      <c r="K133" s="66"/>
      <c r="L133" s="66"/>
      <c r="M133" s="83">
        <v>0.13</v>
      </c>
      <c r="N133" s="66"/>
      <c r="O133" s="83">
        <v>0.13</v>
      </c>
      <c r="P133" s="64"/>
      <c r="Q133" s="65" t="s">
        <v>44</v>
      </c>
      <c r="R133" s="66"/>
      <c r="S133" s="66"/>
      <c r="T133" s="83">
        <v>0.13</v>
      </c>
      <c r="U133" s="66"/>
      <c r="V133" s="83">
        <v>0.13</v>
      </c>
      <c r="W133" s="64"/>
      <c r="X133" s="64"/>
      <c r="Y133" s="64"/>
      <c r="Z133" s="64"/>
      <c r="AA133" s="64"/>
      <c r="AB133" s="64"/>
    </row>
    <row r="134" spans="2:28" x14ac:dyDescent="0.3">
      <c r="B134" s="64"/>
      <c r="C134" s="65" t="s">
        <v>45</v>
      </c>
      <c r="D134" s="84">
        <v>1.2500000000000001E-2</v>
      </c>
      <c r="E134" s="83">
        <v>0.21</v>
      </c>
      <c r="F134" s="83">
        <f>D134/E134</f>
        <v>5.9523809523809527E-2</v>
      </c>
      <c r="G134" s="66"/>
      <c r="H134" s="83">
        <f>F134</f>
        <v>5.9523809523809527E-2</v>
      </c>
      <c r="I134" s="64"/>
      <c r="J134" s="65" t="s">
        <v>45</v>
      </c>
      <c r="K134" s="84">
        <v>1.2500000000000001E-2</v>
      </c>
      <c r="L134" s="83">
        <v>0.21</v>
      </c>
      <c r="M134" s="83">
        <f>K134/L134</f>
        <v>5.9523809523809527E-2</v>
      </c>
      <c r="N134" s="66"/>
      <c r="O134" s="83">
        <f>M134</f>
        <v>5.9523809523809527E-2</v>
      </c>
      <c r="P134" s="64"/>
      <c r="Q134" s="65" t="s">
        <v>45</v>
      </c>
      <c r="R134" s="84">
        <v>1.2500000000000001E-2</v>
      </c>
      <c r="S134" s="83">
        <v>0.21</v>
      </c>
      <c r="T134" s="83">
        <f>R134/S134</f>
        <v>5.9523809523809527E-2</v>
      </c>
      <c r="U134" s="66"/>
      <c r="V134" s="83">
        <f>T134</f>
        <v>5.9523809523809527E-2</v>
      </c>
      <c r="W134" s="64"/>
      <c r="X134" s="64"/>
      <c r="Y134" s="64"/>
      <c r="Z134" s="64"/>
      <c r="AA134" s="64"/>
      <c r="AB134" s="64"/>
    </row>
    <row r="135" spans="2:28" x14ac:dyDescent="0.3">
      <c r="B135" s="64"/>
      <c r="C135" s="65" t="s">
        <v>46</v>
      </c>
      <c r="D135" s="66"/>
      <c r="E135" s="66"/>
      <c r="F135" s="83">
        <v>0.03</v>
      </c>
      <c r="G135" s="66"/>
      <c r="H135" s="83">
        <v>0.03</v>
      </c>
      <c r="I135" s="64"/>
      <c r="J135" s="65" t="s">
        <v>46</v>
      </c>
      <c r="K135" s="66"/>
      <c r="L135" s="66"/>
      <c r="M135" s="83">
        <v>0.03</v>
      </c>
      <c r="N135" s="66"/>
      <c r="O135" s="83">
        <v>0.03</v>
      </c>
      <c r="P135" s="64"/>
      <c r="Q135" s="65" t="s">
        <v>46</v>
      </c>
      <c r="R135" s="66"/>
      <c r="S135" s="66"/>
      <c r="T135" s="83">
        <v>0.03</v>
      </c>
      <c r="U135" s="66"/>
      <c r="V135" s="83">
        <v>0.03</v>
      </c>
      <c r="W135" s="64"/>
      <c r="X135" s="64"/>
      <c r="Y135" s="64"/>
      <c r="Z135" s="64"/>
      <c r="AA135" s="64"/>
      <c r="AB135" s="64"/>
    </row>
    <row r="136" spans="2:28" x14ac:dyDescent="0.3">
      <c r="B136" s="64"/>
      <c r="C136" s="65" t="s">
        <v>47</v>
      </c>
      <c r="D136" s="83">
        <f>D20/1000</f>
        <v>0</v>
      </c>
      <c r="E136" s="83">
        <v>3.4000000000000002E-2</v>
      </c>
      <c r="F136" s="83">
        <f>D136/E136</f>
        <v>0</v>
      </c>
      <c r="G136" s="83">
        <v>0.13</v>
      </c>
      <c r="H136" s="83">
        <f>D136/G136</f>
        <v>0</v>
      </c>
      <c r="I136" s="64"/>
      <c r="J136" s="65" t="s">
        <v>65</v>
      </c>
      <c r="K136" s="83">
        <f>D136</f>
        <v>0</v>
      </c>
      <c r="L136" s="83">
        <f>E136</f>
        <v>3.4000000000000002E-2</v>
      </c>
      <c r="M136" s="83">
        <f>K136/L136</f>
        <v>0</v>
      </c>
      <c r="N136" s="83">
        <v>0.13</v>
      </c>
      <c r="O136" s="83">
        <f>K136/N136</f>
        <v>0</v>
      </c>
      <c r="P136" s="64"/>
      <c r="Q136" s="65" t="s">
        <v>65</v>
      </c>
      <c r="R136" s="83">
        <f>K136</f>
        <v>0</v>
      </c>
      <c r="S136" s="83">
        <f>L136</f>
        <v>3.4000000000000002E-2</v>
      </c>
      <c r="T136" s="83">
        <f>R136/S136</f>
        <v>0</v>
      </c>
      <c r="U136" s="83">
        <v>0.13</v>
      </c>
      <c r="V136" s="83">
        <f>R136/U136</f>
        <v>0</v>
      </c>
      <c r="W136" s="64"/>
      <c r="X136" s="64"/>
      <c r="Y136" s="64"/>
      <c r="Z136" s="64"/>
      <c r="AA136" s="64"/>
      <c r="AB136" s="64"/>
    </row>
    <row r="137" spans="2:28" x14ac:dyDescent="0.3">
      <c r="B137" s="64"/>
      <c r="C137" s="65" t="s">
        <v>56</v>
      </c>
      <c r="D137" s="66">
        <f>D19/1000</f>
        <v>0.4</v>
      </c>
      <c r="E137" s="83">
        <v>2</v>
      </c>
      <c r="F137" s="83">
        <f>D137/E137</f>
        <v>0.2</v>
      </c>
      <c r="G137" s="66"/>
      <c r="H137" s="83">
        <f>F137</f>
        <v>0.2</v>
      </c>
      <c r="I137" s="64"/>
      <c r="J137" s="65" t="s">
        <v>56</v>
      </c>
      <c r="K137" s="66">
        <f>D137</f>
        <v>0.4</v>
      </c>
      <c r="L137" s="83">
        <v>2</v>
      </c>
      <c r="M137" s="83">
        <f>K137/L137</f>
        <v>0.2</v>
      </c>
      <c r="N137" s="66"/>
      <c r="O137" s="83">
        <f>M137</f>
        <v>0.2</v>
      </c>
      <c r="P137" s="64"/>
      <c r="Q137" s="65" t="s">
        <v>56</v>
      </c>
      <c r="R137" s="66">
        <f>K137</f>
        <v>0.4</v>
      </c>
      <c r="S137" s="83">
        <v>2</v>
      </c>
      <c r="T137" s="83">
        <f>R137/S137</f>
        <v>0.2</v>
      </c>
      <c r="U137" s="66"/>
      <c r="V137" s="83">
        <f>T137</f>
        <v>0.2</v>
      </c>
      <c r="W137" s="64"/>
      <c r="X137" s="64"/>
      <c r="Y137" s="64"/>
      <c r="Z137" s="64"/>
      <c r="AA137" s="64"/>
      <c r="AB137" s="64"/>
    </row>
    <row r="138" spans="2:28" x14ac:dyDescent="0.3">
      <c r="B138" s="64"/>
      <c r="C138" s="65" t="s">
        <v>102</v>
      </c>
      <c r="D138" s="66"/>
      <c r="E138" s="83"/>
      <c r="F138" s="83">
        <v>0.13</v>
      </c>
      <c r="G138" s="66"/>
      <c r="H138" s="83">
        <f>F138</f>
        <v>0.13</v>
      </c>
      <c r="I138" s="64"/>
      <c r="J138" s="65" t="s">
        <v>102</v>
      </c>
      <c r="K138" s="66"/>
      <c r="L138" s="83"/>
      <c r="M138" s="83">
        <v>0.13</v>
      </c>
      <c r="N138" s="66"/>
      <c r="O138" s="83">
        <v>0.13</v>
      </c>
      <c r="P138" s="64"/>
      <c r="Q138" s="65" t="s">
        <v>102</v>
      </c>
      <c r="R138" s="66"/>
      <c r="S138" s="83"/>
      <c r="T138" s="83">
        <v>0.13</v>
      </c>
      <c r="U138" s="66"/>
      <c r="V138" s="83">
        <v>0.13</v>
      </c>
      <c r="W138" s="64"/>
      <c r="X138" s="64"/>
      <c r="Y138" s="64"/>
      <c r="Z138" s="64"/>
      <c r="AA138" s="64"/>
      <c r="AB138" s="64"/>
    </row>
    <row r="139" spans="2:28" x14ac:dyDescent="0.3">
      <c r="B139" s="64"/>
      <c r="C139" s="65" t="s">
        <v>185</v>
      </c>
      <c r="D139" s="66"/>
      <c r="E139" s="66"/>
      <c r="F139" s="83">
        <f>SUM(F133:F138)</f>
        <v>0.54952380952380953</v>
      </c>
      <c r="G139" s="66"/>
      <c r="H139" s="83">
        <f>SUM(H133:H138)</f>
        <v>0.54952380952380953</v>
      </c>
      <c r="I139" s="64"/>
      <c r="J139" s="65" t="s">
        <v>66</v>
      </c>
      <c r="K139" s="66">
        <f>D22/1000</f>
        <v>0.1</v>
      </c>
      <c r="L139" s="66">
        <f>_xlfn.XLOOKUP(D21,D57:F57,D61:F61)</f>
        <v>3.4000000000000002E-2</v>
      </c>
      <c r="M139" s="94">
        <f>K139/L139</f>
        <v>2.9411764705882351</v>
      </c>
      <c r="N139" s="83">
        <v>0.13</v>
      </c>
      <c r="O139" s="83">
        <f>K139/N139</f>
        <v>0.76923076923076927</v>
      </c>
      <c r="P139" s="64"/>
      <c r="Q139" s="65" t="s">
        <v>66</v>
      </c>
      <c r="R139" s="66">
        <f>K139</f>
        <v>0.1</v>
      </c>
      <c r="S139" s="66">
        <f>L139</f>
        <v>3.4000000000000002E-2</v>
      </c>
      <c r="T139" s="94">
        <f>R139/S139</f>
        <v>2.9411764705882351</v>
      </c>
      <c r="U139" s="83">
        <v>0.13</v>
      </c>
      <c r="V139" s="83">
        <f>R139/U139</f>
        <v>0.76923076923076927</v>
      </c>
      <c r="W139" s="64"/>
      <c r="X139" s="64"/>
      <c r="Y139" s="64"/>
      <c r="Z139" s="64"/>
      <c r="AA139" s="64"/>
      <c r="AB139" s="64"/>
    </row>
    <row r="140" spans="2:28" x14ac:dyDescent="0.3">
      <c r="B140" s="64"/>
      <c r="C140" s="64"/>
      <c r="D140" s="64"/>
      <c r="E140" s="64"/>
      <c r="F140" s="64"/>
      <c r="G140" s="64"/>
      <c r="H140" s="64"/>
      <c r="I140" s="64"/>
      <c r="J140" s="65" t="s">
        <v>185</v>
      </c>
      <c r="K140" s="66"/>
      <c r="L140" s="66"/>
      <c r="M140" s="83">
        <f>SUM(M133:M139)</f>
        <v>3.4907002801120446</v>
      </c>
      <c r="N140" s="66"/>
      <c r="O140" s="83">
        <f>SUM(O133:O139)</f>
        <v>1.3187545787545787</v>
      </c>
      <c r="P140" s="64"/>
      <c r="Q140" s="65" t="s">
        <v>185</v>
      </c>
      <c r="R140" s="66"/>
      <c r="S140" s="66"/>
      <c r="T140" s="83">
        <f>SUM(T133:T139)</f>
        <v>3.4907002801120446</v>
      </c>
      <c r="U140" s="66"/>
      <c r="V140" s="83">
        <f>SUM(V133:V139)</f>
        <v>1.3187545787545787</v>
      </c>
      <c r="W140" s="64"/>
      <c r="X140" s="64"/>
      <c r="Y140" s="64"/>
      <c r="Z140" s="64"/>
      <c r="AA140" s="64"/>
      <c r="AB140" s="64"/>
    </row>
    <row r="141" spans="2:28" x14ac:dyDescent="0.3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2:28" x14ac:dyDescent="0.3">
      <c r="B142" s="64"/>
      <c r="C142" s="85" t="s">
        <v>51</v>
      </c>
      <c r="D142" s="86">
        <f>1/(F131/F139 + H131/H139)</f>
        <v>0.54952380952380953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2:28" x14ac:dyDescent="0.3">
      <c r="B143" s="64"/>
      <c r="C143" s="64" t="s">
        <v>52</v>
      </c>
      <c r="D143" s="86">
        <f>F131*E136 + H131*G136</f>
        <v>4.2640000000000004E-2</v>
      </c>
      <c r="E143" s="64"/>
      <c r="F143" s="64"/>
      <c r="G143" s="64"/>
      <c r="H143" s="64"/>
      <c r="I143" s="64"/>
      <c r="J143" s="85" t="s">
        <v>51</v>
      </c>
      <c r="K143" s="86">
        <f>1/(M131/M140 + O131/O140)</f>
        <v>3.0400783990387743</v>
      </c>
      <c r="L143" s="64"/>
      <c r="M143" s="64"/>
      <c r="N143" s="64"/>
      <c r="O143" s="64"/>
      <c r="P143" s="64"/>
      <c r="Q143" s="85" t="s">
        <v>55</v>
      </c>
      <c r="R143" s="86">
        <f>1/T140</f>
        <v>0.28647546903336596</v>
      </c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2:28" x14ac:dyDescent="0.3">
      <c r="B144" s="64"/>
      <c r="C144" s="64" t="s">
        <v>53</v>
      </c>
      <c r="D144" s="86">
        <f>D136/D143</f>
        <v>0</v>
      </c>
      <c r="E144" s="64"/>
      <c r="F144" s="64"/>
      <c r="G144" s="64"/>
      <c r="H144" s="64"/>
      <c r="I144" s="64"/>
      <c r="J144" s="64" t="s">
        <v>68</v>
      </c>
      <c r="K144" s="86">
        <f>M131*L136 + O131*N136</f>
        <v>4.2640000000000004E-2</v>
      </c>
      <c r="L144" s="64"/>
      <c r="M144" s="64"/>
      <c r="N144" s="64"/>
      <c r="O144" s="64"/>
      <c r="P144" s="64"/>
      <c r="Q144" s="64"/>
      <c r="R144" s="86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2:28" x14ac:dyDescent="0.3">
      <c r="B145" s="64"/>
      <c r="C145" s="64" t="s">
        <v>54</v>
      </c>
      <c r="D145" s="86">
        <f>F133+F134+F135+D144+F137+F138</f>
        <v>0.54952380952380953</v>
      </c>
      <c r="E145" s="64"/>
      <c r="F145" s="64"/>
      <c r="G145" s="64"/>
      <c r="H145" s="64"/>
      <c r="I145" s="64"/>
      <c r="J145" s="64" t="s">
        <v>69</v>
      </c>
      <c r="K145" s="64">
        <f>L139*M131+N139*O131</f>
        <v>4.2640000000000004E-2</v>
      </c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2:28" x14ac:dyDescent="0.3">
      <c r="B146" s="64"/>
      <c r="C146" s="64" t="s">
        <v>55</v>
      </c>
      <c r="D146" s="86">
        <f>1/((D142+D145)/2)</f>
        <v>1.8197573656845754</v>
      </c>
      <c r="E146" s="64"/>
      <c r="F146" s="64"/>
      <c r="G146" s="64"/>
      <c r="H146" s="64"/>
      <c r="I146" s="64"/>
      <c r="J146" s="64" t="s">
        <v>70</v>
      </c>
      <c r="K146" s="86">
        <f>K136/K144</f>
        <v>0</v>
      </c>
      <c r="L146" s="64"/>
      <c r="M146" s="64"/>
      <c r="N146" s="64"/>
      <c r="O146" s="64"/>
      <c r="P146" s="64"/>
      <c r="Q146" s="64"/>
      <c r="R146" s="86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2:28" x14ac:dyDescent="0.3">
      <c r="B147" s="64"/>
      <c r="C147" s="64"/>
      <c r="D147" s="64"/>
      <c r="E147" s="64"/>
      <c r="F147" s="64"/>
      <c r="G147" s="64"/>
      <c r="H147" s="64"/>
      <c r="I147" s="64"/>
      <c r="J147" s="64" t="s">
        <v>71</v>
      </c>
      <c r="K147" s="64">
        <f>K139/K145</f>
        <v>2.3452157598499062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2:28" x14ac:dyDescent="0.3">
      <c r="B148" s="64"/>
      <c r="C148" s="64"/>
      <c r="D148" s="64"/>
      <c r="E148" s="64"/>
      <c r="F148" s="64"/>
      <c r="G148" s="64"/>
      <c r="H148" s="64"/>
      <c r="I148" s="64"/>
      <c r="J148" s="64" t="s">
        <v>54</v>
      </c>
      <c r="K148" s="86">
        <f>M133+M134+M135+K146+M137+K147+M138</f>
        <v>2.8947395693737157</v>
      </c>
      <c r="L148" s="64"/>
      <c r="M148" s="64"/>
      <c r="N148" s="64"/>
      <c r="O148" s="64"/>
      <c r="P148" s="64"/>
      <c r="Q148" s="64"/>
      <c r="R148" s="86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2:28" x14ac:dyDescent="0.3">
      <c r="B149" s="64"/>
      <c r="C149" s="64"/>
      <c r="D149" s="64"/>
      <c r="E149" s="64"/>
      <c r="F149" s="64"/>
      <c r="G149" s="64"/>
      <c r="H149" s="64"/>
      <c r="I149" s="64"/>
      <c r="J149" s="64" t="s">
        <v>55</v>
      </c>
      <c r="K149" s="86">
        <f>1/((K143+K148)/2)</f>
        <v>0.33699432916810784</v>
      </c>
      <c r="L149" s="64"/>
      <c r="M149" s="64"/>
      <c r="N149" s="64"/>
      <c r="O149" s="64"/>
      <c r="P149" s="64"/>
      <c r="Q149" s="64"/>
      <c r="R149" s="86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2:28" x14ac:dyDescent="0.3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2:28" x14ac:dyDescent="0.3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2:28" x14ac:dyDescent="0.3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2:28" x14ac:dyDescent="0.3">
      <c r="B153" s="64"/>
      <c r="C153" s="142" t="s">
        <v>194</v>
      </c>
      <c r="D153" s="142"/>
      <c r="E153" s="142"/>
      <c r="F153" s="64"/>
      <c r="G153" s="64"/>
      <c r="H153" s="64"/>
      <c r="I153" s="64"/>
      <c r="J153" s="142" t="s">
        <v>195</v>
      </c>
      <c r="K153" s="142"/>
      <c r="L153" s="142"/>
      <c r="M153" s="142"/>
      <c r="N153" s="64"/>
      <c r="O153" s="64"/>
      <c r="P153" s="64"/>
      <c r="Q153" s="142" t="s">
        <v>196</v>
      </c>
      <c r="R153" s="142"/>
      <c r="S153" s="142"/>
      <c r="T153" s="142"/>
      <c r="U153" s="64"/>
      <c r="V153" s="64"/>
      <c r="W153" s="64"/>
      <c r="X153" s="64"/>
      <c r="Y153" s="64"/>
      <c r="Z153" s="64"/>
      <c r="AA153" s="64"/>
      <c r="AB153" s="64"/>
    </row>
    <row r="154" spans="2:28" x14ac:dyDescent="0.3">
      <c r="B154" s="64"/>
      <c r="C154" s="143" t="s">
        <v>38</v>
      </c>
      <c r="D154" s="144"/>
      <c r="E154" s="145"/>
      <c r="F154" s="78">
        <v>0.91</v>
      </c>
      <c r="G154" s="67" t="s">
        <v>39</v>
      </c>
      <c r="H154" s="79">
        <v>0.09</v>
      </c>
      <c r="I154" s="64"/>
      <c r="J154" s="143" t="s">
        <v>38</v>
      </c>
      <c r="K154" s="144"/>
      <c r="L154" s="145"/>
      <c r="M154" s="78">
        <v>0.91</v>
      </c>
      <c r="N154" s="67" t="s">
        <v>39</v>
      </c>
      <c r="O154" s="79">
        <v>0.09</v>
      </c>
      <c r="P154" s="64"/>
      <c r="Q154" s="143" t="s">
        <v>38</v>
      </c>
      <c r="R154" s="144"/>
      <c r="S154" s="145"/>
      <c r="T154" s="78">
        <v>0.91</v>
      </c>
      <c r="U154" s="67" t="s">
        <v>39</v>
      </c>
      <c r="V154" s="80">
        <v>0.09</v>
      </c>
      <c r="W154" s="70"/>
      <c r="X154" s="70" t="s">
        <v>28</v>
      </c>
      <c r="Y154" s="70" t="s">
        <v>116</v>
      </c>
      <c r="Z154" s="70" t="s">
        <v>23</v>
      </c>
      <c r="AA154" s="64"/>
      <c r="AB154" s="64"/>
    </row>
    <row r="155" spans="2:28" x14ac:dyDescent="0.3">
      <c r="B155" s="64"/>
      <c r="C155" s="65" t="s">
        <v>40</v>
      </c>
      <c r="D155" s="66" t="s">
        <v>41</v>
      </c>
      <c r="E155" s="81" t="s">
        <v>42</v>
      </c>
      <c r="F155" s="66" t="s">
        <v>43</v>
      </c>
      <c r="G155" s="66" t="s">
        <v>42</v>
      </c>
      <c r="H155" s="66" t="s">
        <v>43</v>
      </c>
      <c r="I155" s="64"/>
      <c r="J155" s="65" t="s">
        <v>40</v>
      </c>
      <c r="K155" s="66" t="s">
        <v>41</v>
      </c>
      <c r="L155" s="81" t="s">
        <v>42</v>
      </c>
      <c r="M155" s="66" t="s">
        <v>43</v>
      </c>
      <c r="N155" s="66" t="s">
        <v>42</v>
      </c>
      <c r="O155" s="66" t="s">
        <v>43</v>
      </c>
      <c r="P155" s="64"/>
      <c r="Q155" s="65" t="s">
        <v>40</v>
      </c>
      <c r="R155" s="66" t="s">
        <v>41</v>
      </c>
      <c r="S155" s="81" t="s">
        <v>42</v>
      </c>
      <c r="T155" s="66" t="s">
        <v>43</v>
      </c>
      <c r="U155" s="66" t="s">
        <v>42</v>
      </c>
      <c r="V155" s="69" t="s">
        <v>43</v>
      </c>
      <c r="W155" s="70" t="s">
        <v>136</v>
      </c>
      <c r="X155" s="82">
        <f>K171</f>
        <v>0.35113119283901195</v>
      </c>
      <c r="Y155" s="82">
        <f>R165</f>
        <v>0.29575504523312457</v>
      </c>
      <c r="Z155" s="82">
        <f>R165</f>
        <v>0.29575504523312457</v>
      </c>
      <c r="AA155" s="64"/>
      <c r="AB155" s="64"/>
    </row>
    <row r="156" spans="2:28" x14ac:dyDescent="0.3">
      <c r="B156" s="64"/>
      <c r="C156" s="65" t="s">
        <v>44</v>
      </c>
      <c r="D156" s="66"/>
      <c r="E156" s="66"/>
      <c r="F156" s="83">
        <v>0.13</v>
      </c>
      <c r="G156" s="66"/>
      <c r="H156" s="83">
        <v>0.13</v>
      </c>
      <c r="I156" s="64"/>
      <c r="J156" s="65" t="s">
        <v>44</v>
      </c>
      <c r="K156" s="66"/>
      <c r="L156" s="66"/>
      <c r="M156" s="83">
        <v>0.13</v>
      </c>
      <c r="N156" s="66"/>
      <c r="O156" s="83">
        <v>0.13</v>
      </c>
      <c r="P156" s="64"/>
      <c r="Q156" s="65" t="s">
        <v>44</v>
      </c>
      <c r="R156" s="66"/>
      <c r="S156" s="66"/>
      <c r="T156" s="83">
        <v>0.13</v>
      </c>
      <c r="U156" s="66"/>
      <c r="V156" s="83">
        <v>0.13</v>
      </c>
      <c r="W156" s="64"/>
      <c r="X156" s="64"/>
      <c r="Y156" s="64"/>
      <c r="Z156" s="64"/>
      <c r="AA156" s="64"/>
      <c r="AB156" s="64"/>
    </row>
    <row r="157" spans="2:28" x14ac:dyDescent="0.3">
      <c r="B157" s="64"/>
      <c r="C157" s="65" t="s">
        <v>201</v>
      </c>
      <c r="D157" s="84"/>
      <c r="E157" s="83"/>
      <c r="F157" s="83">
        <v>0.13</v>
      </c>
      <c r="G157" s="66"/>
      <c r="H157" s="83">
        <f>F157</f>
        <v>0.13</v>
      </c>
      <c r="I157" s="64"/>
      <c r="J157" s="65" t="s">
        <v>201</v>
      </c>
      <c r="K157" s="84"/>
      <c r="L157" s="83"/>
      <c r="M157" s="83">
        <v>0.13</v>
      </c>
      <c r="N157" s="66"/>
      <c r="O157" s="83">
        <f>M157</f>
        <v>0.13</v>
      </c>
      <c r="P157" s="64"/>
      <c r="Q157" s="65" t="s">
        <v>201</v>
      </c>
      <c r="R157" s="84"/>
      <c r="S157" s="83"/>
      <c r="T157" s="83">
        <v>0.13</v>
      </c>
      <c r="U157" s="66"/>
      <c r="V157" s="83">
        <f>T157</f>
        <v>0.13</v>
      </c>
      <c r="W157" s="64"/>
      <c r="X157" s="64"/>
      <c r="Y157" s="64"/>
      <c r="Z157" s="64"/>
      <c r="AA157" s="64"/>
      <c r="AB157" s="64"/>
    </row>
    <row r="158" spans="2:28" x14ac:dyDescent="0.3">
      <c r="B158" s="64"/>
      <c r="C158" s="65" t="s">
        <v>46</v>
      </c>
      <c r="D158" s="66"/>
      <c r="E158" s="66"/>
      <c r="F158" s="83">
        <v>0.03</v>
      </c>
      <c r="G158" s="66"/>
      <c r="H158" s="83">
        <v>0.03</v>
      </c>
      <c r="I158" s="64"/>
      <c r="J158" s="65" t="s">
        <v>46</v>
      </c>
      <c r="K158" s="66"/>
      <c r="L158" s="66"/>
      <c r="M158" s="83">
        <v>0.03</v>
      </c>
      <c r="N158" s="66"/>
      <c r="O158" s="83">
        <v>0.03</v>
      </c>
      <c r="P158" s="64"/>
      <c r="Q158" s="65" t="s">
        <v>46</v>
      </c>
      <c r="R158" s="66"/>
      <c r="S158" s="66"/>
      <c r="T158" s="83">
        <v>0.03</v>
      </c>
      <c r="U158" s="66"/>
      <c r="V158" s="83">
        <v>0.03</v>
      </c>
      <c r="W158" s="64"/>
      <c r="X158" s="64"/>
      <c r="Y158" s="64"/>
      <c r="Z158" s="64"/>
      <c r="AA158" s="64"/>
      <c r="AB158" s="64"/>
    </row>
    <row r="159" spans="2:28" x14ac:dyDescent="0.3">
      <c r="B159" s="64"/>
      <c r="C159" s="65" t="s">
        <v>47</v>
      </c>
      <c r="D159" s="83">
        <f>D27/1000</f>
        <v>0</v>
      </c>
      <c r="E159" s="83">
        <v>3.4000000000000002E-2</v>
      </c>
      <c r="F159" s="83">
        <f>D159/E159</f>
        <v>0</v>
      </c>
      <c r="G159" s="83">
        <v>0.13</v>
      </c>
      <c r="H159" s="83">
        <f>D159/G159</f>
        <v>0</v>
      </c>
      <c r="I159" s="64"/>
      <c r="J159" s="65" t="s">
        <v>65</v>
      </c>
      <c r="K159" s="83">
        <f>D159</f>
        <v>0</v>
      </c>
      <c r="L159" s="83">
        <f>E159</f>
        <v>3.4000000000000002E-2</v>
      </c>
      <c r="M159" s="83">
        <f>K159/L159</f>
        <v>0</v>
      </c>
      <c r="N159" s="83">
        <v>0.13</v>
      </c>
      <c r="O159" s="83">
        <f>K159/N159</f>
        <v>0</v>
      </c>
      <c r="P159" s="64"/>
      <c r="Q159" s="65" t="s">
        <v>65</v>
      </c>
      <c r="R159" s="83">
        <f>K159</f>
        <v>0</v>
      </c>
      <c r="S159" s="83">
        <f>L159</f>
        <v>3.4000000000000002E-2</v>
      </c>
      <c r="T159" s="83">
        <f>R159/S159</f>
        <v>0</v>
      </c>
      <c r="U159" s="83">
        <v>0.13</v>
      </c>
      <c r="V159" s="83">
        <f>R159/U159</f>
        <v>0</v>
      </c>
      <c r="W159" s="64"/>
      <c r="X159" s="64"/>
      <c r="Y159" s="64"/>
      <c r="Z159" s="64"/>
      <c r="AA159" s="64"/>
      <c r="AB159" s="64"/>
    </row>
    <row r="160" spans="2:28" x14ac:dyDescent="0.3">
      <c r="B160" s="64"/>
      <c r="C160" s="65" t="s">
        <v>56</v>
      </c>
      <c r="D160" s="66">
        <f>D26/1000</f>
        <v>0.3</v>
      </c>
      <c r="E160" s="83">
        <v>2</v>
      </c>
      <c r="F160" s="83">
        <f>D160/E160</f>
        <v>0.15</v>
      </c>
      <c r="G160" s="66"/>
      <c r="H160" s="83">
        <f>F160</f>
        <v>0.15</v>
      </c>
      <c r="I160" s="64"/>
      <c r="J160" s="65" t="s">
        <v>56</v>
      </c>
      <c r="K160" s="66">
        <f>D160</f>
        <v>0.3</v>
      </c>
      <c r="L160" s="83">
        <v>2</v>
      </c>
      <c r="M160" s="83">
        <f>K160/L160</f>
        <v>0.15</v>
      </c>
      <c r="N160" s="66"/>
      <c r="O160" s="83">
        <f>M160</f>
        <v>0.15</v>
      </c>
      <c r="P160" s="64"/>
      <c r="Q160" s="65" t="s">
        <v>56</v>
      </c>
      <c r="R160" s="66">
        <f>K160</f>
        <v>0.3</v>
      </c>
      <c r="S160" s="83">
        <v>2</v>
      </c>
      <c r="T160" s="83">
        <f>R160/S160</f>
        <v>0.15</v>
      </c>
      <c r="U160" s="66"/>
      <c r="V160" s="83">
        <f>T160</f>
        <v>0.15</v>
      </c>
      <c r="W160" s="64"/>
      <c r="X160" s="64"/>
      <c r="Y160" s="64"/>
      <c r="Z160" s="64"/>
      <c r="AA160" s="64"/>
      <c r="AB160" s="64"/>
    </row>
    <row r="161" spans="2:28" x14ac:dyDescent="0.3">
      <c r="B161" s="64"/>
      <c r="C161" s="65" t="s">
        <v>185</v>
      </c>
      <c r="D161" s="66"/>
      <c r="E161" s="66"/>
      <c r="F161" s="83">
        <f>SUM(F156:F160)</f>
        <v>0.44000000000000006</v>
      </c>
      <c r="G161" s="66"/>
      <c r="H161" s="83">
        <f>SUM(H156:H160)</f>
        <v>0.44000000000000006</v>
      </c>
      <c r="I161" s="64"/>
      <c r="J161" s="65" t="s">
        <v>66</v>
      </c>
      <c r="K161" s="66">
        <f>D29/1000</f>
        <v>0.1</v>
      </c>
      <c r="L161" s="66">
        <f>_xlfn.XLOOKUP(D28,D57:F57,D61:F61)</f>
        <v>3.4000000000000002E-2</v>
      </c>
      <c r="M161" s="94">
        <f>K161/L161</f>
        <v>2.9411764705882351</v>
      </c>
      <c r="N161" s="83">
        <v>0.13</v>
      </c>
      <c r="O161" s="83">
        <f>K161/N161</f>
        <v>0.76923076923076927</v>
      </c>
      <c r="P161" s="64"/>
      <c r="Q161" s="65" t="s">
        <v>66</v>
      </c>
      <c r="R161" s="66">
        <f>K161</f>
        <v>0.1</v>
      </c>
      <c r="S161" s="66">
        <f>L161</f>
        <v>3.4000000000000002E-2</v>
      </c>
      <c r="T161" s="94">
        <f>R161/S161</f>
        <v>2.9411764705882351</v>
      </c>
      <c r="U161" s="83">
        <v>0.13</v>
      </c>
      <c r="V161" s="83">
        <f>R161/U161</f>
        <v>0.76923076923076927</v>
      </c>
      <c r="W161" s="64"/>
      <c r="X161" s="64"/>
      <c r="Y161" s="64"/>
      <c r="Z161" s="64"/>
      <c r="AA161" s="64"/>
      <c r="AB161" s="64"/>
    </row>
    <row r="162" spans="2:28" x14ac:dyDescent="0.3">
      <c r="B162" s="64"/>
      <c r="C162" s="64"/>
      <c r="D162" s="64"/>
      <c r="E162" s="64"/>
      <c r="F162" s="64"/>
      <c r="G162" s="64"/>
      <c r="H162" s="64"/>
      <c r="I162" s="64"/>
      <c r="J162" s="65" t="s">
        <v>185</v>
      </c>
      <c r="K162" s="66"/>
      <c r="L162" s="66"/>
      <c r="M162" s="83">
        <f>SUM(M156:M161)</f>
        <v>3.381176470588235</v>
      </c>
      <c r="N162" s="66"/>
      <c r="O162" s="83">
        <f>SUM(O156:O161)</f>
        <v>1.2092307692307693</v>
      </c>
      <c r="P162" s="64"/>
      <c r="Q162" s="65" t="s">
        <v>185</v>
      </c>
      <c r="R162" s="66"/>
      <c r="S162" s="66"/>
      <c r="T162" s="83">
        <f>SUM(T156:T161)</f>
        <v>3.381176470588235</v>
      </c>
      <c r="U162" s="66"/>
      <c r="V162" s="83">
        <f>SUM(V156:V161)</f>
        <v>1.2092307692307693</v>
      </c>
      <c r="W162" s="64"/>
      <c r="X162" s="64"/>
      <c r="Y162" s="64"/>
      <c r="Z162" s="64"/>
      <c r="AA162" s="64"/>
      <c r="AB162" s="64"/>
    </row>
    <row r="163" spans="2:28" x14ac:dyDescent="0.3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2:28" x14ac:dyDescent="0.3">
      <c r="B164" s="64"/>
      <c r="C164" s="85" t="s">
        <v>51</v>
      </c>
      <c r="D164" s="86">
        <f>1/(F154/F161 + H154/H161)</f>
        <v>0.44000000000000006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2:28" x14ac:dyDescent="0.3">
      <c r="B165" s="64"/>
      <c r="C165" s="64" t="s">
        <v>52</v>
      </c>
      <c r="D165" s="86">
        <f>F154*E159 + H154*G159</f>
        <v>4.2640000000000004E-2</v>
      </c>
      <c r="E165" s="64"/>
      <c r="F165" s="64"/>
      <c r="G165" s="64"/>
      <c r="H165" s="64"/>
      <c r="I165" s="64"/>
      <c r="J165" s="85" t="s">
        <v>51</v>
      </c>
      <c r="K165" s="86">
        <f>1/(M154/M162 + O154/O162)</f>
        <v>2.9106609972941628</v>
      </c>
      <c r="L165" s="64"/>
      <c r="M165" s="64"/>
      <c r="N165" s="64"/>
      <c r="O165" s="64"/>
      <c r="P165" s="64"/>
      <c r="Q165" s="85" t="s">
        <v>55</v>
      </c>
      <c r="R165" s="86">
        <f>1/T162</f>
        <v>0.29575504523312457</v>
      </c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x14ac:dyDescent="0.3">
      <c r="B166" s="64"/>
      <c r="C166" s="64" t="s">
        <v>53</v>
      </c>
      <c r="D166" s="86">
        <f>D159/D165</f>
        <v>0</v>
      </c>
      <c r="E166" s="64"/>
      <c r="F166" s="64"/>
      <c r="G166" s="64"/>
      <c r="H166" s="64"/>
      <c r="I166" s="64"/>
      <c r="J166" s="64" t="s">
        <v>68</v>
      </c>
      <c r="K166" s="86">
        <f>M154*L159 + O154*N159</f>
        <v>4.2640000000000004E-2</v>
      </c>
      <c r="L166" s="64"/>
      <c r="M166" s="64"/>
      <c r="N166" s="64"/>
      <c r="O166" s="64"/>
      <c r="P166" s="64"/>
      <c r="Q166" s="64"/>
      <c r="R166" s="86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2:28" x14ac:dyDescent="0.3">
      <c r="B167" s="64"/>
      <c r="C167" s="64" t="s">
        <v>54</v>
      </c>
      <c r="D167" s="86">
        <f>F156+F157+F158+D166+F160</f>
        <v>0.44000000000000006</v>
      </c>
      <c r="E167" s="64"/>
      <c r="F167" s="64"/>
      <c r="G167" s="64"/>
      <c r="H167" s="64"/>
      <c r="I167" s="64"/>
      <c r="J167" s="64" t="s">
        <v>69</v>
      </c>
      <c r="K167" s="64">
        <f>L161*M154+N161*O154</f>
        <v>4.2640000000000004E-2</v>
      </c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2:28" x14ac:dyDescent="0.3">
      <c r="B168" s="64"/>
      <c r="C168" s="64" t="s">
        <v>55</v>
      </c>
      <c r="D168" s="86">
        <f>1/((D164+D167)/2)</f>
        <v>2.2727272727272725</v>
      </c>
      <c r="E168" s="64"/>
      <c r="F168" s="64"/>
      <c r="G168" s="64"/>
      <c r="H168" s="64"/>
      <c r="I168" s="64"/>
      <c r="J168" s="64" t="s">
        <v>70</v>
      </c>
      <c r="K168" s="86">
        <f>K159/K166</f>
        <v>0</v>
      </c>
      <c r="L168" s="64"/>
      <c r="M168" s="64"/>
      <c r="N168" s="64"/>
      <c r="O168" s="64"/>
      <c r="P168" s="64"/>
      <c r="Q168" s="64"/>
      <c r="R168" s="86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2:28" x14ac:dyDescent="0.3">
      <c r="B169" s="64"/>
      <c r="C169" s="64"/>
      <c r="D169" s="64"/>
      <c r="E169" s="64"/>
      <c r="F169" s="64"/>
      <c r="G169" s="64"/>
      <c r="H169" s="64"/>
      <c r="I169" s="64"/>
      <c r="J169" s="64" t="s">
        <v>71</v>
      </c>
      <c r="K169" s="64">
        <f>K161/K167</f>
        <v>2.3452157598499062</v>
      </c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2:28" x14ac:dyDescent="0.3">
      <c r="B170" s="64"/>
      <c r="C170" s="64"/>
      <c r="D170" s="64"/>
      <c r="E170" s="64"/>
      <c r="F170" s="64"/>
      <c r="G170" s="64"/>
      <c r="H170" s="64"/>
      <c r="I170" s="64"/>
      <c r="J170" s="64" t="s">
        <v>54</v>
      </c>
      <c r="K170" s="86">
        <f>M156+M157+M158+K168+M160+K169</f>
        <v>2.7852157598499061</v>
      </c>
      <c r="L170" s="64"/>
      <c r="M170" s="64"/>
      <c r="N170" s="64"/>
      <c r="O170" s="64"/>
      <c r="P170" s="64"/>
      <c r="Q170" s="64"/>
      <c r="R170" s="86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2:28" x14ac:dyDescent="0.3">
      <c r="B171" s="64"/>
      <c r="C171" s="64"/>
      <c r="D171" s="64"/>
      <c r="E171" s="64"/>
      <c r="F171" s="64"/>
      <c r="G171" s="64"/>
      <c r="H171" s="64"/>
      <c r="I171" s="64"/>
      <c r="J171" s="64" t="s">
        <v>55</v>
      </c>
      <c r="K171" s="86">
        <f>1/((K165+K170)/2)</f>
        <v>0.35113119283901195</v>
      </c>
      <c r="L171" s="64"/>
      <c r="M171" s="64"/>
      <c r="N171" s="64"/>
      <c r="O171" s="64"/>
      <c r="P171" s="64"/>
      <c r="Q171" s="64"/>
      <c r="R171" s="86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2:28" x14ac:dyDescent="0.3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2:28" x14ac:dyDescent="0.3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2:28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2:28" x14ac:dyDescent="0.3">
      <c r="B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2:28" x14ac:dyDescent="0.3">
      <c r="B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2:28" x14ac:dyDescent="0.3">
      <c r="B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2:28" x14ac:dyDescent="0.3">
      <c r="B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2:28" x14ac:dyDescent="0.3">
      <c r="B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2:28" x14ac:dyDescent="0.3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2:28" x14ac:dyDescent="0.3">
      <c r="B181" s="64"/>
      <c r="C181" s="95" t="s">
        <v>140</v>
      </c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2:28" x14ac:dyDescent="0.3">
      <c r="B182" s="64"/>
      <c r="C182" s="96" t="s">
        <v>153</v>
      </c>
      <c r="D182" s="96" t="s">
        <v>141</v>
      </c>
      <c r="E182" s="96" t="s">
        <v>7</v>
      </c>
      <c r="F182" s="96" t="s">
        <v>142</v>
      </c>
      <c r="G182" s="147" t="s">
        <v>152</v>
      </c>
      <c r="H182" s="147"/>
      <c r="I182" s="147" t="s">
        <v>143</v>
      </c>
      <c r="J182" s="147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2:28" x14ac:dyDescent="0.3">
      <c r="B183" s="64"/>
      <c r="C183" s="66"/>
      <c r="D183" s="66">
        <v>200</v>
      </c>
      <c r="E183" s="66">
        <v>245</v>
      </c>
      <c r="F183" s="66">
        <v>300</v>
      </c>
      <c r="G183" s="148">
        <f>E183/D183</f>
        <v>1.2250000000000001</v>
      </c>
      <c r="H183" s="148"/>
      <c r="I183" s="146">
        <f>F183/D183</f>
        <v>1.5</v>
      </c>
      <c r="J183" s="146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2:28" x14ac:dyDescent="0.3">
      <c r="B184" s="64"/>
      <c r="C184" s="97"/>
      <c r="D184" s="66">
        <v>250</v>
      </c>
      <c r="E184" s="66">
        <v>304</v>
      </c>
      <c r="F184" s="66">
        <v>366</v>
      </c>
      <c r="G184" s="148">
        <f>E184/D184</f>
        <v>1.216</v>
      </c>
      <c r="H184" s="148"/>
      <c r="I184" s="148">
        <f>F184/D184</f>
        <v>1.464</v>
      </c>
      <c r="J184" s="148"/>
      <c r="K184" s="124" t="s">
        <v>47</v>
      </c>
      <c r="L184" s="66" t="s">
        <v>154</v>
      </c>
      <c r="M184" s="66" t="s">
        <v>155</v>
      </c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2:28" x14ac:dyDescent="0.3">
      <c r="B185" s="64"/>
      <c r="C185" s="66"/>
      <c r="D185" s="66">
        <v>300</v>
      </c>
      <c r="E185" s="66">
        <v>364</v>
      </c>
      <c r="F185" s="66">
        <v>434</v>
      </c>
      <c r="G185" s="146">
        <f t="shared" ref="G185:G190" si="0">E185/D185</f>
        <v>1.2133333333333334</v>
      </c>
      <c r="H185" s="146"/>
      <c r="I185" s="146">
        <f t="shared" ref="I185:I190" si="1">F185/D185</f>
        <v>1.4466666666666668</v>
      </c>
      <c r="J185" s="146"/>
      <c r="K185" s="125" t="s">
        <v>2</v>
      </c>
      <c r="L185" s="83">
        <f>_xlfn.XLOOKUP(D8,D57:F57,D58:F58)</f>
        <v>1.2318739177489177</v>
      </c>
      <c r="M185" s="93">
        <f>L185*1.164</f>
        <v>1.4339012402597402</v>
      </c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2:28" x14ac:dyDescent="0.3">
      <c r="B186" s="64"/>
      <c r="C186" s="66"/>
      <c r="D186" s="66">
        <v>350</v>
      </c>
      <c r="E186" s="66">
        <v>426</v>
      </c>
      <c r="F186" s="66">
        <v>495</v>
      </c>
      <c r="G186" s="146">
        <f t="shared" si="0"/>
        <v>1.2171428571428571</v>
      </c>
      <c r="H186" s="146"/>
      <c r="I186" s="146">
        <f t="shared" si="1"/>
        <v>1.4142857142857144</v>
      </c>
      <c r="J186" s="146"/>
      <c r="K186" s="125" t="s">
        <v>95</v>
      </c>
      <c r="L186" s="83">
        <f>_xlfn.XLOOKUP(D14,D57:F57,D58:F58)</f>
        <v>1.2318739177489177</v>
      </c>
      <c r="M186" s="83">
        <f>L186*1.164</f>
        <v>1.4339012402597402</v>
      </c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2:28" x14ac:dyDescent="0.3">
      <c r="B187" s="64"/>
      <c r="C187" s="66"/>
      <c r="D187" s="66">
        <v>400</v>
      </c>
      <c r="E187" s="66">
        <v>484</v>
      </c>
      <c r="F187" s="66">
        <v>554</v>
      </c>
      <c r="G187" s="146">
        <f t="shared" si="0"/>
        <v>1.21</v>
      </c>
      <c r="H187" s="146"/>
      <c r="I187" s="148">
        <f t="shared" si="1"/>
        <v>1.385</v>
      </c>
      <c r="J187" s="148"/>
      <c r="K187" s="125" t="s">
        <v>149</v>
      </c>
      <c r="L187" s="83">
        <f>_xlfn.XLOOKUP(D21,D57:F57,D58:F58)</f>
        <v>1.2318739177489177</v>
      </c>
      <c r="M187" s="83">
        <f>L187*1.164</f>
        <v>1.4339012402597402</v>
      </c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2:28" x14ac:dyDescent="0.3">
      <c r="B188" s="64"/>
      <c r="C188" s="66"/>
      <c r="D188" s="66">
        <v>450</v>
      </c>
      <c r="E188" s="66">
        <v>546</v>
      </c>
      <c r="F188" s="66">
        <v>623</v>
      </c>
      <c r="G188" s="146">
        <f t="shared" si="0"/>
        <v>1.2133333333333334</v>
      </c>
      <c r="H188" s="146"/>
      <c r="I188" s="146">
        <f t="shared" si="1"/>
        <v>1.3844444444444444</v>
      </c>
      <c r="J188" s="146"/>
      <c r="K188" s="125" t="s">
        <v>199</v>
      </c>
      <c r="L188" s="83">
        <f>_xlfn.XLOOKUP(D28,D57:F57,D58:F58)</f>
        <v>1.2318739177489177</v>
      </c>
      <c r="M188" s="83">
        <f>L188*1.164</f>
        <v>1.4339012402597402</v>
      </c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2:28" x14ac:dyDescent="0.3">
      <c r="B189" s="64"/>
      <c r="C189" s="66"/>
      <c r="D189" s="66">
        <v>500</v>
      </c>
      <c r="E189" s="66">
        <v>611</v>
      </c>
      <c r="F189" s="66">
        <v>695</v>
      </c>
      <c r="G189" s="148">
        <f t="shared" si="0"/>
        <v>1.222</v>
      </c>
      <c r="H189" s="148"/>
      <c r="I189" s="146">
        <f t="shared" si="1"/>
        <v>1.39</v>
      </c>
      <c r="J189" s="146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2:28" x14ac:dyDescent="0.3">
      <c r="B190" s="64"/>
      <c r="C190" s="66"/>
      <c r="D190" s="66">
        <v>550</v>
      </c>
      <c r="E190" s="66">
        <v>736</v>
      </c>
      <c r="F190" s="66">
        <v>819</v>
      </c>
      <c r="G190" s="146">
        <f t="shared" si="0"/>
        <v>1.3381818181818181</v>
      </c>
      <c r="H190" s="146"/>
      <c r="I190" s="146">
        <f t="shared" si="1"/>
        <v>1.489090909090909</v>
      </c>
      <c r="J190" s="146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2:28" ht="16.2" thickBot="1" x14ac:dyDescent="0.35">
      <c r="B191" s="64"/>
      <c r="C191" s="126" t="s">
        <v>150</v>
      </c>
      <c r="D191" s="127"/>
      <c r="E191" s="127"/>
      <c r="F191" s="127"/>
      <c r="G191" s="149">
        <f>AVERAGE(G183:G190)</f>
        <v>1.2318739177489177</v>
      </c>
      <c r="H191" s="149"/>
      <c r="I191" s="149">
        <f>AVERAGE(I183:I190)</f>
        <v>1.4341859668109669</v>
      </c>
      <c r="J191" s="149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2:28" ht="16.2" thickTop="1" x14ac:dyDescent="0.3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2:28" x14ac:dyDescent="0.3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2:28" x14ac:dyDescent="0.3">
      <c r="B194" s="64"/>
      <c r="C194" s="96" t="s">
        <v>2</v>
      </c>
      <c r="D194" s="96" t="s">
        <v>7</v>
      </c>
      <c r="E194" s="96" t="s">
        <v>142</v>
      </c>
      <c r="F194" s="96" t="s">
        <v>147</v>
      </c>
      <c r="G194" s="96" t="s">
        <v>148</v>
      </c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2:28" x14ac:dyDescent="0.3">
      <c r="B195" s="64"/>
      <c r="C195" s="66" t="s">
        <v>176</v>
      </c>
      <c r="D195" s="66">
        <v>476</v>
      </c>
      <c r="E195" s="66">
        <v>972</v>
      </c>
      <c r="F195" s="66">
        <v>173</v>
      </c>
      <c r="G195" s="66" t="s">
        <v>151</v>
      </c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2:28" x14ac:dyDescent="0.3">
      <c r="B196" s="64"/>
      <c r="C196" s="66" t="s">
        <v>177</v>
      </c>
      <c r="D196" s="66">
        <v>137</v>
      </c>
      <c r="E196" s="66">
        <v>280</v>
      </c>
      <c r="F196" s="66"/>
      <c r="G196" s="66" t="s">
        <v>151</v>
      </c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2:28" x14ac:dyDescent="0.3">
      <c r="B197" s="64"/>
      <c r="C197" s="66" t="s">
        <v>94</v>
      </c>
      <c r="D197" s="66">
        <v>39</v>
      </c>
      <c r="E197" s="66">
        <v>127</v>
      </c>
      <c r="F197" s="66"/>
      <c r="G197" s="66" t="s">
        <v>151</v>
      </c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2:28" x14ac:dyDescent="0.3">
      <c r="B198" s="64"/>
      <c r="C198" s="66" t="s">
        <v>165</v>
      </c>
      <c r="D198" s="66">
        <v>39</v>
      </c>
      <c r="E198" s="66">
        <v>128</v>
      </c>
      <c r="F198" s="66"/>
      <c r="G198" s="66" t="s">
        <v>151</v>
      </c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2:28" x14ac:dyDescent="0.3">
      <c r="B199" s="64"/>
      <c r="C199" s="66" t="s">
        <v>115</v>
      </c>
      <c r="D199" s="94">
        <f>L185*D9</f>
        <v>123.18739177489178</v>
      </c>
      <c r="E199" s="94">
        <f>M185*D9</f>
        <v>143.39012402597402</v>
      </c>
      <c r="F199" s="66"/>
      <c r="G199" s="66" t="s">
        <v>151</v>
      </c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2:28" x14ac:dyDescent="0.3">
      <c r="B200" s="64"/>
      <c r="C200" s="66" t="s">
        <v>169</v>
      </c>
      <c r="D200" s="94">
        <v>66</v>
      </c>
      <c r="E200" s="94">
        <v>219</v>
      </c>
      <c r="F200" s="66">
        <v>186</v>
      </c>
      <c r="G200" s="66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2:28" ht="16.2" thickBot="1" x14ac:dyDescent="0.35">
      <c r="B201" s="64"/>
      <c r="C201" s="128" t="s">
        <v>144</v>
      </c>
      <c r="D201" s="129">
        <f>SUM(D195:D200)</f>
        <v>880.18739177489181</v>
      </c>
      <c r="E201" s="129">
        <f>SUM(E195:E200)</f>
        <v>1869.390124025974</v>
      </c>
      <c r="F201" s="127">
        <f>SUM(F195:F200)</f>
        <v>359</v>
      </c>
      <c r="G201" s="127" t="s">
        <v>151</v>
      </c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2:28" ht="16.2" thickTop="1" x14ac:dyDescent="0.3">
      <c r="B202" s="64"/>
      <c r="C202" s="64"/>
      <c r="D202" s="64"/>
      <c r="E202" s="64"/>
      <c r="F202" s="64"/>
      <c r="G202" s="64"/>
      <c r="H202" s="64"/>
      <c r="I202" s="64"/>
      <c r="J202" s="64"/>
      <c r="K202" s="111"/>
      <c r="L202" s="111"/>
      <c r="M202" s="111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2:28" x14ac:dyDescent="0.3">
      <c r="B203" s="64"/>
      <c r="C203" s="97" t="s">
        <v>95</v>
      </c>
      <c r="D203" s="96" t="s">
        <v>7</v>
      </c>
      <c r="E203" s="96" t="s">
        <v>142</v>
      </c>
      <c r="F203" s="96" t="s">
        <v>147</v>
      </c>
      <c r="G203" s="96" t="s">
        <v>148</v>
      </c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2:28" x14ac:dyDescent="0.3">
      <c r="B204" s="64"/>
      <c r="C204" s="66" t="s">
        <v>167</v>
      </c>
      <c r="D204" s="66">
        <v>328</v>
      </c>
      <c r="E204" s="66">
        <v>1168</v>
      </c>
      <c r="F204" s="66">
        <v>86</v>
      </c>
      <c r="G204" s="66" t="s">
        <v>151</v>
      </c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2:28" x14ac:dyDescent="0.3">
      <c r="B205" s="64"/>
      <c r="C205" s="66" t="s">
        <v>166</v>
      </c>
      <c r="D205" s="66">
        <v>28</v>
      </c>
      <c r="E205" s="66">
        <v>116</v>
      </c>
      <c r="F205" s="66"/>
      <c r="G205" s="66" t="s">
        <v>151</v>
      </c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2:28" x14ac:dyDescent="0.3">
      <c r="B206" s="64"/>
      <c r="C206" s="66" t="s">
        <v>94</v>
      </c>
      <c r="D206" s="66">
        <v>44</v>
      </c>
      <c r="E206" s="66">
        <v>148</v>
      </c>
      <c r="F206" s="66"/>
      <c r="G206" s="66" t="s">
        <v>151</v>
      </c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2:28" x14ac:dyDescent="0.3">
      <c r="B207" s="64"/>
      <c r="C207" s="66" t="s">
        <v>46</v>
      </c>
      <c r="D207" s="66">
        <v>9</v>
      </c>
      <c r="E207" s="66">
        <v>80</v>
      </c>
      <c r="F207" s="66"/>
      <c r="G207" s="66" t="s">
        <v>151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2:28" x14ac:dyDescent="0.3">
      <c r="B208" s="64"/>
      <c r="C208" s="66" t="s">
        <v>165</v>
      </c>
      <c r="D208" s="66">
        <v>95</v>
      </c>
      <c r="E208" s="66">
        <v>253</v>
      </c>
      <c r="F208" s="66"/>
      <c r="G208" s="66" t="s">
        <v>151</v>
      </c>
      <c r="H208" s="64"/>
      <c r="I208" s="64"/>
      <c r="J208" s="64"/>
      <c r="K208" s="64"/>
      <c r="L208" s="98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2:28" x14ac:dyDescent="0.3">
      <c r="B209" s="64"/>
      <c r="C209" s="66" t="s">
        <v>47</v>
      </c>
      <c r="D209" s="94">
        <f>L186*D15</f>
        <v>123.18739177489178</v>
      </c>
      <c r="E209" s="94">
        <f>M186*D15</f>
        <v>143.39012402597402</v>
      </c>
      <c r="F209" s="66"/>
      <c r="G209" s="66" t="s">
        <v>151</v>
      </c>
      <c r="H209" s="64"/>
      <c r="I209" s="64"/>
      <c r="J209" s="98"/>
      <c r="K209" s="98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2:28" x14ac:dyDescent="0.3">
      <c r="B210" s="64"/>
      <c r="C210" s="66" t="s">
        <v>168</v>
      </c>
      <c r="D210" s="66">
        <v>66</v>
      </c>
      <c r="E210" s="66">
        <v>219</v>
      </c>
      <c r="F210" s="66">
        <v>186</v>
      </c>
      <c r="G210" s="66" t="s">
        <v>151</v>
      </c>
      <c r="H210" s="64"/>
      <c r="I210" s="64"/>
      <c r="J210" s="64"/>
      <c r="K210" s="64"/>
      <c r="L210" s="98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2:28" ht="16.2" thickBot="1" x14ac:dyDescent="0.35">
      <c r="B211" s="64"/>
      <c r="C211" s="128" t="s">
        <v>144</v>
      </c>
      <c r="D211" s="129">
        <f>SUM(D204:D210)</f>
        <v>693.18739177489181</v>
      </c>
      <c r="E211" s="129">
        <f>SUM(E204:E210)</f>
        <v>2127.3901240259738</v>
      </c>
      <c r="F211" s="127">
        <f>SUM(F204:F210)</f>
        <v>272</v>
      </c>
      <c r="G211" s="127" t="s">
        <v>151</v>
      </c>
      <c r="H211" s="64"/>
      <c r="I211" s="64"/>
      <c r="J211" s="98"/>
      <c r="K211" s="98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2:28" ht="16.2" thickTop="1" x14ac:dyDescent="0.3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2:28" x14ac:dyDescent="0.3">
      <c r="B213" s="64"/>
      <c r="C213" s="97" t="s">
        <v>145</v>
      </c>
      <c r="D213" s="96" t="s">
        <v>7</v>
      </c>
      <c r="E213" s="96" t="s">
        <v>142</v>
      </c>
      <c r="F213" s="96" t="s">
        <v>147</v>
      </c>
      <c r="G213" s="96" t="s">
        <v>148</v>
      </c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2:28" x14ac:dyDescent="0.3">
      <c r="C214" s="66" t="s">
        <v>47</v>
      </c>
      <c r="D214" s="83">
        <f>L187*D22</f>
        <v>123.18739177489178</v>
      </c>
      <c r="E214" s="83">
        <f>M187*D22</f>
        <v>143.39012402597402</v>
      </c>
      <c r="F214" s="66"/>
      <c r="G214" s="66" t="s">
        <v>151</v>
      </c>
      <c r="H214" s="64"/>
      <c r="I214" s="64"/>
      <c r="J214" s="64"/>
      <c r="K214" s="64"/>
      <c r="L214" s="64"/>
      <c r="M214" s="64"/>
      <c r="N214" s="64"/>
      <c r="O214" s="64"/>
      <c r="P214" s="64"/>
    </row>
    <row r="215" spans="2:28" x14ac:dyDescent="0.3">
      <c r="C215" s="66" t="s">
        <v>46</v>
      </c>
      <c r="D215" s="66">
        <v>9</v>
      </c>
      <c r="E215" s="66">
        <v>80</v>
      </c>
      <c r="F215" s="66"/>
      <c r="G215" s="66" t="s">
        <v>151</v>
      </c>
      <c r="H215" s="64"/>
      <c r="I215" s="64"/>
      <c r="J215" s="64"/>
      <c r="K215" s="64"/>
      <c r="L215" s="64"/>
      <c r="M215" s="64"/>
      <c r="N215" s="64"/>
      <c r="O215" s="64"/>
      <c r="P215" s="64"/>
    </row>
    <row r="216" spans="2:28" x14ac:dyDescent="0.3">
      <c r="C216" s="66" t="s">
        <v>165</v>
      </c>
      <c r="D216" s="66">
        <v>95</v>
      </c>
      <c r="E216" s="66">
        <v>253</v>
      </c>
      <c r="F216" s="66"/>
      <c r="G216" s="66" t="s">
        <v>151</v>
      </c>
      <c r="H216" s="64"/>
      <c r="I216" s="64"/>
      <c r="J216" s="64"/>
      <c r="K216" s="64"/>
      <c r="L216" s="64"/>
      <c r="M216" s="64"/>
      <c r="N216" s="64"/>
      <c r="O216" s="64"/>
      <c r="P216" s="64"/>
    </row>
    <row r="217" spans="2:28" x14ac:dyDescent="0.3">
      <c r="C217" s="66" t="s">
        <v>169</v>
      </c>
      <c r="D217" s="66">
        <v>66</v>
      </c>
      <c r="E217" s="66">
        <v>219</v>
      </c>
      <c r="F217" s="66">
        <v>186</v>
      </c>
      <c r="G217" s="66" t="s">
        <v>151</v>
      </c>
      <c r="H217" s="64"/>
      <c r="I217" s="64"/>
      <c r="J217" s="64"/>
      <c r="K217" s="64"/>
      <c r="L217" s="64"/>
      <c r="M217" s="64"/>
      <c r="N217" s="64"/>
      <c r="O217" s="64"/>
      <c r="P217" s="64"/>
    </row>
    <row r="218" spans="2:28" ht="16.2" thickBot="1" x14ac:dyDescent="0.35">
      <c r="C218" s="128" t="s">
        <v>144</v>
      </c>
      <c r="D218" s="129">
        <f>SUM(D214:D217)</f>
        <v>293.18739177489181</v>
      </c>
      <c r="E218" s="129">
        <f>SUM(E214:E217)</f>
        <v>695.39012402597405</v>
      </c>
      <c r="F218" s="127">
        <f>SUM(F214:F217)</f>
        <v>186</v>
      </c>
      <c r="G218" s="127" t="s">
        <v>151</v>
      </c>
      <c r="H218" s="64"/>
      <c r="I218" s="64"/>
      <c r="J218" s="64"/>
      <c r="K218" s="64"/>
      <c r="L218" s="64"/>
      <c r="M218" s="64"/>
      <c r="N218" s="64"/>
      <c r="O218" s="64"/>
      <c r="P218" s="64"/>
    </row>
    <row r="219" spans="2:28" ht="16.2" thickTop="1" x14ac:dyDescent="0.3"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  <row r="220" spans="2:28" x14ac:dyDescent="0.3">
      <c r="C220" s="97" t="s">
        <v>197</v>
      </c>
      <c r="D220" s="96" t="s">
        <v>7</v>
      </c>
      <c r="E220" s="96" t="s">
        <v>142</v>
      </c>
      <c r="F220" s="96" t="s">
        <v>147</v>
      </c>
      <c r="G220" s="96" t="s">
        <v>148</v>
      </c>
      <c r="P220" s="64"/>
    </row>
    <row r="221" spans="2:28" x14ac:dyDescent="0.3">
      <c r="C221" s="66" t="s">
        <v>46</v>
      </c>
      <c r="D221" s="66">
        <v>9</v>
      </c>
      <c r="E221" s="66">
        <v>80</v>
      </c>
      <c r="F221" s="66"/>
      <c r="G221" s="66" t="s">
        <v>151</v>
      </c>
      <c r="P221" s="64"/>
    </row>
    <row r="222" spans="2:28" x14ac:dyDescent="0.3">
      <c r="C222" s="66" t="s">
        <v>200</v>
      </c>
      <c r="D222" s="66">
        <v>95</v>
      </c>
      <c r="E222" s="66">
        <v>253</v>
      </c>
      <c r="F222" s="66"/>
      <c r="G222" s="66" t="s">
        <v>151</v>
      </c>
      <c r="P222" s="64"/>
    </row>
    <row r="223" spans="2:28" x14ac:dyDescent="0.3">
      <c r="C223" s="66" t="s">
        <v>47</v>
      </c>
      <c r="D223" s="66">
        <f>L188*D29</f>
        <v>123.18739177489178</v>
      </c>
      <c r="E223" s="66">
        <f>M188*D29</f>
        <v>143.39012402597402</v>
      </c>
      <c r="F223" s="66"/>
      <c r="G223" s="66" t="s">
        <v>151</v>
      </c>
      <c r="P223" s="64"/>
    </row>
    <row r="224" spans="2:28" x14ac:dyDescent="0.3">
      <c r="C224" s="66" t="s">
        <v>203</v>
      </c>
      <c r="D224" s="66">
        <v>247</v>
      </c>
      <c r="E224" s="66">
        <v>386</v>
      </c>
      <c r="F224" s="66">
        <v>256</v>
      </c>
      <c r="G224" s="66" t="s">
        <v>151</v>
      </c>
      <c r="P224" s="64"/>
    </row>
    <row r="225" spans="3:16" x14ac:dyDescent="0.3">
      <c r="C225" s="66" t="s">
        <v>201</v>
      </c>
      <c r="D225" s="66">
        <v>382</v>
      </c>
      <c r="E225" s="66">
        <v>593</v>
      </c>
      <c r="F225" s="66">
        <v>86</v>
      </c>
      <c r="G225" s="66" t="s">
        <v>151</v>
      </c>
      <c r="P225" s="64"/>
    </row>
    <row r="226" spans="3:16" x14ac:dyDescent="0.3">
      <c r="C226" s="97" t="s">
        <v>144</v>
      </c>
      <c r="D226" s="66">
        <f>SUM(D221:D225)</f>
        <v>856.18739177489181</v>
      </c>
      <c r="E226" s="66">
        <f>SUM(E221:E225)</f>
        <v>1455.390124025974</v>
      </c>
      <c r="F226" s="66">
        <f>SUM(F221:F225)</f>
        <v>342</v>
      </c>
      <c r="G226" s="66" t="s">
        <v>151</v>
      </c>
      <c r="P226" s="64"/>
    </row>
    <row r="227" spans="3:16" x14ac:dyDescent="0.3">
      <c r="P227" s="64"/>
    </row>
    <row r="228" spans="3:16" x14ac:dyDescent="0.3">
      <c r="C228" s="97" t="s">
        <v>146</v>
      </c>
      <c r="D228" s="96" t="s">
        <v>7</v>
      </c>
      <c r="E228" s="96" t="s">
        <v>142</v>
      </c>
      <c r="F228" s="96" t="s">
        <v>147</v>
      </c>
      <c r="G228" s="96" t="s">
        <v>148</v>
      </c>
      <c r="H228" s="64"/>
      <c r="I228" s="64"/>
      <c r="J228" s="66"/>
      <c r="K228" s="66" t="s">
        <v>6</v>
      </c>
      <c r="L228" s="66" t="s">
        <v>5</v>
      </c>
      <c r="M228" s="66" t="s">
        <v>4</v>
      </c>
      <c r="N228" s="140" t="s">
        <v>204</v>
      </c>
      <c r="O228" s="141"/>
      <c r="P228" s="64"/>
    </row>
    <row r="229" spans="3:16" x14ac:dyDescent="0.3">
      <c r="C229" s="66" t="s">
        <v>172</v>
      </c>
      <c r="D229" s="66">
        <v>4480</v>
      </c>
      <c r="E229" s="66">
        <v>5886</v>
      </c>
      <c r="F229" s="66">
        <v>131</v>
      </c>
      <c r="G229" s="66" t="s">
        <v>151</v>
      </c>
      <c r="H229" s="64"/>
      <c r="I229" s="64"/>
      <c r="J229" s="66" t="s">
        <v>55</v>
      </c>
      <c r="K229" s="66">
        <v>1.6</v>
      </c>
      <c r="L229" s="66">
        <v>1.2</v>
      </c>
      <c r="M229" s="66">
        <v>0.8</v>
      </c>
      <c r="N229" s="66"/>
      <c r="O229" s="66">
        <f>D32</f>
        <v>1.2</v>
      </c>
      <c r="P229" s="64"/>
    </row>
    <row r="230" spans="3:16" x14ac:dyDescent="0.3">
      <c r="C230" s="66" t="s">
        <v>171</v>
      </c>
      <c r="D230" s="66">
        <v>5018</v>
      </c>
      <c r="E230" s="66">
        <v>6424</v>
      </c>
      <c r="F230" s="66">
        <v>131</v>
      </c>
      <c r="G230" s="66" t="s">
        <v>151</v>
      </c>
      <c r="H230" s="64"/>
      <c r="I230" s="64"/>
      <c r="J230" s="66" t="s">
        <v>173</v>
      </c>
      <c r="K230" s="66">
        <f>D229</f>
        <v>4480</v>
      </c>
      <c r="L230" s="66">
        <f>D230</f>
        <v>5018</v>
      </c>
      <c r="M230" s="66">
        <f>D231</f>
        <v>5272</v>
      </c>
      <c r="N230" s="66" t="s">
        <v>154</v>
      </c>
      <c r="O230" s="66">
        <f>_xlfn.XLOOKUP(D32,K229:M229,K230:M230)</f>
        <v>5018</v>
      </c>
      <c r="P230" s="64"/>
    </row>
    <row r="231" spans="3:16" x14ac:dyDescent="0.3">
      <c r="C231" s="66" t="s">
        <v>170</v>
      </c>
      <c r="D231" s="66">
        <v>5272</v>
      </c>
      <c r="E231" s="66">
        <v>6818</v>
      </c>
      <c r="F231" s="66">
        <v>131</v>
      </c>
      <c r="G231" s="66" t="s">
        <v>151</v>
      </c>
      <c r="H231" s="64"/>
      <c r="I231" s="64"/>
      <c r="J231" s="66"/>
      <c r="K231" s="66">
        <f>E229</f>
        <v>5886</v>
      </c>
      <c r="L231" s="66">
        <f>E230</f>
        <v>6424</v>
      </c>
      <c r="M231" s="66">
        <f>E231</f>
        <v>6818</v>
      </c>
      <c r="N231" s="66" t="s">
        <v>164</v>
      </c>
      <c r="O231" s="66">
        <f>_xlfn.XLOOKUP(D32,K229:M229,K231:M231)</f>
        <v>6424</v>
      </c>
      <c r="P231" s="64"/>
    </row>
    <row r="232" spans="3:16" x14ac:dyDescent="0.3">
      <c r="C232" s="95"/>
      <c r="D232" s="64"/>
      <c r="E232" s="64"/>
      <c r="F232" s="64"/>
      <c r="G232" s="64"/>
      <c r="H232" s="64"/>
      <c r="I232" s="64"/>
      <c r="J232" s="66"/>
      <c r="K232" s="66">
        <f>F229</f>
        <v>131</v>
      </c>
      <c r="L232" s="66">
        <f>F230</f>
        <v>131</v>
      </c>
      <c r="M232" s="66">
        <f>F231</f>
        <v>131</v>
      </c>
      <c r="N232" s="66" t="s">
        <v>147</v>
      </c>
      <c r="O232" s="66">
        <f>M232</f>
        <v>131</v>
      </c>
      <c r="P232" s="64"/>
    </row>
    <row r="233" spans="3:16" x14ac:dyDescent="0.3">
      <c r="C233" s="97" t="s">
        <v>0</v>
      </c>
      <c r="D233" s="96" t="s">
        <v>7</v>
      </c>
      <c r="E233" s="96" t="s">
        <v>142</v>
      </c>
      <c r="F233" s="96" t="s">
        <v>147</v>
      </c>
      <c r="G233" s="96" t="s">
        <v>148</v>
      </c>
      <c r="H233" s="64"/>
      <c r="I233" s="64"/>
      <c r="J233" s="66" t="s">
        <v>55</v>
      </c>
      <c r="K233" s="66"/>
      <c r="L233" s="66"/>
      <c r="M233" s="66"/>
      <c r="N233" s="66"/>
      <c r="O233" s="66">
        <f>D37</f>
        <v>1.2</v>
      </c>
      <c r="P233" s="64"/>
    </row>
    <row r="234" spans="3:16" x14ac:dyDescent="0.3">
      <c r="C234" s="66" t="s">
        <v>157</v>
      </c>
      <c r="D234" s="66">
        <v>10095</v>
      </c>
      <c r="E234" s="66">
        <v>12906</v>
      </c>
      <c r="F234" s="66">
        <v>843</v>
      </c>
      <c r="G234" s="66" t="s">
        <v>156</v>
      </c>
      <c r="H234" s="64"/>
      <c r="I234" s="64"/>
      <c r="J234" s="66" t="s">
        <v>174</v>
      </c>
      <c r="K234" s="66">
        <f>D234</f>
        <v>10095</v>
      </c>
      <c r="L234" s="66">
        <f>D235</f>
        <v>10095</v>
      </c>
      <c r="M234" s="66">
        <f>D236</f>
        <v>10095</v>
      </c>
      <c r="N234" s="66" t="s">
        <v>154</v>
      </c>
      <c r="O234" s="66">
        <f>_xlfn.XLOOKUP(D37,K229:M229,K234:M234)</f>
        <v>10095</v>
      </c>
      <c r="P234" s="64"/>
    </row>
    <row r="235" spans="3:16" x14ac:dyDescent="0.3">
      <c r="C235" s="66" t="s">
        <v>158</v>
      </c>
      <c r="D235" s="66">
        <v>10095</v>
      </c>
      <c r="E235" s="66">
        <v>12906</v>
      </c>
      <c r="F235" s="66">
        <v>843</v>
      </c>
      <c r="G235" s="66" t="s">
        <v>156</v>
      </c>
      <c r="H235" s="64"/>
      <c r="I235" s="64"/>
      <c r="J235" s="66"/>
      <c r="K235" s="66">
        <f>E234</f>
        <v>12906</v>
      </c>
      <c r="L235" s="66">
        <f>E235</f>
        <v>12906</v>
      </c>
      <c r="M235" s="66">
        <f>E236</f>
        <v>12906</v>
      </c>
      <c r="N235" s="66" t="s">
        <v>164</v>
      </c>
      <c r="O235" s="66">
        <f>_xlfn.XLOOKUP(D37,K229:M229,K235:M235)</f>
        <v>12906</v>
      </c>
      <c r="P235" s="64"/>
    </row>
    <row r="236" spans="3:16" x14ac:dyDescent="0.3">
      <c r="C236" s="66" t="s">
        <v>159</v>
      </c>
      <c r="D236" s="66">
        <v>10095</v>
      </c>
      <c r="E236" s="66">
        <v>12906</v>
      </c>
      <c r="F236" s="66">
        <v>843</v>
      </c>
      <c r="G236" s="66" t="s">
        <v>156</v>
      </c>
      <c r="H236" s="64"/>
      <c r="I236" s="64"/>
      <c r="J236" s="66"/>
      <c r="K236" s="66">
        <f>F234</f>
        <v>843</v>
      </c>
      <c r="L236" s="66">
        <f>F235</f>
        <v>843</v>
      </c>
      <c r="M236" s="66">
        <f>F236</f>
        <v>843</v>
      </c>
      <c r="N236" s="66" t="s">
        <v>147</v>
      </c>
      <c r="O236" s="66">
        <f>M236</f>
        <v>843</v>
      </c>
      <c r="P236" s="64"/>
    </row>
    <row r="237" spans="3:16" x14ac:dyDescent="0.3">
      <c r="C237" s="66" t="s">
        <v>160</v>
      </c>
      <c r="D237" s="66">
        <v>8369</v>
      </c>
      <c r="E237" s="66">
        <v>11181</v>
      </c>
      <c r="F237" s="66">
        <v>843</v>
      </c>
      <c r="G237" s="66" t="s">
        <v>156</v>
      </c>
      <c r="H237" s="64"/>
      <c r="I237" s="64"/>
      <c r="J237" s="66" t="s">
        <v>175</v>
      </c>
      <c r="K237" s="66">
        <f>D237</f>
        <v>8369</v>
      </c>
      <c r="L237" s="66">
        <f>D238</f>
        <v>8369</v>
      </c>
      <c r="M237" s="66">
        <f>D239</f>
        <v>9766</v>
      </c>
      <c r="N237" s="66" t="s">
        <v>154</v>
      </c>
      <c r="O237" s="66">
        <f>_xlfn.XLOOKUP(D37,K229:M229,K237:M237)</f>
        <v>8369</v>
      </c>
      <c r="P237" s="64"/>
    </row>
    <row r="238" spans="3:16" x14ac:dyDescent="0.3">
      <c r="C238" s="66" t="s">
        <v>161</v>
      </c>
      <c r="D238" s="66">
        <v>8369</v>
      </c>
      <c r="E238" s="66">
        <v>11181</v>
      </c>
      <c r="F238" s="66">
        <v>843</v>
      </c>
      <c r="G238" s="66" t="s">
        <v>156</v>
      </c>
      <c r="H238" s="64"/>
      <c r="I238" s="64"/>
      <c r="J238" s="66"/>
      <c r="K238" s="66">
        <f>E237</f>
        <v>11181</v>
      </c>
      <c r="L238" s="66">
        <f>E238</f>
        <v>11181</v>
      </c>
      <c r="M238" s="66">
        <f>E239</f>
        <v>12577</v>
      </c>
      <c r="N238" s="66" t="s">
        <v>164</v>
      </c>
      <c r="O238" s="66">
        <f>_xlfn.XLOOKUP(D37,K229:M229,K238:M238)</f>
        <v>11181</v>
      </c>
      <c r="P238" s="64"/>
    </row>
    <row r="239" spans="3:16" x14ac:dyDescent="0.3">
      <c r="C239" s="66" t="s">
        <v>162</v>
      </c>
      <c r="D239" s="66">
        <v>9766</v>
      </c>
      <c r="E239" s="66">
        <v>12577</v>
      </c>
      <c r="F239" s="66">
        <v>843</v>
      </c>
      <c r="G239" s="66" t="s">
        <v>156</v>
      </c>
      <c r="H239" s="64"/>
      <c r="I239" s="64"/>
      <c r="J239" s="66"/>
      <c r="K239" s="66">
        <f>F237</f>
        <v>843</v>
      </c>
      <c r="L239" s="66">
        <f>F238</f>
        <v>843</v>
      </c>
      <c r="M239" s="66">
        <f>F239</f>
        <v>843</v>
      </c>
      <c r="N239" s="66" t="s">
        <v>147</v>
      </c>
      <c r="O239" s="66">
        <f>M239</f>
        <v>843</v>
      </c>
      <c r="P239" s="64"/>
    </row>
    <row r="240" spans="3:16" x14ac:dyDescent="0.3"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</row>
    <row r="241" spans="3:15" x14ac:dyDescent="0.3">
      <c r="C241" s="97" t="s">
        <v>178</v>
      </c>
      <c r="D241" s="97" t="s">
        <v>7</v>
      </c>
      <c r="E241" s="97" t="s">
        <v>142</v>
      </c>
      <c r="F241" s="97" t="s">
        <v>147</v>
      </c>
      <c r="G241" s="97" t="s">
        <v>148</v>
      </c>
      <c r="H241" s="64"/>
      <c r="I241" s="64"/>
      <c r="J241" s="64"/>
      <c r="K241" s="64"/>
      <c r="L241" s="64"/>
      <c r="M241" s="64"/>
      <c r="N241" s="64"/>
      <c r="O241" s="64"/>
    </row>
    <row r="242" spans="3:15" x14ac:dyDescent="0.3">
      <c r="C242" s="66" t="s">
        <v>179</v>
      </c>
      <c r="D242" s="66">
        <v>6335</v>
      </c>
      <c r="E242" s="66">
        <v>10673</v>
      </c>
      <c r="F242" s="66">
        <v>843</v>
      </c>
      <c r="G242" s="66" t="s">
        <v>156</v>
      </c>
      <c r="H242" s="64"/>
      <c r="I242" s="64"/>
      <c r="J242" s="64"/>
      <c r="K242" s="64"/>
      <c r="L242" s="64"/>
      <c r="M242" s="64"/>
      <c r="N242" s="64"/>
      <c r="O242" s="64"/>
    </row>
    <row r="243" spans="3:15" x14ac:dyDescent="0.3">
      <c r="C243" s="66" t="s">
        <v>180</v>
      </c>
      <c r="D243" s="66">
        <v>7919</v>
      </c>
      <c r="E243" s="66">
        <v>13166</v>
      </c>
      <c r="F243" s="66">
        <v>843</v>
      </c>
      <c r="G243" s="66" t="s">
        <v>156</v>
      </c>
      <c r="H243" s="64"/>
      <c r="I243" s="64"/>
      <c r="J243" s="64"/>
      <c r="K243" s="64"/>
      <c r="L243" s="64"/>
      <c r="M243" s="64"/>
      <c r="N243" s="64"/>
      <c r="O243" s="64"/>
    </row>
    <row r="244" spans="3:15" x14ac:dyDescent="0.3">
      <c r="C244" s="66" t="s">
        <v>181</v>
      </c>
      <c r="D244" s="66">
        <v>9503</v>
      </c>
      <c r="E244" s="66">
        <v>15659</v>
      </c>
      <c r="F244" s="66">
        <v>843</v>
      </c>
      <c r="G244" s="66" t="s">
        <v>156</v>
      </c>
      <c r="H244" s="64"/>
      <c r="I244" s="64"/>
      <c r="J244" s="64"/>
      <c r="K244" s="64"/>
      <c r="L244" s="64"/>
      <c r="M244" s="64"/>
      <c r="N244" s="64"/>
      <c r="O244" s="64"/>
    </row>
    <row r="245" spans="3:15" x14ac:dyDescent="0.3"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</row>
  </sheetData>
  <mergeCells count="63">
    <mergeCell ref="O4:Q4"/>
    <mergeCell ref="C84:E84"/>
    <mergeCell ref="J84:L84"/>
    <mergeCell ref="C83:E83"/>
    <mergeCell ref="J83:L83"/>
    <mergeCell ref="Q84:S84"/>
    <mergeCell ref="Q83:S83"/>
    <mergeCell ref="D4:H4"/>
    <mergeCell ref="C10:H10"/>
    <mergeCell ref="C16:H16"/>
    <mergeCell ref="C23:H23"/>
    <mergeCell ref="C35:H35"/>
    <mergeCell ref="G5:H5"/>
    <mergeCell ref="C30:H30"/>
    <mergeCell ref="O20:Q20"/>
    <mergeCell ref="J4:K4"/>
    <mergeCell ref="Q131:S131"/>
    <mergeCell ref="C130:E130"/>
    <mergeCell ref="J130:M130"/>
    <mergeCell ref="Q130:T130"/>
    <mergeCell ref="C107:E107"/>
    <mergeCell ref="J108:L108"/>
    <mergeCell ref="Q108:S108"/>
    <mergeCell ref="C131:E131"/>
    <mergeCell ref="J131:L131"/>
    <mergeCell ref="G190:H190"/>
    <mergeCell ref="G191:H191"/>
    <mergeCell ref="I186:J186"/>
    <mergeCell ref="I187:J187"/>
    <mergeCell ref="I188:J188"/>
    <mergeCell ref="I189:J189"/>
    <mergeCell ref="G185:H185"/>
    <mergeCell ref="G186:H186"/>
    <mergeCell ref="G187:H187"/>
    <mergeCell ref="G188:H188"/>
    <mergeCell ref="G189:H189"/>
    <mergeCell ref="N228:O228"/>
    <mergeCell ref="C153:E153"/>
    <mergeCell ref="J153:M153"/>
    <mergeCell ref="Q153:T153"/>
    <mergeCell ref="C154:E154"/>
    <mergeCell ref="J154:L154"/>
    <mergeCell ref="Q154:S154"/>
    <mergeCell ref="I190:J190"/>
    <mergeCell ref="G182:H182"/>
    <mergeCell ref="I182:J182"/>
    <mergeCell ref="I183:J183"/>
    <mergeCell ref="I184:J184"/>
    <mergeCell ref="I185:J185"/>
    <mergeCell ref="I191:J191"/>
    <mergeCell ref="G183:H183"/>
    <mergeCell ref="G184:H184"/>
    <mergeCell ref="D5:F5"/>
    <mergeCell ref="G11:H11"/>
    <mergeCell ref="D11:F11"/>
    <mergeCell ref="G17:H17"/>
    <mergeCell ref="D17:F17"/>
    <mergeCell ref="D24:F24"/>
    <mergeCell ref="G24:H24"/>
    <mergeCell ref="D31:F31"/>
    <mergeCell ref="D36:F36"/>
    <mergeCell ref="G36:H36"/>
    <mergeCell ref="G31:H31"/>
  </mergeCells>
  <conditionalFormatting sqref="H9">
    <cfRule type="expression" dxfId="11" priority="11">
      <formula>$H$9&gt;$H$8</formula>
    </cfRule>
    <cfRule type="expression" dxfId="10" priority="12">
      <formula>$H$9&lt;=$H$8</formula>
    </cfRule>
  </conditionalFormatting>
  <conditionalFormatting sqref="H15">
    <cfRule type="expression" dxfId="9" priority="9">
      <formula>$H$15&gt;$H$14</formula>
    </cfRule>
    <cfRule type="expression" dxfId="8" priority="10">
      <formula>$H$15&lt;=$H$14</formula>
    </cfRule>
  </conditionalFormatting>
  <conditionalFormatting sqref="H29">
    <cfRule type="expression" dxfId="7" priority="7">
      <formula>$H$29&gt;$H$28</formula>
    </cfRule>
    <cfRule type="expression" dxfId="6" priority="8">
      <formula>$H$29&lt;=$H$28</formula>
    </cfRule>
  </conditionalFormatting>
  <conditionalFormatting sqref="H34">
    <cfRule type="expression" dxfId="5" priority="5">
      <formula>$H$34&gt;$H$33</formula>
    </cfRule>
    <cfRule type="expression" dxfId="4" priority="6">
      <formula>$H$34&lt;=$H$33</formula>
    </cfRule>
  </conditionalFormatting>
  <conditionalFormatting sqref="H39">
    <cfRule type="expression" dxfId="3" priority="3">
      <formula>$H$39&gt;$H$38</formula>
    </cfRule>
    <cfRule type="expression" dxfId="2" priority="4">
      <formula>$H$39&lt;=$H$38</formula>
    </cfRule>
  </conditionalFormatting>
  <conditionalFormatting sqref="H22">
    <cfRule type="expression" dxfId="1" priority="1">
      <formula>$H$22&gt;$H$21</formula>
    </cfRule>
    <cfRule type="expression" dxfId="0" priority="2">
      <formula>$H$22&lt;=$H$21</formula>
    </cfRule>
  </conditionalFormatting>
  <dataValidations disablePrompts="1" count="4">
    <dataValidation type="list" allowBlank="1" showInputMessage="1" showErrorMessage="1" sqref="C4" xr:uid="{539C3805-87C3-471F-A2FB-C1A525E5EFBC}">
      <formula1>$H$58:$J$58</formula1>
    </dataValidation>
    <dataValidation type="list" allowBlank="1" showInputMessage="1" showErrorMessage="1" sqref="D41 D43" xr:uid="{57832CEF-EF22-4D63-8D20-9F666782CCF6}">
      <formula1>$H$60:$I$60</formula1>
    </dataValidation>
    <dataValidation type="list" allowBlank="1" showInputMessage="1" showErrorMessage="1" sqref="D14 D21 D8 D28" xr:uid="{3F37A60F-849F-4CC8-976C-D6E8DD51B522}">
      <formula1>$D$57:$F$57</formula1>
    </dataValidation>
    <dataValidation type="list" allowBlank="1" showInputMessage="1" showErrorMessage="1" sqref="D32 D37" xr:uid="{07D3676D-76BF-40EE-9817-718C2ECC1A28}">
      <formula1>$K$229:$M$229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Wilhelmsen</dc:creator>
  <cp:lastModifiedBy>trymsimons1@gmail.com</cp:lastModifiedBy>
  <cp:lastPrinted>2023-03-27T11:46:03Z</cp:lastPrinted>
  <dcterms:created xsi:type="dcterms:W3CDTF">2023-03-13T13:50:44Z</dcterms:created>
  <dcterms:modified xsi:type="dcterms:W3CDTF">2023-05-22T08:50:16Z</dcterms:modified>
</cp:coreProperties>
</file>