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0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reostratt/Desktop/"/>
    </mc:Choice>
  </mc:AlternateContent>
  <xr:revisionPtr revIDLastSave="0" documentId="13_ncr:1_{CF6AA363-D4C9-5545-874F-F6F2BE311E29}" xr6:coauthVersionLast="47" xr6:coauthVersionMax="47" xr10:uidLastSave="{00000000-0000-0000-0000-000000000000}"/>
  <bookViews>
    <workbookView xWindow="0" yWindow="500" windowWidth="28800" windowHeight="17500" firstSheet="11" activeTab="19" xr2:uid="{7F15DB7B-D877-4EEA-BB5A-BD0B9455F533}"/>
  </bookViews>
  <sheets>
    <sheet name="Likviditetsgrad oppdatert" sheetId="16" r:id="rId1"/>
    <sheet name="Egenkapitalprosent " sheetId="2" r:id="rId2"/>
    <sheet name="Finansieringsgrad oppdatert" sheetId="17" r:id="rId3"/>
    <sheet name="CAPM" sheetId="11" r:id="rId4"/>
    <sheet name="WACC" sheetId="18" r:id="rId5"/>
    <sheet name="Gjeldsrente" sheetId="21" r:id="rId6"/>
    <sheet name="Omgruppert balanse" sheetId="14" r:id="rId7"/>
    <sheet name="Balansen" sheetId="9" r:id="rId8"/>
    <sheet name="Resultatregnskapet" sheetId="8" r:id="rId9"/>
    <sheet name="Kontantstrømoppstillingen" sheetId="10" r:id="rId10"/>
    <sheet name="Avskrivninger og utrangering" sheetId="23" r:id="rId11"/>
    <sheet name="Fremtidsbalanse" sheetId="24" r:id="rId12"/>
    <sheet name="Fremtidsresultat" sheetId="27" r:id="rId13"/>
    <sheet name="Fremtidskontantstrøm" sheetId="28" r:id="rId14"/>
    <sheet name="Gjeld" sheetId="22" r:id="rId15"/>
    <sheet name="Opex og G og A" sheetId="30" r:id="rId16"/>
    <sheet name="Estimert dagrate steady state" sheetId="25" r:id="rId17"/>
    <sheet name="Fundamental verdsettelse sensit" sheetId="32" r:id="rId18"/>
    <sheet name="FKD modellen" sheetId="33" r:id="rId19"/>
    <sheet name="Kladd TCE" sheetId="29" r:id="rId20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7" i="29" l="1"/>
  <c r="F117" i="29"/>
  <c r="G117" i="29"/>
  <c r="H117" i="29"/>
  <c r="I117" i="29"/>
  <c r="J117" i="29"/>
  <c r="K117" i="29"/>
  <c r="L117" i="29"/>
  <c r="M117" i="29"/>
  <c r="N117" i="29"/>
  <c r="O117" i="29"/>
  <c r="P117" i="29"/>
  <c r="Q117" i="29"/>
  <c r="R117" i="29"/>
  <c r="S117" i="29"/>
  <c r="T117" i="29"/>
  <c r="U117" i="29"/>
  <c r="V117" i="29"/>
  <c r="W117" i="29"/>
  <c r="X117" i="29"/>
  <c r="Y117" i="29"/>
  <c r="D117" i="29"/>
  <c r="C117" i="29"/>
  <c r="D116" i="29"/>
  <c r="E116" i="29"/>
  <c r="F116" i="29"/>
  <c r="G116" i="29"/>
  <c r="H116" i="29"/>
  <c r="I116" i="29"/>
  <c r="J116" i="29"/>
  <c r="K116" i="29"/>
  <c r="L116" i="29"/>
  <c r="M116" i="29"/>
  <c r="N116" i="29"/>
  <c r="O116" i="29"/>
  <c r="P116" i="29"/>
  <c r="Q116" i="29"/>
  <c r="R116" i="29"/>
  <c r="S116" i="29"/>
  <c r="T116" i="29"/>
  <c r="U116" i="29"/>
  <c r="V116" i="29"/>
  <c r="W116" i="29"/>
  <c r="X116" i="29"/>
  <c r="Y116" i="29"/>
  <c r="C116" i="29"/>
  <c r="D64" i="25"/>
  <c r="E64" i="25"/>
  <c r="F64" i="25"/>
  <c r="G64" i="25"/>
  <c r="H64" i="25"/>
  <c r="I64" i="25"/>
  <c r="J64" i="25"/>
  <c r="K64" i="25"/>
  <c r="L64" i="25"/>
  <c r="M64" i="25"/>
  <c r="N64" i="25"/>
  <c r="O64" i="25"/>
  <c r="P64" i="25"/>
  <c r="Q64" i="25"/>
  <c r="R64" i="25"/>
  <c r="S64" i="25"/>
  <c r="T64" i="25"/>
  <c r="U64" i="25"/>
  <c r="V64" i="25"/>
  <c r="W64" i="25"/>
  <c r="X64" i="25"/>
  <c r="Y64" i="25"/>
  <c r="D63" i="25"/>
  <c r="E63" i="25"/>
  <c r="F63" i="25"/>
  <c r="G63" i="25"/>
  <c r="H63" i="25"/>
  <c r="I63" i="25"/>
  <c r="J63" i="25"/>
  <c r="K63" i="25"/>
  <c r="L63" i="25"/>
  <c r="M63" i="25"/>
  <c r="N63" i="25"/>
  <c r="O63" i="25"/>
  <c r="P63" i="25"/>
  <c r="Q63" i="25"/>
  <c r="R63" i="25"/>
  <c r="S63" i="25"/>
  <c r="T63" i="25"/>
  <c r="U63" i="25"/>
  <c r="V63" i="25"/>
  <c r="W63" i="25"/>
  <c r="X63" i="25"/>
  <c r="Y63" i="25"/>
  <c r="D62" i="25"/>
  <c r="E62" i="25"/>
  <c r="F62" i="25"/>
  <c r="G62" i="25"/>
  <c r="H62" i="25"/>
  <c r="I62" i="25"/>
  <c r="J62" i="25"/>
  <c r="K62" i="25"/>
  <c r="L62" i="25"/>
  <c r="M62" i="25"/>
  <c r="N62" i="25"/>
  <c r="O62" i="25"/>
  <c r="P62" i="25"/>
  <c r="Q62" i="25"/>
  <c r="R62" i="25"/>
  <c r="S62" i="25"/>
  <c r="T62" i="25"/>
  <c r="U62" i="25"/>
  <c r="V62" i="25"/>
  <c r="W62" i="25"/>
  <c r="X62" i="25"/>
  <c r="Y62" i="25"/>
  <c r="D61" i="25"/>
  <c r="E61" i="25"/>
  <c r="F61" i="25"/>
  <c r="G61" i="25"/>
  <c r="H61" i="25"/>
  <c r="I61" i="25"/>
  <c r="J61" i="25"/>
  <c r="K61" i="25"/>
  <c r="L61" i="25"/>
  <c r="M61" i="25"/>
  <c r="N61" i="25"/>
  <c r="O61" i="25"/>
  <c r="P61" i="25"/>
  <c r="Q61" i="25"/>
  <c r="R61" i="25"/>
  <c r="S61" i="25"/>
  <c r="T61" i="25"/>
  <c r="U61" i="25"/>
  <c r="V61" i="25"/>
  <c r="W61" i="25"/>
  <c r="X61" i="25"/>
  <c r="Y61" i="25"/>
  <c r="C64" i="25"/>
  <c r="C63" i="25"/>
  <c r="C62" i="25"/>
  <c r="C61" i="25"/>
  <c r="D60" i="25"/>
  <c r="E60" i="25"/>
  <c r="F60" i="25"/>
  <c r="G60" i="25"/>
  <c r="H60" i="25"/>
  <c r="I60" i="25"/>
  <c r="J60" i="25"/>
  <c r="K60" i="25"/>
  <c r="L60" i="25"/>
  <c r="M60" i="25"/>
  <c r="N60" i="25"/>
  <c r="O60" i="25"/>
  <c r="P60" i="25"/>
  <c r="Q60" i="25"/>
  <c r="R60" i="25"/>
  <c r="S60" i="25"/>
  <c r="T60" i="25"/>
  <c r="U60" i="25"/>
  <c r="V60" i="25"/>
  <c r="W60" i="25"/>
  <c r="X60" i="25"/>
  <c r="Y60" i="25"/>
  <c r="C60" i="25"/>
  <c r="C6" i="32"/>
  <c r="C19" i="32"/>
  <c r="D54" i="32"/>
  <c r="E5" i="32"/>
  <c r="F5" i="32"/>
  <c r="G5" i="32"/>
  <c r="H5" i="32"/>
  <c r="I5" i="32"/>
  <c r="J5" i="32"/>
  <c r="K5" i="32"/>
  <c r="L5" i="32"/>
  <c r="M5" i="32"/>
  <c r="N5" i="32"/>
  <c r="O5" i="32"/>
  <c r="P5" i="32"/>
  <c r="Q5" i="32"/>
  <c r="R5" i="32"/>
  <c r="S5" i="32"/>
  <c r="T5" i="32"/>
  <c r="U5" i="32"/>
  <c r="V5" i="32"/>
  <c r="W5" i="32"/>
  <c r="X5" i="32"/>
  <c r="D5" i="32"/>
  <c r="C24" i="33"/>
  <c r="D21" i="33"/>
  <c r="E21" i="33"/>
  <c r="F21" i="33"/>
  <c r="G21" i="33"/>
  <c r="H21" i="33"/>
  <c r="I21" i="33"/>
  <c r="J21" i="33"/>
  <c r="K21" i="33"/>
  <c r="L21" i="33"/>
  <c r="M21" i="33"/>
  <c r="N21" i="33"/>
  <c r="O21" i="33"/>
  <c r="P21" i="33"/>
  <c r="Q21" i="33"/>
  <c r="R21" i="33"/>
  <c r="S21" i="33"/>
  <c r="T21" i="33"/>
  <c r="U21" i="33"/>
  <c r="V21" i="33"/>
  <c r="W21" i="33"/>
  <c r="X21" i="33"/>
  <c r="C21" i="33"/>
  <c r="D16" i="33"/>
  <c r="E16" i="33"/>
  <c r="F16" i="33"/>
  <c r="G16" i="33"/>
  <c r="H16" i="33"/>
  <c r="I16" i="33"/>
  <c r="J16" i="33"/>
  <c r="K16" i="33"/>
  <c r="L16" i="33"/>
  <c r="M16" i="33"/>
  <c r="N16" i="33"/>
  <c r="O16" i="33"/>
  <c r="P16" i="33"/>
  <c r="Q16" i="33"/>
  <c r="R16" i="33"/>
  <c r="S16" i="33"/>
  <c r="T16" i="33"/>
  <c r="U16" i="33"/>
  <c r="V16" i="33"/>
  <c r="W16" i="33"/>
  <c r="X16" i="33"/>
  <c r="D17" i="33"/>
  <c r="E17" i="33"/>
  <c r="F17" i="33"/>
  <c r="G17" i="33"/>
  <c r="H17" i="33"/>
  <c r="I17" i="33"/>
  <c r="J17" i="33"/>
  <c r="K17" i="33"/>
  <c r="L17" i="33"/>
  <c r="M17" i="33"/>
  <c r="N17" i="33"/>
  <c r="O17" i="33"/>
  <c r="P17" i="33"/>
  <c r="Q17" i="33"/>
  <c r="R17" i="33"/>
  <c r="S17" i="33"/>
  <c r="T17" i="33"/>
  <c r="U17" i="33"/>
  <c r="V17" i="33"/>
  <c r="W17" i="33"/>
  <c r="X17" i="33"/>
  <c r="C17" i="33"/>
  <c r="C16" i="33"/>
  <c r="B17" i="33"/>
  <c r="B18" i="33"/>
  <c r="B19" i="33"/>
  <c r="B20" i="33"/>
  <c r="B21" i="33"/>
  <c r="B22" i="33"/>
  <c r="B23" i="33"/>
  <c r="B24" i="33"/>
  <c r="B25" i="33"/>
  <c r="B26" i="33"/>
  <c r="B27" i="33"/>
  <c r="B16" i="33"/>
  <c r="C10" i="33"/>
  <c r="C7" i="33"/>
  <c r="D7" i="33" s="1"/>
  <c r="E7" i="33" s="1"/>
  <c r="F7" i="33" s="1"/>
  <c r="G7" i="33" s="1"/>
  <c r="H7" i="33" s="1"/>
  <c r="I7" i="33" s="1"/>
  <c r="J7" i="33" s="1"/>
  <c r="K7" i="33" s="1"/>
  <c r="L7" i="33" s="1"/>
  <c r="M7" i="33" s="1"/>
  <c r="N7" i="33" s="1"/>
  <c r="O7" i="33" s="1"/>
  <c r="P7" i="33" s="1"/>
  <c r="Q7" i="33" s="1"/>
  <c r="R7" i="33" s="1"/>
  <c r="S7" i="33" s="1"/>
  <c r="T7" i="33" s="1"/>
  <c r="U7" i="33" s="1"/>
  <c r="V7" i="33" s="1"/>
  <c r="W7" i="33" s="1"/>
  <c r="X7" i="33" s="1"/>
  <c r="C8" i="32"/>
  <c r="D8" i="32" s="1"/>
  <c r="D54" i="24"/>
  <c r="E54" i="24"/>
  <c r="F54" i="24"/>
  <c r="G54" i="24"/>
  <c r="H54" i="24"/>
  <c r="I54" i="24"/>
  <c r="J54" i="24"/>
  <c r="K54" i="24"/>
  <c r="L54" i="24"/>
  <c r="M54" i="24"/>
  <c r="N56" i="24"/>
  <c r="O56" i="24"/>
  <c r="P56" i="24"/>
  <c r="Q56" i="24"/>
  <c r="R56" i="24"/>
  <c r="S56" i="24"/>
  <c r="T56" i="24"/>
  <c r="U56" i="24"/>
  <c r="V56" i="24"/>
  <c r="W56" i="24"/>
  <c r="X56" i="24"/>
  <c r="C54" i="24"/>
  <c r="B33" i="24"/>
  <c r="B45" i="24" s="1"/>
  <c r="B34" i="24"/>
  <c r="B46" i="24" s="1"/>
  <c r="B29" i="24"/>
  <c r="B41" i="24" s="1"/>
  <c r="C27" i="24"/>
  <c r="B28" i="24"/>
  <c r="B40" i="24" s="1"/>
  <c r="B36" i="24"/>
  <c r="B48" i="24" s="1"/>
  <c r="B31" i="24"/>
  <c r="B43" i="24" s="1"/>
  <c r="B27" i="24"/>
  <c r="B39" i="24" s="1"/>
  <c r="C25" i="32"/>
  <c r="C11" i="32"/>
  <c r="E8" i="32" l="1"/>
  <c r="F8" i="32" s="1"/>
  <c r="G8" i="32" s="1"/>
  <c r="H8" i="32" s="1"/>
  <c r="I8" i="32" s="1"/>
  <c r="J8" i="32" s="1"/>
  <c r="K8" i="32" s="1"/>
  <c r="L8" i="32" s="1"/>
  <c r="M8" i="32" s="1"/>
  <c r="N8" i="32" s="1"/>
  <c r="O8" i="32" s="1"/>
  <c r="P8" i="32" s="1"/>
  <c r="Q8" i="32" s="1"/>
  <c r="R8" i="32" s="1"/>
  <c r="S8" i="32" s="1"/>
  <c r="T8" i="32" s="1"/>
  <c r="U8" i="32" s="1"/>
  <c r="V8" i="32" s="1"/>
  <c r="W8" i="32" s="1"/>
  <c r="X8" i="32" s="1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V30" i="28"/>
  <c r="W30" i="28"/>
  <c r="X30" i="28"/>
  <c r="C30" i="28"/>
  <c r="D32" i="27"/>
  <c r="E32" i="27"/>
  <c r="F32" i="27"/>
  <c r="G32" i="27"/>
  <c r="H32" i="27"/>
  <c r="I32" i="27"/>
  <c r="J32" i="27"/>
  <c r="K32" i="27"/>
  <c r="L32" i="27"/>
  <c r="M32" i="27"/>
  <c r="N32" i="27"/>
  <c r="O32" i="27"/>
  <c r="P32" i="27"/>
  <c r="Q32" i="27"/>
  <c r="R32" i="27"/>
  <c r="S32" i="27"/>
  <c r="T32" i="27"/>
  <c r="U32" i="27"/>
  <c r="V32" i="27"/>
  <c r="W32" i="27"/>
  <c r="X32" i="27"/>
  <c r="C32" i="27"/>
  <c r="C46" i="32"/>
  <c r="D50" i="25"/>
  <c r="E50" i="25"/>
  <c r="C50" i="25"/>
  <c r="G50" i="25"/>
  <c r="H50" i="25"/>
  <c r="I50" i="25"/>
  <c r="J50" i="25"/>
  <c r="K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F51" i="25"/>
  <c r="F55" i="25"/>
  <c r="F54" i="25"/>
  <c r="F50" i="25"/>
  <c r="E7" i="25"/>
  <c r="E44" i="25"/>
  <c r="P6" i="29"/>
  <c r="Q6" i="29"/>
  <c r="R6" i="29"/>
  <c r="S6" i="29"/>
  <c r="T6" i="29"/>
  <c r="U6" i="29"/>
  <c r="V6" i="29"/>
  <c r="W6" i="29"/>
  <c r="X6" i="29"/>
  <c r="Y6" i="29"/>
  <c r="Z6" i="29"/>
  <c r="P7" i="29"/>
  <c r="Q7" i="29"/>
  <c r="R7" i="29"/>
  <c r="S7" i="29"/>
  <c r="T7" i="29"/>
  <c r="U7" i="29"/>
  <c r="V7" i="29"/>
  <c r="W7" i="29"/>
  <c r="X7" i="29"/>
  <c r="Y7" i="29"/>
  <c r="Z7" i="29"/>
  <c r="O7" i="29"/>
  <c r="O6" i="29"/>
  <c r="C33" i="23"/>
  <c r="D9" i="30"/>
  <c r="E9" i="30"/>
  <c r="F9" i="30"/>
  <c r="G9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V9" i="30"/>
  <c r="W9" i="30"/>
  <c r="X9" i="30"/>
  <c r="C9" i="30"/>
  <c r="D55" i="32"/>
  <c r="E55" i="32"/>
  <c r="F55" i="32"/>
  <c r="G55" i="32"/>
  <c r="H55" i="32"/>
  <c r="I55" i="32"/>
  <c r="J55" i="32"/>
  <c r="D56" i="32"/>
  <c r="E56" i="32"/>
  <c r="F56" i="32"/>
  <c r="G56" i="32"/>
  <c r="H56" i="32"/>
  <c r="I56" i="32"/>
  <c r="J56" i="32"/>
  <c r="D58" i="32"/>
  <c r="E58" i="32"/>
  <c r="F58" i="32"/>
  <c r="G58" i="32"/>
  <c r="H58" i="32"/>
  <c r="I58" i="32"/>
  <c r="J58" i="32"/>
  <c r="D59" i="32"/>
  <c r="E59" i="32"/>
  <c r="F59" i="32"/>
  <c r="G59" i="32"/>
  <c r="H59" i="32"/>
  <c r="I59" i="32"/>
  <c r="J59" i="32"/>
  <c r="D60" i="32"/>
  <c r="E60" i="32"/>
  <c r="F60" i="32"/>
  <c r="G60" i="32"/>
  <c r="H60" i="32"/>
  <c r="I60" i="32"/>
  <c r="J60" i="32"/>
  <c r="E54" i="32"/>
  <c r="F54" i="32"/>
  <c r="G54" i="32"/>
  <c r="H54" i="32"/>
  <c r="I54" i="32"/>
  <c r="J54" i="32"/>
  <c r="E53" i="32"/>
  <c r="F53" i="32"/>
  <c r="G53" i="32"/>
  <c r="H53" i="32"/>
  <c r="I53" i="32"/>
  <c r="J53" i="32"/>
  <c r="D53" i="32"/>
  <c r="C58" i="32"/>
  <c r="C59" i="32" s="1"/>
  <c r="C60" i="32" s="1"/>
  <c r="C56" i="32"/>
  <c r="C55" i="32"/>
  <c r="C54" i="32" s="1"/>
  <c r="Q21" i="27"/>
  <c r="R21" i="27"/>
  <c r="S21" i="27"/>
  <c r="T21" i="27"/>
  <c r="U21" i="27"/>
  <c r="V21" i="27"/>
  <c r="W21" i="27"/>
  <c r="X21" i="27"/>
  <c r="F21" i="27"/>
  <c r="G21" i="27"/>
  <c r="H21" i="27"/>
  <c r="I21" i="27"/>
  <c r="J21" i="27"/>
  <c r="K21" i="27"/>
  <c r="L21" i="27"/>
  <c r="M21" i="27"/>
  <c r="N21" i="27"/>
  <c r="O21" i="27"/>
  <c r="N8" i="27"/>
  <c r="O8" i="27"/>
  <c r="P21" i="27"/>
  <c r="P8" i="27"/>
  <c r="Q8" i="27"/>
  <c r="R8" i="27"/>
  <c r="S8" i="27"/>
  <c r="T8" i="27"/>
  <c r="U8" i="27"/>
  <c r="V8" i="27"/>
  <c r="W8" i="27"/>
  <c r="X8" i="27"/>
  <c r="D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Y7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D6" i="29"/>
  <c r="C8" i="27" s="1"/>
  <c r="M8" i="27"/>
  <c r="G8" i="27"/>
  <c r="H8" i="27"/>
  <c r="I8" i="27"/>
  <c r="J8" i="27"/>
  <c r="K8" i="27"/>
  <c r="L8" i="27"/>
  <c r="D8" i="27"/>
  <c r="E8" i="27"/>
  <c r="F8" i="27"/>
  <c r="G6" i="29"/>
  <c r="F6" i="29"/>
  <c r="E6" i="29"/>
  <c r="G7" i="29"/>
  <c r="F7" i="29"/>
  <c r="E7" i="29"/>
  <c r="D7" i="29"/>
  <c r="E31" i="32"/>
  <c r="F31" i="32"/>
  <c r="G31" i="32"/>
  <c r="H31" i="32"/>
  <c r="I31" i="32"/>
  <c r="J31" i="32"/>
  <c r="D31" i="32"/>
  <c r="C34" i="32"/>
  <c r="C45" i="32" s="1"/>
  <c r="C36" i="32"/>
  <c r="C37" i="32" s="1"/>
  <c r="C38" i="32" s="1"/>
  <c r="C49" i="32" s="1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V9" i="25"/>
  <c r="W9" i="25"/>
  <c r="X9" i="25"/>
  <c r="Y9" i="25"/>
  <c r="C11" i="25"/>
  <c r="C7" i="30"/>
  <c r="X3" i="30"/>
  <c r="W3" i="30"/>
  <c r="V3" i="30"/>
  <c r="U3" i="30"/>
  <c r="T3" i="30"/>
  <c r="S3" i="30"/>
  <c r="R3" i="30"/>
  <c r="Q3" i="30"/>
  <c r="Q5" i="30" s="1"/>
  <c r="P3" i="30"/>
  <c r="O3" i="30"/>
  <c r="O5" i="30" s="1"/>
  <c r="N3" i="30"/>
  <c r="M3" i="30"/>
  <c r="L3" i="30"/>
  <c r="L5" i="30" s="1"/>
  <c r="K3" i="30"/>
  <c r="J3" i="30"/>
  <c r="I3" i="30"/>
  <c r="H3" i="30"/>
  <c r="G3" i="30"/>
  <c r="F3" i="30"/>
  <c r="F5" i="30" s="1"/>
  <c r="E3" i="30"/>
  <c r="D3" i="30"/>
  <c r="C3" i="30"/>
  <c r="G5" i="30"/>
  <c r="D4" i="30"/>
  <c r="E4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V4" i="30"/>
  <c r="W4" i="30"/>
  <c r="X4" i="30"/>
  <c r="P5" i="30"/>
  <c r="C4" i="30"/>
  <c r="C5" i="30" s="1"/>
  <c r="C10" i="27" s="1"/>
  <c r="E21" i="27"/>
  <c r="D21" i="27"/>
  <c r="C21" i="27"/>
  <c r="C26" i="23"/>
  <c r="C25" i="23"/>
  <c r="C22" i="23"/>
  <c r="C21" i="23"/>
  <c r="C27" i="23"/>
  <c r="AC2" i="32"/>
  <c r="AD2" i="32" s="1"/>
  <c r="AE2" i="32" s="1"/>
  <c r="AF2" i="32" s="1"/>
  <c r="AG2" i="32" s="1"/>
  <c r="AH2" i="32" s="1"/>
  <c r="AI2" i="32" s="1"/>
  <c r="AJ2" i="32" s="1"/>
  <c r="AK2" i="32" s="1"/>
  <c r="AL2" i="32" s="1"/>
  <c r="AM2" i="32" s="1"/>
  <c r="AN2" i="32" s="1"/>
  <c r="AO2" i="32" s="1"/>
  <c r="AP2" i="32" s="1"/>
  <c r="AQ2" i="32" s="1"/>
  <c r="AR2" i="32" s="1"/>
  <c r="AS2" i="32" s="1"/>
  <c r="AT2" i="32" s="1"/>
  <c r="AU2" i="32" s="1"/>
  <c r="AV2" i="32" s="1"/>
  <c r="AW2" i="32" s="1"/>
  <c r="D5" i="30"/>
  <c r="E5" i="30"/>
  <c r="N5" i="30"/>
  <c r="T5" i="30"/>
  <c r="U5" i="30"/>
  <c r="V5" i="30"/>
  <c r="W5" i="30"/>
  <c r="D21" i="25"/>
  <c r="D8" i="25"/>
  <c r="C48" i="32" l="1"/>
  <c r="C47" i="32"/>
  <c r="C33" i="32"/>
  <c r="C44" i="32" s="1"/>
  <c r="I5" i="30"/>
  <c r="M5" i="30"/>
  <c r="X5" i="30"/>
  <c r="H5" i="30"/>
  <c r="K5" i="30"/>
  <c r="J5" i="30"/>
  <c r="S5" i="30"/>
  <c r="R5" i="30"/>
  <c r="C32" i="32" l="1"/>
  <c r="C43" i="32" s="1"/>
  <c r="C22" i="32"/>
  <c r="D19" i="32"/>
  <c r="E19" i="32"/>
  <c r="F19" i="32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B26" i="32"/>
  <c r="B27" i="32"/>
  <c r="B28" i="32"/>
  <c r="B19" i="32"/>
  <c r="B20" i="32"/>
  <c r="B21" i="32"/>
  <c r="B22" i="32"/>
  <c r="B23" i="32"/>
  <c r="B24" i="32"/>
  <c r="B25" i="32"/>
  <c r="B18" i="32"/>
  <c r="B17" i="32"/>
  <c r="D22" i="32"/>
  <c r="D3" i="32"/>
  <c r="D17" i="32" s="1"/>
  <c r="E3" i="32"/>
  <c r="E17" i="32" s="1"/>
  <c r="F3" i="32"/>
  <c r="F17" i="32" s="1"/>
  <c r="G3" i="32"/>
  <c r="G17" i="32" s="1"/>
  <c r="H3" i="32"/>
  <c r="H17" i="32" s="1"/>
  <c r="I3" i="32"/>
  <c r="I17" i="32" s="1"/>
  <c r="J3" i="32"/>
  <c r="J17" i="32" s="1"/>
  <c r="K3" i="32"/>
  <c r="K17" i="32" s="1"/>
  <c r="L3" i="32"/>
  <c r="L17" i="32" s="1"/>
  <c r="M3" i="32"/>
  <c r="M17" i="32" s="1"/>
  <c r="N3" i="32"/>
  <c r="N17" i="32" s="1"/>
  <c r="O3" i="32"/>
  <c r="O17" i="32" s="1"/>
  <c r="P3" i="32"/>
  <c r="P17" i="32" s="1"/>
  <c r="Q3" i="32"/>
  <c r="Q17" i="32" s="1"/>
  <c r="R3" i="32"/>
  <c r="R17" i="32" s="1"/>
  <c r="S3" i="32"/>
  <c r="S17" i="32" s="1"/>
  <c r="T3" i="32"/>
  <c r="T17" i="32" s="1"/>
  <c r="U3" i="32"/>
  <c r="U17" i="32" s="1"/>
  <c r="V3" i="32"/>
  <c r="V17" i="32" s="1"/>
  <c r="W3" i="32"/>
  <c r="W17" i="32" s="1"/>
  <c r="X3" i="32"/>
  <c r="X17" i="32" s="1"/>
  <c r="C3" i="32"/>
  <c r="C17" i="32" s="1"/>
  <c r="H26" i="28"/>
  <c r="P26" i="28"/>
  <c r="D18" i="28"/>
  <c r="E18" i="28"/>
  <c r="K21" i="28"/>
  <c r="C21" i="28"/>
  <c r="C18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P17" i="28"/>
  <c r="Q17" i="28"/>
  <c r="R17" i="28"/>
  <c r="S17" i="28"/>
  <c r="T17" i="28"/>
  <c r="U17" i="28"/>
  <c r="V17" i="28"/>
  <c r="W17" i="28"/>
  <c r="X17" i="28"/>
  <c r="C17" i="28"/>
  <c r="B28" i="28"/>
  <c r="B18" i="28"/>
  <c r="B19" i="28"/>
  <c r="B20" i="28"/>
  <c r="B21" i="28"/>
  <c r="B22" i="28"/>
  <c r="B23" i="28"/>
  <c r="B24" i="28"/>
  <c r="B25" i="28"/>
  <c r="B26" i="28"/>
  <c r="B27" i="28"/>
  <c r="B17" i="28"/>
  <c r="X13" i="28"/>
  <c r="X27" i="28" s="1"/>
  <c r="D12" i="28"/>
  <c r="D26" i="28" s="1"/>
  <c r="E12" i="28"/>
  <c r="E26" i="28" s="1"/>
  <c r="F12" i="28"/>
  <c r="F26" i="28" s="1"/>
  <c r="G12" i="28"/>
  <c r="G26" i="28" s="1"/>
  <c r="H12" i="28"/>
  <c r="I12" i="28"/>
  <c r="I26" i="28" s="1"/>
  <c r="J12" i="28"/>
  <c r="J26" i="28" s="1"/>
  <c r="K12" i="28"/>
  <c r="K26" i="28" s="1"/>
  <c r="L12" i="28"/>
  <c r="L26" i="28" s="1"/>
  <c r="M12" i="28"/>
  <c r="M26" i="28" s="1"/>
  <c r="N12" i="28"/>
  <c r="N26" i="28" s="1"/>
  <c r="O12" i="28"/>
  <c r="O26" i="28" s="1"/>
  <c r="P12" i="28"/>
  <c r="Q12" i="28"/>
  <c r="Q26" i="28" s="1"/>
  <c r="W12" i="28"/>
  <c r="W26" i="28" s="1"/>
  <c r="C12" i="28"/>
  <c r="C26" i="28" s="1"/>
  <c r="M4" i="28"/>
  <c r="H7" i="28"/>
  <c r="H21" i="28" s="1"/>
  <c r="I7" i="28"/>
  <c r="I21" i="28" s="1"/>
  <c r="J7" i="28"/>
  <c r="J21" i="28" s="1"/>
  <c r="K7" i="28"/>
  <c r="P7" i="28"/>
  <c r="P21" i="28" s="1"/>
  <c r="Q7" i="28"/>
  <c r="Q21" i="28" s="1"/>
  <c r="R7" i="28"/>
  <c r="R21" i="28" s="1"/>
  <c r="S7" i="28"/>
  <c r="S21" i="28" s="1"/>
  <c r="X7" i="28"/>
  <c r="X21" i="28" s="1"/>
  <c r="C7" i="28"/>
  <c r="X3" i="28"/>
  <c r="D3" i="28"/>
  <c r="E3" i="28"/>
  <c r="F3" i="28"/>
  <c r="G3" i="28"/>
  <c r="H3" i="28"/>
  <c r="I3" i="28"/>
  <c r="J3" i="28"/>
  <c r="K3" i="28"/>
  <c r="L3" i="28"/>
  <c r="M3" i="28"/>
  <c r="N3" i="28"/>
  <c r="O3" i="28"/>
  <c r="P3" i="28"/>
  <c r="Q3" i="28"/>
  <c r="R3" i="28"/>
  <c r="S3" i="28"/>
  <c r="T3" i="28"/>
  <c r="U3" i="28"/>
  <c r="V3" i="28"/>
  <c r="W3" i="28"/>
  <c r="C3" i="28"/>
  <c r="G25" i="27"/>
  <c r="C25" i="27"/>
  <c r="E43" i="25"/>
  <c r="F43" i="25" s="1"/>
  <c r="D43" i="25"/>
  <c r="C20" i="27"/>
  <c r="D20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B20" i="27"/>
  <c r="B31" i="27"/>
  <c r="B29" i="27"/>
  <c r="B30" i="27"/>
  <c r="B22" i="27"/>
  <c r="B23" i="27"/>
  <c r="B24" i="27"/>
  <c r="B25" i="27"/>
  <c r="B26" i="27"/>
  <c r="B27" i="27"/>
  <c r="B28" i="27"/>
  <c r="B21" i="27"/>
  <c r="D12" i="27"/>
  <c r="D7" i="28" s="1"/>
  <c r="D21" i="28" s="1"/>
  <c r="E12" i="27"/>
  <c r="E7" i="28" s="1"/>
  <c r="E21" i="28" s="1"/>
  <c r="F12" i="27"/>
  <c r="G12" i="27"/>
  <c r="G7" i="28" s="1"/>
  <c r="G21" i="28" s="1"/>
  <c r="H12" i="27"/>
  <c r="H25" i="27" s="1"/>
  <c r="I12" i="27"/>
  <c r="I25" i="27" s="1"/>
  <c r="J12" i="27"/>
  <c r="J25" i="27" s="1"/>
  <c r="K12" i="27"/>
  <c r="K25" i="27" s="1"/>
  <c r="L12" i="27"/>
  <c r="L7" i="28" s="1"/>
  <c r="L21" i="28" s="1"/>
  <c r="M12" i="27"/>
  <c r="M25" i="27" s="1"/>
  <c r="N12" i="27"/>
  <c r="O12" i="27"/>
  <c r="O7" i="28" s="1"/>
  <c r="O21" i="28" s="1"/>
  <c r="P12" i="27"/>
  <c r="P25" i="27" s="1"/>
  <c r="Q12" i="27"/>
  <c r="Q25" i="27" s="1"/>
  <c r="R12" i="27"/>
  <c r="R25" i="27" s="1"/>
  <c r="S12" i="27"/>
  <c r="S25" i="27" s="1"/>
  <c r="T12" i="27"/>
  <c r="T7" i="28" s="1"/>
  <c r="T21" i="28" s="1"/>
  <c r="U12" i="27"/>
  <c r="U7" i="28" s="1"/>
  <c r="U21" i="28" s="1"/>
  <c r="V12" i="27"/>
  <c r="W12" i="27"/>
  <c r="W7" i="28" s="1"/>
  <c r="W21" i="28" s="1"/>
  <c r="X12" i="27"/>
  <c r="X25" i="27" s="1"/>
  <c r="C12" i="27"/>
  <c r="D10" i="27"/>
  <c r="D5" i="28" s="1"/>
  <c r="D19" i="28" s="1"/>
  <c r="E10" i="27"/>
  <c r="E5" i="28" s="1"/>
  <c r="E19" i="28" s="1"/>
  <c r="F10" i="27"/>
  <c r="F5" i="28" s="1"/>
  <c r="F19" i="28" s="1"/>
  <c r="G10" i="27"/>
  <c r="G5" i="28" s="1"/>
  <c r="G19" i="28" s="1"/>
  <c r="H10" i="27"/>
  <c r="H23" i="27" s="1"/>
  <c r="I10" i="27"/>
  <c r="I5" i="28" s="1"/>
  <c r="I19" i="28" s="1"/>
  <c r="J10" i="27"/>
  <c r="J5" i="28" s="1"/>
  <c r="J19" i="28" s="1"/>
  <c r="K10" i="27"/>
  <c r="K5" i="28" s="1"/>
  <c r="K19" i="28" s="1"/>
  <c r="L10" i="27"/>
  <c r="L5" i="28" s="1"/>
  <c r="L19" i="28" s="1"/>
  <c r="M10" i="27"/>
  <c r="M5" i="28" s="1"/>
  <c r="M19" i="28" s="1"/>
  <c r="N10" i="27"/>
  <c r="N5" i="28" s="1"/>
  <c r="N19" i="28" s="1"/>
  <c r="O10" i="27"/>
  <c r="O5" i="28" s="1"/>
  <c r="O19" i="28" s="1"/>
  <c r="P10" i="27"/>
  <c r="P23" i="27" s="1"/>
  <c r="Q10" i="27"/>
  <c r="Q5" i="28" s="1"/>
  <c r="Q19" i="28" s="1"/>
  <c r="R10" i="27"/>
  <c r="R5" i="28" s="1"/>
  <c r="R19" i="28" s="1"/>
  <c r="S10" i="27"/>
  <c r="S5" i="28" s="1"/>
  <c r="S19" i="28" s="1"/>
  <c r="T10" i="27"/>
  <c r="T5" i="28" s="1"/>
  <c r="T19" i="28" s="1"/>
  <c r="U10" i="27"/>
  <c r="U5" i="28" s="1"/>
  <c r="U19" i="28" s="1"/>
  <c r="V10" i="27"/>
  <c r="V5" i="28" s="1"/>
  <c r="V19" i="28" s="1"/>
  <c r="W10" i="27"/>
  <c r="W5" i="28" s="1"/>
  <c r="W19" i="28" s="1"/>
  <c r="X10" i="27"/>
  <c r="X23" i="27" s="1"/>
  <c r="C5" i="28"/>
  <c r="C19" i="28" s="1"/>
  <c r="G4" i="28"/>
  <c r="H4" i="28"/>
  <c r="I4" i="28"/>
  <c r="J4" i="28"/>
  <c r="K4" i="28"/>
  <c r="L4" i="28"/>
  <c r="H4" i="29"/>
  <c r="I4" i="29"/>
  <c r="J4" i="29"/>
  <c r="K4" i="29"/>
  <c r="L4" i="29" s="1"/>
  <c r="M4" i="29" s="1"/>
  <c r="N4" i="29" s="1"/>
  <c r="O4" i="29"/>
  <c r="P4" i="29" s="1"/>
  <c r="D13" i="29"/>
  <c r="D14" i="29" s="1"/>
  <c r="E13" i="29"/>
  <c r="E14" i="29" s="1"/>
  <c r="F13" i="29"/>
  <c r="F17" i="29" s="1"/>
  <c r="E4" i="28" s="1"/>
  <c r="G13" i="29"/>
  <c r="G17" i="29" s="1"/>
  <c r="G44" i="29" s="1"/>
  <c r="G74" i="29" s="1"/>
  <c r="H13" i="29"/>
  <c r="H17" i="29" s="1"/>
  <c r="I13" i="29"/>
  <c r="I17" i="29" s="1"/>
  <c r="J13" i="29"/>
  <c r="K13" i="29"/>
  <c r="L13" i="29"/>
  <c r="M13" i="29"/>
  <c r="M14" i="29" s="1"/>
  <c r="N13" i="29"/>
  <c r="N17" i="29" s="1"/>
  <c r="H14" i="29"/>
  <c r="J14" i="29"/>
  <c r="K14" i="29"/>
  <c r="N14" i="29"/>
  <c r="J17" i="29"/>
  <c r="K17" i="29"/>
  <c r="K44" i="29" s="1"/>
  <c r="K74" i="29" s="1"/>
  <c r="M17" i="29"/>
  <c r="M44" i="29" s="1"/>
  <c r="M86" i="29" s="1"/>
  <c r="H19" i="29"/>
  <c r="I19" i="29"/>
  <c r="J19" i="29"/>
  <c r="K19" i="29" s="1"/>
  <c r="L19" i="29" s="1"/>
  <c r="M19" i="29" s="1"/>
  <c r="N19" i="29" s="1"/>
  <c r="O19" i="29" s="1"/>
  <c r="P19" i="29" s="1"/>
  <c r="Q19" i="29" s="1"/>
  <c r="R19" i="29" s="1"/>
  <c r="S19" i="29" s="1"/>
  <c r="T19" i="29" s="1"/>
  <c r="U19" i="29" s="1"/>
  <c r="V19" i="29" s="1"/>
  <c r="W19" i="29" s="1"/>
  <c r="X19" i="29" s="1"/>
  <c r="Y19" i="29" s="1"/>
  <c r="E20" i="29"/>
  <c r="F20" i="29"/>
  <c r="G20" i="29" s="1"/>
  <c r="H20" i="29" s="1"/>
  <c r="I20" i="29"/>
  <c r="J20" i="29"/>
  <c r="K20" i="29"/>
  <c r="L20" i="29"/>
  <c r="M20" i="29" s="1"/>
  <c r="N20" i="29" s="1"/>
  <c r="O20" i="29" s="1"/>
  <c r="P20" i="29" s="1"/>
  <c r="Q20" i="29" s="1"/>
  <c r="R20" i="29" s="1"/>
  <c r="S20" i="29" s="1"/>
  <c r="T20" i="29" s="1"/>
  <c r="U20" i="29" s="1"/>
  <c r="V20" i="29" s="1"/>
  <c r="W20" i="29" s="1"/>
  <c r="X20" i="29" s="1"/>
  <c r="Y20" i="29" s="1"/>
  <c r="H24" i="29"/>
  <c r="I24" i="29"/>
  <c r="J24" i="29"/>
  <c r="K24" i="29" s="1"/>
  <c r="L24" i="29" s="1"/>
  <c r="M24" i="29" s="1"/>
  <c r="N24" i="29" s="1"/>
  <c r="O24" i="29" s="1"/>
  <c r="P24" i="29" s="1"/>
  <c r="Q24" i="29" s="1"/>
  <c r="R24" i="29" s="1"/>
  <c r="S24" i="29" s="1"/>
  <c r="T24" i="29" s="1"/>
  <c r="D25" i="29"/>
  <c r="G26" i="29" s="1"/>
  <c r="G54" i="29" s="1"/>
  <c r="E26" i="29"/>
  <c r="E54" i="29" s="1"/>
  <c r="F26" i="29"/>
  <c r="K26" i="29"/>
  <c r="K31" i="29" s="1"/>
  <c r="R26" i="29"/>
  <c r="D27" i="29"/>
  <c r="D55" i="29" s="1"/>
  <c r="E31" i="29"/>
  <c r="D35" i="29"/>
  <c r="D46" i="29" s="1"/>
  <c r="D89" i="29" s="1"/>
  <c r="E35" i="29"/>
  <c r="E46" i="29" s="1"/>
  <c r="F35" i="29"/>
  <c r="F46" i="29" s="1"/>
  <c r="F62" i="29" s="1"/>
  <c r="G35" i="29"/>
  <c r="G46" i="29" s="1"/>
  <c r="G89" i="29" s="1"/>
  <c r="H35" i="29"/>
  <c r="I35" i="29"/>
  <c r="I46" i="29" s="1"/>
  <c r="J35" i="29"/>
  <c r="K35" i="29"/>
  <c r="L35" i="29"/>
  <c r="L46" i="29" s="1"/>
  <c r="M35" i="29"/>
  <c r="M46" i="29" s="1"/>
  <c r="M62" i="29" s="1"/>
  <c r="N35" i="29"/>
  <c r="N46" i="29" s="1"/>
  <c r="N62" i="29" s="1"/>
  <c r="O35" i="29"/>
  <c r="O46" i="29" s="1"/>
  <c r="O78" i="29" s="1"/>
  <c r="P35" i="29"/>
  <c r="P46" i="29" s="1"/>
  <c r="P89" i="29" s="1"/>
  <c r="P100" i="29" s="1"/>
  <c r="Q35" i="29"/>
  <c r="Q46" i="29" s="1"/>
  <c r="Q89" i="29" s="1"/>
  <c r="Q100" i="29" s="1"/>
  <c r="R35" i="29"/>
  <c r="R46" i="29" s="1"/>
  <c r="R89" i="29" s="1"/>
  <c r="R100" i="29" s="1"/>
  <c r="S35" i="29"/>
  <c r="T35" i="29"/>
  <c r="U35" i="29"/>
  <c r="U46" i="29" s="1"/>
  <c r="U89" i="29" s="1"/>
  <c r="U100" i="29" s="1"/>
  <c r="V35" i="29"/>
  <c r="V46" i="29" s="1"/>
  <c r="V62" i="29" s="1"/>
  <c r="W35" i="29"/>
  <c r="W46" i="29" s="1"/>
  <c r="X35" i="29"/>
  <c r="X46" i="29" s="1"/>
  <c r="Y35" i="29"/>
  <c r="Y46" i="29" s="1"/>
  <c r="D36" i="29"/>
  <c r="D48" i="29" s="1"/>
  <c r="E36" i="29"/>
  <c r="F36" i="29"/>
  <c r="G36" i="29"/>
  <c r="G48" i="29" s="1"/>
  <c r="G77" i="29" s="1"/>
  <c r="H36" i="29"/>
  <c r="I36" i="29"/>
  <c r="J36" i="29"/>
  <c r="J48" i="29" s="1"/>
  <c r="K36" i="29"/>
  <c r="K48" i="29" s="1"/>
  <c r="K77" i="29" s="1"/>
  <c r="L36" i="29"/>
  <c r="L48" i="29" s="1"/>
  <c r="M36" i="29"/>
  <c r="N36" i="29"/>
  <c r="O36" i="29"/>
  <c r="P36" i="29"/>
  <c r="P48" i="29" s="1"/>
  <c r="P77" i="29" s="1"/>
  <c r="Q36" i="29"/>
  <c r="Q48" i="29" s="1"/>
  <c r="R36" i="29"/>
  <c r="R48" i="29" s="1"/>
  <c r="R59" i="29" s="1"/>
  <c r="S36" i="29"/>
  <c r="T36" i="29"/>
  <c r="U36" i="29"/>
  <c r="V36" i="29"/>
  <c r="W36" i="29"/>
  <c r="W48" i="29" s="1"/>
  <c r="W59" i="29" s="1"/>
  <c r="X36" i="29"/>
  <c r="X48" i="29" s="1"/>
  <c r="X59" i="29" s="1"/>
  <c r="Y36" i="29"/>
  <c r="Y48" i="29" s="1"/>
  <c r="Y59" i="29" s="1"/>
  <c r="D38" i="29"/>
  <c r="D39" i="29" s="1"/>
  <c r="E38" i="29"/>
  <c r="F38" i="29"/>
  <c r="F39" i="29" s="1"/>
  <c r="G38" i="29"/>
  <c r="H38" i="29"/>
  <c r="I38" i="29"/>
  <c r="I39" i="29" s="1"/>
  <c r="J38" i="29"/>
  <c r="J39" i="29" s="1"/>
  <c r="K38" i="29"/>
  <c r="K39" i="29" s="1"/>
  <c r="L38" i="29"/>
  <c r="L39" i="29" s="1"/>
  <c r="M38" i="29"/>
  <c r="M39" i="29" s="1"/>
  <c r="N38" i="29"/>
  <c r="N39" i="29" s="1"/>
  <c r="O38" i="29"/>
  <c r="P38" i="29"/>
  <c r="Q38" i="29"/>
  <c r="Q39" i="29" s="1"/>
  <c r="R38" i="29"/>
  <c r="R39" i="29" s="1"/>
  <c r="S38" i="29"/>
  <c r="T38" i="29"/>
  <c r="U38" i="29"/>
  <c r="U39" i="29" s="1"/>
  <c r="V38" i="29"/>
  <c r="V39" i="29" s="1"/>
  <c r="W38" i="29"/>
  <c r="X38" i="29"/>
  <c r="Y38" i="29"/>
  <c r="Y39" i="29" s="1"/>
  <c r="E39" i="29"/>
  <c r="G39" i="29"/>
  <c r="H39" i="29"/>
  <c r="O39" i="29"/>
  <c r="P39" i="29"/>
  <c r="S39" i="29"/>
  <c r="T39" i="29"/>
  <c r="W39" i="29"/>
  <c r="X39" i="29"/>
  <c r="T41" i="29"/>
  <c r="T47" i="29" s="1"/>
  <c r="U41" i="29"/>
  <c r="U47" i="29" s="1"/>
  <c r="U90" i="29" s="1"/>
  <c r="U101" i="29" s="1"/>
  <c r="V41" i="29"/>
  <c r="V47" i="29" s="1"/>
  <c r="V90" i="29" s="1"/>
  <c r="V101" i="29" s="1"/>
  <c r="W41" i="29"/>
  <c r="W47" i="29" s="1"/>
  <c r="D82" i="29" s="1"/>
  <c r="X41" i="29"/>
  <c r="X47" i="29" s="1"/>
  <c r="X90" i="29" s="1"/>
  <c r="Y41" i="29"/>
  <c r="Y47" i="29" s="1"/>
  <c r="Y90" i="29" s="1"/>
  <c r="E43" i="29"/>
  <c r="F43" i="29" s="1"/>
  <c r="G43" i="29" s="1"/>
  <c r="H43" i="29" s="1"/>
  <c r="I43" i="29" s="1"/>
  <c r="I85" i="29" s="1"/>
  <c r="J43" i="29"/>
  <c r="J85" i="29" s="1"/>
  <c r="K43" i="29"/>
  <c r="L43" i="29"/>
  <c r="L85" i="29" s="1"/>
  <c r="N44" i="29"/>
  <c r="N74" i="29" s="1"/>
  <c r="S45" i="29"/>
  <c r="T45" i="29"/>
  <c r="U45" i="29"/>
  <c r="V45" i="29"/>
  <c r="V88" i="29" s="1"/>
  <c r="V99" i="29" s="1"/>
  <c r="W45" i="29"/>
  <c r="W88" i="29" s="1"/>
  <c r="W99" i="29" s="1"/>
  <c r="X45" i="29"/>
  <c r="Y45" i="29"/>
  <c r="H46" i="29"/>
  <c r="H78" i="29" s="1"/>
  <c r="J46" i="29"/>
  <c r="K46" i="29"/>
  <c r="S46" i="29"/>
  <c r="S89" i="29" s="1"/>
  <c r="S100" i="29" s="1"/>
  <c r="T46" i="29"/>
  <c r="T89" i="29" s="1"/>
  <c r="T100" i="29" s="1"/>
  <c r="E48" i="29"/>
  <c r="E77" i="29" s="1"/>
  <c r="F48" i="29"/>
  <c r="H48" i="29"/>
  <c r="H91" i="29" s="1"/>
  <c r="I48" i="29"/>
  <c r="I91" i="29" s="1"/>
  <c r="M48" i="29"/>
  <c r="M59" i="29" s="1"/>
  <c r="N48" i="29"/>
  <c r="N91" i="29" s="1"/>
  <c r="O48" i="29"/>
  <c r="O91" i="29" s="1"/>
  <c r="S48" i="29"/>
  <c r="S59" i="29" s="1"/>
  <c r="T48" i="29"/>
  <c r="T91" i="29" s="1"/>
  <c r="T102" i="29" s="1"/>
  <c r="U48" i="29"/>
  <c r="U59" i="29" s="1"/>
  <c r="V48" i="29"/>
  <c r="H53" i="29"/>
  <c r="I53" i="29"/>
  <c r="J53" i="29" s="1"/>
  <c r="K54" i="29"/>
  <c r="D58" i="29"/>
  <c r="D61" i="29" s="1"/>
  <c r="E58" i="29"/>
  <c r="F58" i="29"/>
  <c r="G58" i="29"/>
  <c r="H58" i="29"/>
  <c r="I58" i="29"/>
  <c r="I61" i="29" s="1"/>
  <c r="J58" i="29"/>
  <c r="J61" i="29" s="1"/>
  <c r="F59" i="29"/>
  <c r="G59" i="29"/>
  <c r="N59" i="29"/>
  <c r="O59" i="29"/>
  <c r="E61" i="29"/>
  <c r="F61" i="29"/>
  <c r="G61" i="29"/>
  <c r="H61" i="29"/>
  <c r="G62" i="29"/>
  <c r="R62" i="29"/>
  <c r="D64" i="29"/>
  <c r="E64" i="29"/>
  <c r="F64" i="29"/>
  <c r="G64" i="29"/>
  <c r="H64" i="29"/>
  <c r="I64" i="29"/>
  <c r="J64" i="29"/>
  <c r="K64" i="29"/>
  <c r="L64" i="29"/>
  <c r="M64" i="29"/>
  <c r="N64" i="29"/>
  <c r="O64" i="29"/>
  <c r="D67" i="29"/>
  <c r="D70" i="29" s="1"/>
  <c r="E67" i="29"/>
  <c r="E70" i="29" s="1"/>
  <c r="F67" i="29"/>
  <c r="F70" i="29" s="1"/>
  <c r="G67" i="29"/>
  <c r="G70" i="29" s="1"/>
  <c r="H67" i="29"/>
  <c r="H70" i="29" s="1"/>
  <c r="I67" i="29"/>
  <c r="I70" i="29" s="1"/>
  <c r="K68" i="29"/>
  <c r="K71" i="29" s="1"/>
  <c r="N68" i="29"/>
  <c r="N71" i="29" s="1"/>
  <c r="C70" i="29"/>
  <c r="D73" i="29"/>
  <c r="N75" i="29"/>
  <c r="O75" i="29"/>
  <c r="P75" i="29"/>
  <c r="Q75" i="29"/>
  <c r="R75" i="29"/>
  <c r="S75" i="29"/>
  <c r="T75" i="29"/>
  <c r="U75" i="29"/>
  <c r="V75" i="29"/>
  <c r="W75" i="29"/>
  <c r="X75" i="29"/>
  <c r="Y75" i="29"/>
  <c r="F77" i="29"/>
  <c r="M77" i="29"/>
  <c r="N77" i="29"/>
  <c r="F78" i="29"/>
  <c r="G78" i="29"/>
  <c r="M78" i="29"/>
  <c r="P78" i="29"/>
  <c r="Q78" i="29"/>
  <c r="R78" i="29"/>
  <c r="D85" i="29"/>
  <c r="E85" i="29"/>
  <c r="G85" i="29"/>
  <c r="H85" i="29"/>
  <c r="K85" i="29"/>
  <c r="K86" i="29"/>
  <c r="D87" i="29"/>
  <c r="E87" i="29"/>
  <c r="F87" i="29"/>
  <c r="G87" i="29"/>
  <c r="H87" i="29"/>
  <c r="I87" i="29"/>
  <c r="J87" i="29"/>
  <c r="K87" i="29"/>
  <c r="L87" i="29"/>
  <c r="M87" i="29"/>
  <c r="N87" i="29"/>
  <c r="O87" i="29"/>
  <c r="P87" i="29"/>
  <c r="P98" i="29" s="1"/>
  <c r="Q87" i="29"/>
  <c r="R87" i="29"/>
  <c r="S87" i="29"/>
  <c r="T87" i="29"/>
  <c r="U87" i="29"/>
  <c r="V87" i="29"/>
  <c r="W87" i="29"/>
  <c r="X87" i="29"/>
  <c r="X98" i="29" s="1"/>
  <c r="Y87" i="29"/>
  <c r="C88" i="29"/>
  <c r="S88" i="29"/>
  <c r="T88" i="29"/>
  <c r="T99" i="29" s="1"/>
  <c r="U88" i="29"/>
  <c r="X88" i="29"/>
  <c r="Y88" i="29"/>
  <c r="C89" i="29"/>
  <c r="F89" i="29"/>
  <c r="J89" i="29"/>
  <c r="K89" i="29"/>
  <c r="C90" i="29"/>
  <c r="D90" i="29"/>
  <c r="E90" i="29"/>
  <c r="F90" i="29"/>
  <c r="G90" i="29"/>
  <c r="H90" i="29"/>
  <c r="I90" i="29"/>
  <c r="J90" i="29"/>
  <c r="K90" i="29"/>
  <c r="L90" i="29"/>
  <c r="M90" i="29"/>
  <c r="N90" i="29"/>
  <c r="O90" i="29"/>
  <c r="P90" i="29"/>
  <c r="Q90" i="29"/>
  <c r="R90" i="29"/>
  <c r="S90" i="29"/>
  <c r="W90" i="29"/>
  <c r="W101" i="29" s="1"/>
  <c r="C91" i="29"/>
  <c r="F91" i="29"/>
  <c r="G91" i="29"/>
  <c r="J91" i="29"/>
  <c r="L91" i="29"/>
  <c r="M91" i="29"/>
  <c r="P91" i="29"/>
  <c r="P102" i="29" s="1"/>
  <c r="R91" i="29"/>
  <c r="R102" i="29" s="1"/>
  <c r="N97" i="29"/>
  <c r="N98" i="29"/>
  <c r="O98" i="29"/>
  <c r="R98" i="29"/>
  <c r="S98" i="29"/>
  <c r="T98" i="29"/>
  <c r="U98" i="29"/>
  <c r="V98" i="29"/>
  <c r="N99" i="29"/>
  <c r="S99" i="29"/>
  <c r="X99" i="29"/>
  <c r="Y99" i="29"/>
  <c r="N100" i="29"/>
  <c r="N101" i="29"/>
  <c r="O101" i="29"/>
  <c r="P101" i="29"/>
  <c r="Q101" i="29"/>
  <c r="R101" i="29"/>
  <c r="S101" i="29"/>
  <c r="X101" i="29"/>
  <c r="Y101" i="29"/>
  <c r="N102" i="29"/>
  <c r="O102" i="29"/>
  <c r="D108" i="29"/>
  <c r="E108" i="29"/>
  <c r="F108" i="29"/>
  <c r="G108" i="29"/>
  <c r="H108" i="29"/>
  <c r="I108" i="29"/>
  <c r="J108" i="29"/>
  <c r="K108" i="29"/>
  <c r="M108" i="29"/>
  <c r="N108" i="29"/>
  <c r="O108" i="29"/>
  <c r="P108" i="29"/>
  <c r="Q108" i="29"/>
  <c r="R108" i="29"/>
  <c r="S108" i="29"/>
  <c r="T108" i="29"/>
  <c r="U108" i="29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V10" i="25"/>
  <c r="W10" i="25"/>
  <c r="X10" i="25"/>
  <c r="Y10" i="25"/>
  <c r="C24" i="25"/>
  <c r="D19" i="25"/>
  <c r="C10" i="24"/>
  <c r="D4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W4" i="24"/>
  <c r="X4" i="24"/>
  <c r="C4" i="24"/>
  <c r="X37" i="23"/>
  <c r="X12" i="28" s="1"/>
  <c r="X26" i="28" s="1"/>
  <c r="V37" i="23"/>
  <c r="V12" i="28" s="1"/>
  <c r="V26" i="28" s="1"/>
  <c r="R37" i="23"/>
  <c r="S37" i="23"/>
  <c r="U37" i="23"/>
  <c r="U12" i="28" s="1"/>
  <c r="U26" i="28" s="1"/>
  <c r="D37" i="23"/>
  <c r="E37" i="23"/>
  <c r="F37" i="23"/>
  <c r="G37" i="23"/>
  <c r="H37" i="23"/>
  <c r="I37" i="23"/>
  <c r="J37" i="23"/>
  <c r="K37" i="23"/>
  <c r="L37" i="23"/>
  <c r="M37" i="23"/>
  <c r="N37" i="23"/>
  <c r="O37" i="23"/>
  <c r="P37" i="23"/>
  <c r="Q37" i="23"/>
  <c r="C37" i="23"/>
  <c r="E4" i="25"/>
  <c r="F4" i="25" s="1"/>
  <c r="G4" i="25" s="1"/>
  <c r="Y5" i="25"/>
  <c r="G37" i="25" s="1"/>
  <c r="H6" i="25"/>
  <c r="M6" i="25"/>
  <c r="R6" i="25"/>
  <c r="W6" i="25"/>
  <c r="Y6" i="25"/>
  <c r="C44" i="25"/>
  <c r="D44" i="25"/>
  <c r="F44" i="25"/>
  <c r="G44" i="25"/>
  <c r="H44" i="25"/>
  <c r="I44" i="25"/>
  <c r="J44" i="25"/>
  <c r="K44" i="25"/>
  <c r="L44" i="25"/>
  <c r="M44" i="25"/>
  <c r="N44" i="25"/>
  <c r="E8" i="25"/>
  <c r="F8" i="25"/>
  <c r="G8" i="25"/>
  <c r="C10" i="25"/>
  <c r="Y18" i="25"/>
  <c r="C19" i="25"/>
  <c r="C45" i="25"/>
  <c r="D45" i="25"/>
  <c r="E45" i="25"/>
  <c r="F45" i="25"/>
  <c r="G45" i="25"/>
  <c r="H45" i="25"/>
  <c r="I45" i="25"/>
  <c r="J45" i="25"/>
  <c r="K45" i="25"/>
  <c r="L45" i="25"/>
  <c r="M45" i="25"/>
  <c r="N45" i="25"/>
  <c r="O45" i="25"/>
  <c r="P45" i="25"/>
  <c r="Q45" i="25"/>
  <c r="R45" i="25"/>
  <c r="S45" i="25"/>
  <c r="T45" i="25"/>
  <c r="U45" i="25"/>
  <c r="V45" i="25"/>
  <c r="W45" i="25"/>
  <c r="X45" i="25"/>
  <c r="E21" i="25"/>
  <c r="F21" i="25"/>
  <c r="G21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X23" i="25"/>
  <c r="Y23" i="25"/>
  <c r="C31" i="25"/>
  <c r="D31" i="25"/>
  <c r="E31" i="25"/>
  <c r="F31" i="25"/>
  <c r="L32" i="25"/>
  <c r="M32" i="25"/>
  <c r="N32" i="25"/>
  <c r="O32" i="25"/>
  <c r="P32" i="25" s="1"/>
  <c r="Q32" i="25" s="1"/>
  <c r="R32" i="25" s="1"/>
  <c r="S32" i="25" s="1"/>
  <c r="T32" i="25" s="1"/>
  <c r="U32" i="25" s="1"/>
  <c r="V32" i="25" s="1"/>
  <c r="W32" i="25" s="1"/>
  <c r="X32" i="25" s="1"/>
  <c r="Y32" i="25" s="1"/>
  <c r="C33" i="25"/>
  <c r="C34" i="25"/>
  <c r="D36" i="25"/>
  <c r="E36" i="25" s="1"/>
  <c r="F36" i="25" s="1"/>
  <c r="G36" i="25"/>
  <c r="H36" i="25"/>
  <c r="I36" i="25"/>
  <c r="J36" i="25" s="1"/>
  <c r="K36" i="25" s="1"/>
  <c r="L36" i="25" s="1"/>
  <c r="M36" i="25" s="1"/>
  <c r="N36" i="25" s="1"/>
  <c r="O36" i="25" s="1"/>
  <c r="P36" i="25" s="1"/>
  <c r="Q36" i="25" s="1"/>
  <c r="R36" i="25" s="1"/>
  <c r="S36" i="25" s="1"/>
  <c r="T36" i="25" s="1"/>
  <c r="U36" i="25" s="1"/>
  <c r="V36" i="25" s="1"/>
  <c r="W36" i="25" s="1"/>
  <c r="X36" i="25" s="1"/>
  <c r="Y36" i="25" s="1"/>
  <c r="D37" i="25"/>
  <c r="D39" i="25" s="1"/>
  <c r="E37" i="25"/>
  <c r="F37" i="25"/>
  <c r="I37" i="25"/>
  <c r="J37" i="25"/>
  <c r="K37" i="25"/>
  <c r="L37" i="25"/>
  <c r="M37" i="25"/>
  <c r="N37" i="25"/>
  <c r="Q37" i="25"/>
  <c r="R37" i="25"/>
  <c r="S37" i="25"/>
  <c r="T37" i="25"/>
  <c r="U37" i="25"/>
  <c r="V37" i="25"/>
  <c r="Y37" i="25"/>
  <c r="D38" i="25"/>
  <c r="E38" i="25"/>
  <c r="F38" i="25"/>
  <c r="G38" i="25"/>
  <c r="I38" i="25"/>
  <c r="J38" i="25"/>
  <c r="K38" i="25"/>
  <c r="L38" i="25"/>
  <c r="M38" i="25"/>
  <c r="N38" i="25"/>
  <c r="O38" i="25"/>
  <c r="Q38" i="25"/>
  <c r="R38" i="25"/>
  <c r="S38" i="25"/>
  <c r="T38" i="25"/>
  <c r="U38" i="25"/>
  <c r="V38" i="25"/>
  <c r="W38" i="25"/>
  <c r="Y38" i="25"/>
  <c r="C39" i="25"/>
  <c r="C40" i="25"/>
  <c r="D40" i="25"/>
  <c r="D34" i="25" s="1"/>
  <c r="E40" i="25"/>
  <c r="E34" i="25" s="1"/>
  <c r="F40" i="25"/>
  <c r="G40" i="25" s="1"/>
  <c r="D27" i="24"/>
  <c r="D2" i="23"/>
  <c r="E2" i="23"/>
  <c r="F2" i="23"/>
  <c r="G2" i="23" s="1"/>
  <c r="H2" i="23" s="1"/>
  <c r="I2" i="23" s="1"/>
  <c r="J2" i="23" s="1"/>
  <c r="K2" i="23" s="1"/>
  <c r="L2" i="23" s="1"/>
  <c r="M2" i="23" s="1"/>
  <c r="N2" i="23" s="1"/>
  <c r="O2" i="23" s="1"/>
  <c r="P2" i="23" s="1"/>
  <c r="Q2" i="23" s="1"/>
  <c r="R2" i="23" s="1"/>
  <c r="S2" i="23" s="1"/>
  <c r="T2" i="23" s="1"/>
  <c r="U2" i="23" s="1"/>
  <c r="V2" i="23" s="1"/>
  <c r="W2" i="23" s="1"/>
  <c r="X2" i="23" s="1"/>
  <c r="C23" i="23"/>
  <c r="C24" i="23"/>
  <c r="C29" i="23"/>
  <c r="I3" i="22"/>
  <c r="J3" i="22"/>
  <c r="K3" i="22" s="1"/>
  <c r="L3" i="22" s="1"/>
  <c r="M3" i="22" s="1"/>
  <c r="N3" i="22" s="1"/>
  <c r="O3" i="22" s="1"/>
  <c r="P3" i="22" s="1"/>
  <c r="Q3" i="22" s="1"/>
  <c r="R3" i="22" s="1"/>
  <c r="S3" i="22" s="1"/>
  <c r="T3" i="22" s="1"/>
  <c r="U3" i="22" s="1"/>
  <c r="V3" i="22" s="1"/>
  <c r="W3" i="22" s="1"/>
  <c r="X3" i="22" s="1"/>
  <c r="H3" i="22"/>
  <c r="F3" i="22"/>
  <c r="G3" i="22"/>
  <c r="E3" i="22"/>
  <c r="C38" i="17"/>
  <c r="D38" i="17"/>
  <c r="E38" i="17"/>
  <c r="F38" i="17"/>
  <c r="G38" i="17"/>
  <c r="E36" i="17"/>
  <c r="F36" i="17"/>
  <c r="G36" i="17"/>
  <c r="G30" i="17"/>
  <c r="G28" i="17"/>
  <c r="G22" i="17"/>
  <c r="G21" i="17"/>
  <c r="G20" i="17"/>
  <c r="G14" i="17"/>
  <c r="G12" i="17"/>
  <c r="F32" i="2"/>
  <c r="E33" i="2"/>
  <c r="F33" i="2"/>
  <c r="G33" i="2"/>
  <c r="G32" i="2"/>
  <c r="G34" i="2" s="1"/>
  <c r="G26" i="2"/>
  <c r="G25" i="2"/>
  <c r="G29" i="17" s="1"/>
  <c r="G19" i="2"/>
  <c r="G18" i="2"/>
  <c r="G12" i="2"/>
  <c r="G11" i="2"/>
  <c r="G13" i="2" s="1"/>
  <c r="G22" i="16"/>
  <c r="G21" i="16"/>
  <c r="G20" i="16"/>
  <c r="G38" i="16"/>
  <c r="F38" i="16"/>
  <c r="G37" i="16"/>
  <c r="G36" i="16"/>
  <c r="G39" i="16" s="1"/>
  <c r="G30" i="16"/>
  <c r="G29" i="16"/>
  <c r="G28" i="16"/>
  <c r="G14" i="16"/>
  <c r="F14" i="16"/>
  <c r="G13" i="16"/>
  <c r="G12" i="16"/>
  <c r="G15" i="16" s="1"/>
  <c r="D10" i="24" l="1"/>
  <c r="G14" i="29"/>
  <c r="F4" i="28"/>
  <c r="F68" i="29"/>
  <c r="F71" i="29" s="1"/>
  <c r="F14" i="29"/>
  <c r="F44" i="29"/>
  <c r="F86" i="29" s="1"/>
  <c r="D17" i="29"/>
  <c r="J18" i="28"/>
  <c r="I18" i="28"/>
  <c r="H18" i="28"/>
  <c r="O18" i="28"/>
  <c r="G18" i="28"/>
  <c r="Q18" i="28"/>
  <c r="P18" i="28"/>
  <c r="N18" i="28"/>
  <c r="F18" i="28"/>
  <c r="T13" i="29"/>
  <c r="T14" i="29" s="1"/>
  <c r="S44" i="25"/>
  <c r="R13" i="29"/>
  <c r="R14" i="29" s="1"/>
  <c r="Q44" i="25"/>
  <c r="Y13" i="29"/>
  <c r="Y14" i="29" s="1"/>
  <c r="X44" i="25"/>
  <c r="W13" i="29"/>
  <c r="W17" i="29" s="1"/>
  <c r="V44" i="25"/>
  <c r="S13" i="29"/>
  <c r="R44" i="25"/>
  <c r="P44" i="25"/>
  <c r="Q13" i="29"/>
  <c r="P13" i="29"/>
  <c r="O44" i="25"/>
  <c r="V13" i="29"/>
  <c r="V17" i="29" s="1"/>
  <c r="U44" i="25"/>
  <c r="X13" i="29"/>
  <c r="X14" i="29" s="1"/>
  <c r="W44" i="25"/>
  <c r="U13" i="29"/>
  <c r="U14" i="29" s="1"/>
  <c r="T44" i="25"/>
  <c r="X5" i="28"/>
  <c r="X19" i="28" s="1"/>
  <c r="P5" i="28"/>
  <c r="P19" i="28" s="1"/>
  <c r="H5" i="28"/>
  <c r="H19" i="28" s="1"/>
  <c r="E62" i="29"/>
  <c r="E89" i="29"/>
  <c r="E78" i="29"/>
  <c r="R79" i="29"/>
  <c r="T90" i="29"/>
  <c r="T101" i="29" s="1"/>
  <c r="D83" i="29"/>
  <c r="L62" i="29"/>
  <c r="L89" i="29"/>
  <c r="L78" i="29"/>
  <c r="I77" i="29"/>
  <c r="K59" i="29"/>
  <c r="I59" i="29"/>
  <c r="O26" i="29"/>
  <c r="O54" i="29" s="1"/>
  <c r="L26" i="29"/>
  <c r="L54" i="29" s="1"/>
  <c r="R77" i="29"/>
  <c r="Q62" i="29"/>
  <c r="D32" i="29"/>
  <c r="D75" i="29" s="1"/>
  <c r="J26" i="29"/>
  <c r="J31" i="29" s="1"/>
  <c r="K91" i="29"/>
  <c r="N78" i="29"/>
  <c r="O77" i="29"/>
  <c r="P62" i="29"/>
  <c r="V25" i="27"/>
  <c r="V7" i="28"/>
  <c r="V21" i="28" s="1"/>
  <c r="R4" i="24"/>
  <c r="R12" i="28"/>
  <c r="R26" i="28" s="1"/>
  <c r="S4" i="24"/>
  <c r="T37" i="23"/>
  <c r="S12" i="28"/>
  <c r="S26" i="28" s="1"/>
  <c r="W25" i="27"/>
  <c r="N7" i="28"/>
  <c r="N21" i="28" s="1"/>
  <c r="N25" i="27"/>
  <c r="F25" i="27"/>
  <c r="F7" i="28"/>
  <c r="F21" i="28" s="1"/>
  <c r="O25" i="27"/>
  <c r="E25" i="27"/>
  <c r="T25" i="27"/>
  <c r="U4" i="24"/>
  <c r="U25" i="27"/>
  <c r="V4" i="24"/>
  <c r="D25" i="27"/>
  <c r="M7" i="28"/>
  <c r="M21" i="28" s="1"/>
  <c r="L25" i="27"/>
  <c r="G23" i="17"/>
  <c r="G27" i="2"/>
  <c r="G31" i="17"/>
  <c r="G13" i="17"/>
  <c r="G15" i="17" s="1"/>
  <c r="G20" i="2"/>
  <c r="G37" i="17"/>
  <c r="G39" i="17" s="1"/>
  <c r="G23" i="16"/>
  <c r="G31" i="16"/>
  <c r="W23" i="27"/>
  <c r="O23" i="27"/>
  <c r="G23" i="27"/>
  <c r="V23" i="27"/>
  <c r="N23" i="27"/>
  <c r="F23" i="27"/>
  <c r="U23" i="27"/>
  <c r="M23" i="27"/>
  <c r="E23" i="27"/>
  <c r="T23" i="27"/>
  <c r="L23" i="27"/>
  <c r="D23" i="27"/>
  <c r="S23" i="27"/>
  <c r="K23" i="27"/>
  <c r="R23" i="27"/>
  <c r="J23" i="27"/>
  <c r="Q23" i="27"/>
  <c r="I23" i="27"/>
  <c r="C23" i="27"/>
  <c r="N4" i="28"/>
  <c r="M18" i="28"/>
  <c r="L18" i="28"/>
  <c r="X4" i="28"/>
  <c r="K18" i="28"/>
  <c r="G43" i="25"/>
  <c r="E17" i="29"/>
  <c r="I62" i="29"/>
  <c r="I78" i="29"/>
  <c r="I89" i="29"/>
  <c r="U24" i="29"/>
  <c r="T40" i="29"/>
  <c r="W77" i="29"/>
  <c r="W81" i="29" s="1"/>
  <c r="W91" i="29"/>
  <c r="W102" i="29" s="1"/>
  <c r="Q17" i="29"/>
  <c r="Q14" i="29"/>
  <c r="H44" i="29"/>
  <c r="H68" i="29"/>
  <c r="H71" i="29" s="1"/>
  <c r="J44" i="29"/>
  <c r="J68" i="29"/>
  <c r="J71" i="29" s="1"/>
  <c r="I44" i="29"/>
  <c r="I68" i="29"/>
  <c r="I71" i="29" s="1"/>
  <c r="O17" i="29"/>
  <c r="O14" i="29"/>
  <c r="U99" i="29"/>
  <c r="U93" i="29"/>
  <c r="K78" i="29"/>
  <c r="K62" i="29"/>
  <c r="U91" i="29"/>
  <c r="U102" i="29" s="1"/>
  <c r="J78" i="29"/>
  <c r="J62" i="29"/>
  <c r="L79" i="29"/>
  <c r="X79" i="29"/>
  <c r="I14" i="29"/>
  <c r="H79" i="29"/>
  <c r="U77" i="29"/>
  <c r="M43" i="29"/>
  <c r="L77" i="29"/>
  <c r="L59" i="29"/>
  <c r="D77" i="29"/>
  <c r="D59" i="29"/>
  <c r="D91" i="29"/>
  <c r="H77" i="29"/>
  <c r="H59" i="29"/>
  <c r="M74" i="29"/>
  <c r="Q98" i="29"/>
  <c r="E59" i="29"/>
  <c r="E91" i="29"/>
  <c r="Y89" i="29"/>
  <c r="Y100" i="29" s="1"/>
  <c r="Y62" i="29"/>
  <c r="X81" i="29"/>
  <c r="J79" i="29"/>
  <c r="U78" i="29"/>
  <c r="U62" i="29"/>
  <c r="N86" i="29"/>
  <c r="J59" i="29"/>
  <c r="J77" i="29"/>
  <c r="X62" i="29"/>
  <c r="X89" i="29"/>
  <c r="X100" i="29" s="1"/>
  <c r="X78" i="29"/>
  <c r="V59" i="29"/>
  <c r="V77" i="29"/>
  <c r="V91" i="29"/>
  <c r="V102" i="29" s="1"/>
  <c r="S78" i="29"/>
  <c r="S62" i="29"/>
  <c r="X91" i="29"/>
  <c r="X102" i="29" s="1"/>
  <c r="X77" i="29"/>
  <c r="Y98" i="29"/>
  <c r="M68" i="29"/>
  <c r="M71" i="29" s="1"/>
  <c r="T77" i="29"/>
  <c r="T59" i="29"/>
  <c r="S91" i="29"/>
  <c r="S102" i="29" s="1"/>
  <c r="G79" i="29"/>
  <c r="S77" i="29"/>
  <c r="H89" i="29"/>
  <c r="H62" i="29"/>
  <c r="W98" i="29"/>
  <c r="Y79" i="29"/>
  <c r="Y78" i="29"/>
  <c r="Y81" i="29" s="1"/>
  <c r="T78" i="29"/>
  <c r="T62" i="29"/>
  <c r="Y77" i="29"/>
  <c r="Y91" i="29"/>
  <c r="Y102" i="29" s="1"/>
  <c r="Q91" i="29"/>
  <c r="Q102" i="29" s="1"/>
  <c r="Q77" i="29"/>
  <c r="Q59" i="29"/>
  <c r="W62" i="29"/>
  <c r="W89" i="29"/>
  <c r="W100" i="29" s="1"/>
  <c r="W78" i="29"/>
  <c r="O89" i="29"/>
  <c r="O100" i="29" s="1"/>
  <c r="O62" i="29"/>
  <c r="P64" i="29"/>
  <c r="Q4" i="29"/>
  <c r="J67" i="29"/>
  <c r="J70" i="29" s="1"/>
  <c r="K53" i="29"/>
  <c r="N89" i="29"/>
  <c r="G86" i="29"/>
  <c r="W79" i="29"/>
  <c r="K79" i="29"/>
  <c r="D62" i="29"/>
  <c r="D78" i="29"/>
  <c r="G31" i="29"/>
  <c r="T93" i="29"/>
  <c r="M89" i="29"/>
  <c r="F85" i="29"/>
  <c r="T79" i="29"/>
  <c r="V78" i="29"/>
  <c r="F54" i="29"/>
  <c r="F31" i="29"/>
  <c r="H26" i="29"/>
  <c r="P26" i="29"/>
  <c r="I26" i="29"/>
  <c r="Q26" i="29"/>
  <c r="D30" i="29"/>
  <c r="M26" i="29"/>
  <c r="D26" i="29"/>
  <c r="N26" i="29"/>
  <c r="M79" i="29"/>
  <c r="U79" i="29"/>
  <c r="F79" i="29"/>
  <c r="N79" i="29"/>
  <c r="N81" i="29" s="1"/>
  <c r="V79" i="29"/>
  <c r="V89" i="29"/>
  <c r="V100" i="29" s="1"/>
  <c r="R81" i="29"/>
  <c r="I79" i="29"/>
  <c r="G68" i="29"/>
  <c r="G71" i="29" s="1"/>
  <c r="P59" i="29"/>
  <c r="L14" i="29"/>
  <c r="L17" i="29"/>
  <c r="D33" i="25"/>
  <c r="E39" i="25"/>
  <c r="G34" i="25"/>
  <c r="H38" i="25"/>
  <c r="H40" i="25" s="1"/>
  <c r="P38" i="25"/>
  <c r="X38" i="25"/>
  <c r="E19" i="25"/>
  <c r="F34" i="25"/>
  <c r="F19" i="25" s="1"/>
  <c r="G31" i="25"/>
  <c r="H4" i="25"/>
  <c r="X37" i="25"/>
  <c r="P37" i="25"/>
  <c r="H37" i="25"/>
  <c r="W23" i="25"/>
  <c r="W37" i="25"/>
  <c r="O37" i="25"/>
  <c r="F3" i="23"/>
  <c r="N3" i="23"/>
  <c r="F4" i="23"/>
  <c r="N4" i="23"/>
  <c r="E5" i="23"/>
  <c r="M5" i="23"/>
  <c r="C6" i="23"/>
  <c r="K6" i="23"/>
  <c r="S6" i="23"/>
  <c r="I7" i="23"/>
  <c r="Q7" i="23"/>
  <c r="E8" i="23"/>
  <c r="M8" i="23"/>
  <c r="U8" i="23"/>
  <c r="H3" i="23"/>
  <c r="P3" i="23"/>
  <c r="H4" i="23"/>
  <c r="P4" i="23"/>
  <c r="G5" i="23"/>
  <c r="O5" i="23"/>
  <c r="E6" i="23"/>
  <c r="M6" i="23"/>
  <c r="C7" i="23"/>
  <c r="K7" i="23"/>
  <c r="S7" i="23"/>
  <c r="G8" i="23"/>
  <c r="O8" i="23"/>
  <c r="G3" i="23"/>
  <c r="O3" i="23"/>
  <c r="G4" i="23"/>
  <c r="O4" i="23"/>
  <c r="F5" i="23"/>
  <c r="N5" i="23"/>
  <c r="D6" i="23"/>
  <c r="L6" i="23"/>
  <c r="T6" i="23"/>
  <c r="J7" i="23"/>
  <c r="R7" i="23"/>
  <c r="F8" i="23"/>
  <c r="N8" i="23"/>
  <c r="V8" i="23"/>
  <c r="I3" i="23"/>
  <c r="Q3" i="23"/>
  <c r="I4" i="23"/>
  <c r="Q4" i="23"/>
  <c r="H5" i="23"/>
  <c r="P5" i="23"/>
  <c r="F6" i="23"/>
  <c r="N6" i="23"/>
  <c r="D7" i="23"/>
  <c r="L7" i="23"/>
  <c r="T7" i="23"/>
  <c r="H8" i="23"/>
  <c r="P8" i="23"/>
  <c r="J3" i="23"/>
  <c r="R3" i="23"/>
  <c r="J4" i="23"/>
  <c r="R4" i="23"/>
  <c r="I5" i="23"/>
  <c r="Q5" i="23"/>
  <c r="G6" i="23"/>
  <c r="O6" i="23"/>
  <c r="E7" i="23"/>
  <c r="M7" i="23"/>
  <c r="U7" i="23"/>
  <c r="I8" i="23"/>
  <c r="Q8" i="23"/>
  <c r="C3" i="23"/>
  <c r="K3" i="23"/>
  <c r="C4" i="23"/>
  <c r="K4" i="23"/>
  <c r="S4" i="23"/>
  <c r="J5" i="23"/>
  <c r="R5" i="23"/>
  <c r="H6" i="23"/>
  <c r="P6" i="23"/>
  <c r="F7" i="23"/>
  <c r="N7" i="23"/>
  <c r="V7" i="23"/>
  <c r="J8" i="23"/>
  <c r="R8" i="23"/>
  <c r="D3" i="23"/>
  <c r="L3" i="23"/>
  <c r="D4" i="23"/>
  <c r="L4" i="23"/>
  <c r="C5" i="23"/>
  <c r="K5" i="23"/>
  <c r="S5" i="23"/>
  <c r="I6" i="23"/>
  <c r="Q6" i="23"/>
  <c r="G7" i="23"/>
  <c r="O7" i="23"/>
  <c r="C8" i="23"/>
  <c r="K8" i="23"/>
  <c r="S8" i="23"/>
  <c r="E3" i="23"/>
  <c r="M3" i="23"/>
  <c r="E4" i="23"/>
  <c r="M4" i="23"/>
  <c r="D5" i="23"/>
  <c r="L5" i="23"/>
  <c r="T5" i="23"/>
  <c r="J6" i="23"/>
  <c r="R6" i="23"/>
  <c r="H7" i="23"/>
  <c r="P7" i="23"/>
  <c r="D8" i="23"/>
  <c r="L8" i="23"/>
  <c r="T8" i="23"/>
  <c r="E27" i="24" l="1"/>
  <c r="E10" i="24"/>
  <c r="W4" i="28"/>
  <c r="S18" i="28"/>
  <c r="P4" i="28"/>
  <c r="V18" i="28"/>
  <c r="S4" i="28"/>
  <c r="X18" i="28"/>
  <c r="U4" i="28"/>
  <c r="R18" i="28"/>
  <c r="U18" i="28"/>
  <c r="R4" i="28"/>
  <c r="T17" i="29"/>
  <c r="T68" i="29" s="1"/>
  <c r="T71" i="29" s="1"/>
  <c r="V4" i="28"/>
  <c r="W18" i="28"/>
  <c r="T18" i="28"/>
  <c r="F74" i="29"/>
  <c r="D68" i="29"/>
  <c r="D71" i="29" s="1"/>
  <c r="C4" i="28"/>
  <c r="D44" i="29"/>
  <c r="R17" i="29"/>
  <c r="R44" i="29" s="1"/>
  <c r="X17" i="29"/>
  <c r="X68" i="29" s="1"/>
  <c r="X71" i="29" s="1"/>
  <c r="O4" i="28"/>
  <c r="V44" i="29"/>
  <c r="V74" i="29" s="1"/>
  <c r="V80" i="29" s="1"/>
  <c r="V68" i="29"/>
  <c r="V71" i="29" s="1"/>
  <c r="V14" i="29"/>
  <c r="U17" i="29"/>
  <c r="U68" i="29" s="1"/>
  <c r="U71" i="29" s="1"/>
  <c r="Y17" i="29"/>
  <c r="Y68" i="29" s="1"/>
  <c r="Y71" i="29" s="1"/>
  <c r="W14" i="29"/>
  <c r="T4" i="28"/>
  <c r="S17" i="29"/>
  <c r="S14" i="29"/>
  <c r="Q4" i="28"/>
  <c r="P17" i="29"/>
  <c r="P14" i="29"/>
  <c r="J54" i="29"/>
  <c r="Q79" i="29"/>
  <c r="Q81" i="29" s="1"/>
  <c r="P79" i="29"/>
  <c r="P81" i="29" s="1"/>
  <c r="S79" i="29"/>
  <c r="S81" i="29" s="1"/>
  <c r="E79" i="29"/>
  <c r="D79" i="29"/>
  <c r="S93" i="29"/>
  <c r="Y93" i="29"/>
  <c r="T81" i="29"/>
  <c r="D81" i="29"/>
  <c r="L31" i="29"/>
  <c r="O79" i="29"/>
  <c r="O81" i="29" s="1"/>
  <c r="T4" i="24"/>
  <c r="T12" i="28"/>
  <c r="T26" i="28" s="1"/>
  <c r="E22" i="32"/>
  <c r="H43" i="25"/>
  <c r="E68" i="29"/>
  <c r="E71" i="29" s="1"/>
  <c r="D4" i="28"/>
  <c r="E44" i="29"/>
  <c r="K58" i="29"/>
  <c r="K61" i="29" s="1"/>
  <c r="L53" i="29"/>
  <c r="K67" i="29"/>
  <c r="K70" i="29" s="1"/>
  <c r="M85" i="29"/>
  <c r="N43" i="29"/>
  <c r="I86" i="29"/>
  <c r="I74" i="29"/>
  <c r="D54" i="29"/>
  <c r="E25" i="29"/>
  <c r="D28" i="29"/>
  <c r="D31" i="29"/>
  <c r="Q44" i="29"/>
  <c r="Q68" i="29"/>
  <c r="Q71" i="29" s="1"/>
  <c r="M31" i="29"/>
  <c r="M54" i="29"/>
  <c r="W44" i="29"/>
  <c r="W68" i="29"/>
  <c r="W71" i="29" s="1"/>
  <c r="H54" i="29"/>
  <c r="H31" i="29"/>
  <c r="W93" i="29"/>
  <c r="U81" i="29"/>
  <c r="H74" i="29"/>
  <c r="H86" i="29"/>
  <c r="V24" i="29"/>
  <c r="U40" i="29"/>
  <c r="X93" i="29"/>
  <c r="O68" i="29"/>
  <c r="O71" i="29" s="1"/>
  <c r="O44" i="29"/>
  <c r="I31" i="29"/>
  <c r="I54" i="29"/>
  <c r="V81" i="29"/>
  <c r="V93" i="29"/>
  <c r="V49" i="29"/>
  <c r="L68" i="29"/>
  <c r="L71" i="29" s="1"/>
  <c r="L44" i="29"/>
  <c r="N54" i="29"/>
  <c r="Q64" i="29"/>
  <c r="R4" i="29"/>
  <c r="J74" i="29"/>
  <c r="J86" i="29"/>
  <c r="N80" i="29"/>
  <c r="H34" i="25"/>
  <c r="I40" i="25"/>
  <c r="H31" i="25"/>
  <c r="I4" i="25"/>
  <c r="H21" i="25"/>
  <c r="H8" i="25"/>
  <c r="H19" i="25"/>
  <c r="E33" i="25"/>
  <c r="F39" i="25"/>
  <c r="G19" i="25"/>
  <c r="C6" i="18"/>
  <c r="E19" i="21"/>
  <c r="E20" i="21" s="1"/>
  <c r="C19" i="21"/>
  <c r="D19" i="21"/>
  <c r="E32" i="21"/>
  <c r="E33" i="21"/>
  <c r="C33" i="21"/>
  <c r="D33" i="21"/>
  <c r="C32" i="21"/>
  <c r="D32" i="21"/>
  <c r="D34" i="21" s="1"/>
  <c r="C26" i="21"/>
  <c r="C25" i="21"/>
  <c r="D26" i="21"/>
  <c r="E26" i="21"/>
  <c r="E27" i="21" s="1"/>
  <c r="D25" i="21"/>
  <c r="E25" i="21"/>
  <c r="C18" i="21"/>
  <c r="D18" i="21"/>
  <c r="E18" i="21"/>
  <c r="C12" i="21"/>
  <c r="D12" i="21"/>
  <c r="D13" i="21" s="1"/>
  <c r="E12" i="21"/>
  <c r="C11" i="21"/>
  <c r="D11" i="21"/>
  <c r="E11" i="21"/>
  <c r="E13" i="21" s="1"/>
  <c r="E34" i="21"/>
  <c r="C27" i="21"/>
  <c r="D27" i="21"/>
  <c r="F27" i="21" s="1"/>
  <c r="C5" i="21"/>
  <c r="C4" i="21"/>
  <c r="C6" i="21" s="1"/>
  <c r="D5" i="21"/>
  <c r="D4" i="21"/>
  <c r="E5" i="21"/>
  <c r="E4" i="21"/>
  <c r="E6" i="21" s="1"/>
  <c r="C10" i="18"/>
  <c r="C9" i="18"/>
  <c r="B5" i="11"/>
  <c r="B2" i="11" s="1"/>
  <c r="C3" i="18" s="1"/>
  <c r="G4" i="2"/>
  <c r="F42" i="9"/>
  <c r="F43" i="9" s="1"/>
  <c r="F41" i="9"/>
  <c r="F40" i="9"/>
  <c r="F39" i="9"/>
  <c r="F38" i="9"/>
  <c r="E42" i="9"/>
  <c r="E41" i="9"/>
  <c r="E40" i="9"/>
  <c r="E39" i="9"/>
  <c r="E38" i="9"/>
  <c r="D42" i="9"/>
  <c r="D41" i="9"/>
  <c r="D40" i="9"/>
  <c r="D39" i="9"/>
  <c r="D38" i="9"/>
  <c r="D43" i="9" s="1"/>
  <c r="C42" i="9"/>
  <c r="C41" i="9"/>
  <c r="C40" i="9"/>
  <c r="C39" i="9"/>
  <c r="C38" i="9"/>
  <c r="B42" i="9"/>
  <c r="B41" i="9"/>
  <c r="B40" i="9"/>
  <c r="B39" i="9"/>
  <c r="B43" i="9" s="1"/>
  <c r="B38" i="9"/>
  <c r="F33" i="9"/>
  <c r="F32" i="9"/>
  <c r="E33" i="9"/>
  <c r="E32" i="9"/>
  <c r="E35" i="9" s="1"/>
  <c r="D34" i="9"/>
  <c r="D33" i="9"/>
  <c r="D35" i="9" s="1"/>
  <c r="D32" i="9"/>
  <c r="C33" i="9"/>
  <c r="C32" i="9"/>
  <c r="B32" i="9"/>
  <c r="F28" i="9"/>
  <c r="F27" i="9"/>
  <c r="F26" i="9"/>
  <c r="F25" i="9"/>
  <c r="E28" i="9"/>
  <c r="E27" i="9"/>
  <c r="E26" i="9"/>
  <c r="E25" i="9"/>
  <c r="E24" i="9"/>
  <c r="F24" i="9" s="1"/>
  <c r="F29" i="9" s="1"/>
  <c r="D28" i="9"/>
  <c r="D27" i="9"/>
  <c r="D26" i="9"/>
  <c r="D24" i="9"/>
  <c r="C28" i="9"/>
  <c r="C27" i="9"/>
  <c r="C26" i="9"/>
  <c r="C25" i="9"/>
  <c r="D25" i="9" s="1"/>
  <c r="C24" i="9"/>
  <c r="B28" i="9"/>
  <c r="B27" i="9"/>
  <c r="B26" i="9"/>
  <c r="B25" i="9"/>
  <c r="B24" i="9"/>
  <c r="F18" i="9"/>
  <c r="F17" i="9"/>
  <c r="F16" i="9"/>
  <c r="F15" i="9"/>
  <c r="F14" i="9"/>
  <c r="F13" i="9"/>
  <c r="F12" i="9"/>
  <c r="F11" i="9"/>
  <c r="E18" i="9"/>
  <c r="E17" i="9"/>
  <c r="E16" i="9"/>
  <c r="E15" i="9"/>
  <c r="E14" i="9"/>
  <c r="E13" i="9"/>
  <c r="E12" i="9"/>
  <c r="E11" i="9"/>
  <c r="D18" i="9"/>
  <c r="D17" i="9"/>
  <c r="D16" i="9"/>
  <c r="D15" i="9"/>
  <c r="D14" i="9"/>
  <c r="D13" i="9"/>
  <c r="D12" i="9"/>
  <c r="D11" i="9"/>
  <c r="D19" i="9" s="1"/>
  <c r="C18" i="9"/>
  <c r="C17" i="9"/>
  <c r="C16" i="9"/>
  <c r="C15" i="9"/>
  <c r="C14" i="9"/>
  <c r="C13" i="9"/>
  <c r="C12" i="9"/>
  <c r="C11" i="9"/>
  <c r="B18" i="9"/>
  <c r="B17" i="9"/>
  <c r="B16" i="9"/>
  <c r="B15" i="9"/>
  <c r="B14" i="9"/>
  <c r="B13" i="9"/>
  <c r="B12" i="9"/>
  <c r="B11" i="9"/>
  <c r="F8" i="9"/>
  <c r="F9" i="9" s="1"/>
  <c r="F5" i="9"/>
  <c r="F3" i="9"/>
  <c r="E8" i="9"/>
  <c r="E7" i="9"/>
  <c r="E6" i="9"/>
  <c r="E5" i="9"/>
  <c r="E4" i="9"/>
  <c r="E3" i="9"/>
  <c r="D8" i="9"/>
  <c r="D7" i="9"/>
  <c r="D6" i="9"/>
  <c r="D5" i="9"/>
  <c r="D4" i="9"/>
  <c r="D3" i="9"/>
  <c r="C8" i="9"/>
  <c r="C7" i="9"/>
  <c r="C6" i="9"/>
  <c r="C5" i="9"/>
  <c r="C4" i="9"/>
  <c r="C3" i="9"/>
  <c r="B8" i="9"/>
  <c r="B7" i="9"/>
  <c r="B6" i="9"/>
  <c r="B5" i="9"/>
  <c r="B4" i="9"/>
  <c r="B3" i="9"/>
  <c r="F23" i="8"/>
  <c r="F22" i="8"/>
  <c r="F21" i="8"/>
  <c r="F20" i="8"/>
  <c r="F18" i="8"/>
  <c r="F24" i="8" s="1"/>
  <c r="E23" i="8"/>
  <c r="E22" i="8"/>
  <c r="E21" i="8"/>
  <c r="E20" i="8"/>
  <c r="E19" i="8"/>
  <c r="E18" i="8"/>
  <c r="D23" i="8"/>
  <c r="D22" i="8"/>
  <c r="D21" i="8"/>
  <c r="D20" i="8"/>
  <c r="D19" i="8"/>
  <c r="D18" i="8"/>
  <c r="C23" i="8"/>
  <c r="C20" i="8"/>
  <c r="C19" i="8"/>
  <c r="C18" i="8"/>
  <c r="B23" i="8"/>
  <c r="B20" i="8"/>
  <c r="B19" i="8"/>
  <c r="B18" i="8"/>
  <c r="F13" i="8"/>
  <c r="F12" i="8"/>
  <c r="F11" i="8"/>
  <c r="F10" i="8"/>
  <c r="F9" i="8"/>
  <c r="F8" i="8"/>
  <c r="F7" i="8"/>
  <c r="F6" i="8"/>
  <c r="E13" i="8"/>
  <c r="E12" i="8"/>
  <c r="E11" i="8"/>
  <c r="E10" i="8"/>
  <c r="E9" i="8"/>
  <c r="E8" i="8"/>
  <c r="E7" i="8"/>
  <c r="E6" i="8"/>
  <c r="D11" i="8"/>
  <c r="D10" i="8"/>
  <c r="D9" i="8"/>
  <c r="D8" i="8"/>
  <c r="D7" i="8"/>
  <c r="D6" i="8"/>
  <c r="C11" i="8"/>
  <c r="C10" i="8"/>
  <c r="C9" i="8"/>
  <c r="C8" i="8"/>
  <c r="C7" i="8"/>
  <c r="C6" i="8"/>
  <c r="F3" i="8"/>
  <c r="E3" i="8"/>
  <c r="D3" i="8"/>
  <c r="C3" i="8"/>
  <c r="B13" i="8"/>
  <c r="B12" i="8"/>
  <c r="B11" i="8"/>
  <c r="B10" i="8"/>
  <c r="B9" i="8"/>
  <c r="B8" i="8"/>
  <c r="B7" i="8"/>
  <c r="B6" i="8"/>
  <c r="B3" i="8"/>
  <c r="F54" i="10"/>
  <c r="F53" i="10"/>
  <c r="F52" i="10"/>
  <c r="E54" i="10"/>
  <c r="E53" i="10"/>
  <c r="E55" i="10" s="1"/>
  <c r="E52" i="10"/>
  <c r="D54" i="10"/>
  <c r="D53" i="10"/>
  <c r="D52" i="10"/>
  <c r="C54" i="10"/>
  <c r="C53" i="10"/>
  <c r="C52" i="10"/>
  <c r="C55" i="10" s="1"/>
  <c r="B54" i="10"/>
  <c r="B55" i="10" s="1"/>
  <c r="B53" i="10"/>
  <c r="B52" i="10"/>
  <c r="F49" i="10"/>
  <c r="F48" i="10"/>
  <c r="F47" i="10"/>
  <c r="F46" i="10"/>
  <c r="F45" i="10"/>
  <c r="F44" i="10"/>
  <c r="F43" i="10"/>
  <c r="F42" i="10"/>
  <c r="F41" i="10"/>
  <c r="F40" i="10"/>
  <c r="E49" i="10"/>
  <c r="E48" i="10"/>
  <c r="E47" i="10"/>
  <c r="E46" i="10"/>
  <c r="E45" i="10"/>
  <c r="E44" i="10"/>
  <c r="E43" i="10"/>
  <c r="E42" i="10"/>
  <c r="E41" i="10"/>
  <c r="E40" i="10"/>
  <c r="E50" i="10" s="1"/>
  <c r="D49" i="10"/>
  <c r="D48" i="10"/>
  <c r="D47" i="10"/>
  <c r="D46" i="10"/>
  <c r="D45" i="10"/>
  <c r="D44" i="10"/>
  <c r="D43" i="10"/>
  <c r="D42" i="10"/>
  <c r="D41" i="10"/>
  <c r="D40" i="10"/>
  <c r="C49" i="10"/>
  <c r="C48" i="10"/>
  <c r="C47" i="10"/>
  <c r="C46" i="10"/>
  <c r="C45" i="10"/>
  <c r="C44" i="10"/>
  <c r="C43" i="10"/>
  <c r="C42" i="10"/>
  <c r="C41" i="10"/>
  <c r="C40" i="10"/>
  <c r="B49" i="10"/>
  <c r="B48" i="10"/>
  <c r="B47" i="10"/>
  <c r="B46" i="10"/>
  <c r="B45" i="10"/>
  <c r="B44" i="10"/>
  <c r="B43" i="10"/>
  <c r="B42" i="10"/>
  <c r="B41" i="10"/>
  <c r="B40" i="10"/>
  <c r="F36" i="10"/>
  <c r="F35" i="10"/>
  <c r="F34" i="10"/>
  <c r="F33" i="10"/>
  <c r="F32" i="10"/>
  <c r="F31" i="10"/>
  <c r="F30" i="10"/>
  <c r="E36" i="10"/>
  <c r="E35" i="10"/>
  <c r="E34" i="10"/>
  <c r="E33" i="10"/>
  <c r="E32" i="10"/>
  <c r="E31" i="10"/>
  <c r="E30" i="10"/>
  <c r="D36" i="10"/>
  <c r="D35" i="10"/>
  <c r="D34" i="10"/>
  <c r="D33" i="10"/>
  <c r="D32" i="10"/>
  <c r="D31" i="10"/>
  <c r="D30" i="10"/>
  <c r="C36" i="10"/>
  <c r="C35" i="10"/>
  <c r="C34" i="10"/>
  <c r="C33" i="10"/>
  <c r="C32" i="10"/>
  <c r="C31" i="10"/>
  <c r="C30" i="10"/>
  <c r="B36" i="10"/>
  <c r="B35" i="10"/>
  <c r="B34" i="10"/>
  <c r="B33" i="10"/>
  <c r="B32" i="10"/>
  <c r="B31" i="10"/>
  <c r="B30" i="10"/>
  <c r="F25" i="10"/>
  <c r="F24" i="10"/>
  <c r="F23" i="10"/>
  <c r="F22" i="10"/>
  <c r="F21" i="10"/>
  <c r="F20" i="10"/>
  <c r="F19" i="10"/>
  <c r="F18" i="10"/>
  <c r="E25" i="10"/>
  <c r="E24" i="10"/>
  <c r="E23" i="10"/>
  <c r="E22" i="10"/>
  <c r="E21" i="10"/>
  <c r="E20" i="10"/>
  <c r="E19" i="10"/>
  <c r="E18" i="10"/>
  <c r="D25" i="10"/>
  <c r="D24" i="10"/>
  <c r="D23" i="10"/>
  <c r="D22" i="10"/>
  <c r="D21" i="10"/>
  <c r="D20" i="10"/>
  <c r="D19" i="10"/>
  <c r="D18" i="10"/>
  <c r="C25" i="10"/>
  <c r="C24" i="10"/>
  <c r="C23" i="10"/>
  <c r="C22" i="10"/>
  <c r="C21" i="10"/>
  <c r="C20" i="10"/>
  <c r="C19" i="10"/>
  <c r="C18" i="10"/>
  <c r="B25" i="10"/>
  <c r="B24" i="10"/>
  <c r="B23" i="10"/>
  <c r="B22" i="10"/>
  <c r="B21" i="10"/>
  <c r="B20" i="10"/>
  <c r="B19" i="10"/>
  <c r="B18" i="10"/>
  <c r="F14" i="10"/>
  <c r="F13" i="10"/>
  <c r="F12" i="10"/>
  <c r="F11" i="10"/>
  <c r="F10" i="10"/>
  <c r="F9" i="10"/>
  <c r="F8" i="10"/>
  <c r="F7" i="10"/>
  <c r="F6" i="10"/>
  <c r="E14" i="10"/>
  <c r="E13" i="10"/>
  <c r="E12" i="10"/>
  <c r="E11" i="10"/>
  <c r="E10" i="10"/>
  <c r="E9" i="10"/>
  <c r="E8" i="10"/>
  <c r="E7" i="10"/>
  <c r="E6" i="10"/>
  <c r="D14" i="10"/>
  <c r="D13" i="10"/>
  <c r="D12" i="10"/>
  <c r="D11" i="10"/>
  <c r="D10" i="10"/>
  <c r="D9" i="10"/>
  <c r="D8" i="10"/>
  <c r="D7" i="10"/>
  <c r="D6" i="10"/>
  <c r="C14" i="10"/>
  <c r="C13" i="10"/>
  <c r="C12" i="10"/>
  <c r="C11" i="10"/>
  <c r="C10" i="10"/>
  <c r="C9" i="10"/>
  <c r="C8" i="10"/>
  <c r="C7" i="10"/>
  <c r="C6" i="10"/>
  <c r="B14" i="10"/>
  <c r="B13" i="10"/>
  <c r="B12" i="10"/>
  <c r="B11" i="10"/>
  <c r="B10" i="10"/>
  <c r="B9" i="10"/>
  <c r="B8" i="10"/>
  <c r="B7" i="10"/>
  <c r="B6" i="10"/>
  <c r="F3" i="10"/>
  <c r="E3" i="10"/>
  <c r="D3" i="10"/>
  <c r="C3" i="10"/>
  <c r="B3" i="10"/>
  <c r="D55" i="10"/>
  <c r="F55" i="10"/>
  <c r="C11" i="18"/>
  <c r="D4" i="17"/>
  <c r="D36" i="17"/>
  <c r="C36" i="17"/>
  <c r="F30" i="17"/>
  <c r="F28" i="17"/>
  <c r="E30" i="17"/>
  <c r="E28" i="17"/>
  <c r="D30" i="17"/>
  <c r="D28" i="17"/>
  <c r="C30" i="17"/>
  <c r="C28" i="17"/>
  <c r="F22" i="17"/>
  <c r="F20" i="17"/>
  <c r="E22" i="17"/>
  <c r="E20" i="17"/>
  <c r="D22" i="17"/>
  <c r="D20" i="17"/>
  <c r="C22" i="17"/>
  <c r="C20" i="17"/>
  <c r="F14" i="17"/>
  <c r="E14" i="17"/>
  <c r="D14" i="17"/>
  <c r="C14" i="17"/>
  <c r="F12" i="17"/>
  <c r="E12" i="17"/>
  <c r="D12" i="17"/>
  <c r="C12" i="17"/>
  <c r="G6" i="17"/>
  <c r="G5" i="17"/>
  <c r="G4" i="17"/>
  <c r="F6" i="17"/>
  <c r="F5" i="17"/>
  <c r="F4" i="17"/>
  <c r="E6" i="17"/>
  <c r="E5" i="17"/>
  <c r="E4" i="17"/>
  <c r="D6" i="17"/>
  <c r="D5" i="17"/>
  <c r="C11" i="2"/>
  <c r="E13" i="17"/>
  <c r="C6" i="17"/>
  <c r="C5" i="17"/>
  <c r="C4" i="17"/>
  <c r="E32" i="2"/>
  <c r="D33" i="2"/>
  <c r="D32" i="2"/>
  <c r="C33" i="2"/>
  <c r="C32" i="2"/>
  <c r="F26" i="2"/>
  <c r="F25" i="2"/>
  <c r="E26" i="2"/>
  <c r="E25" i="2"/>
  <c r="D26" i="2"/>
  <c r="D25" i="2"/>
  <c r="C26" i="2"/>
  <c r="C25" i="2"/>
  <c r="F19" i="2"/>
  <c r="F18" i="2"/>
  <c r="E19" i="2"/>
  <c r="E18" i="2"/>
  <c r="D19" i="2"/>
  <c r="D18" i="2"/>
  <c r="C19" i="2"/>
  <c r="C18" i="2"/>
  <c r="F12" i="2"/>
  <c r="F11" i="2"/>
  <c r="E12" i="2"/>
  <c r="E11" i="2"/>
  <c r="D12" i="2"/>
  <c r="D11" i="2"/>
  <c r="C12" i="2"/>
  <c r="G5" i="2"/>
  <c r="F5" i="2"/>
  <c r="F4" i="2"/>
  <c r="E5" i="2"/>
  <c r="E4" i="2"/>
  <c r="D5" i="2"/>
  <c r="D4" i="2"/>
  <c r="C5" i="2"/>
  <c r="C4" i="2"/>
  <c r="F37" i="16"/>
  <c r="F36" i="16"/>
  <c r="E38" i="16"/>
  <c r="E37" i="16"/>
  <c r="E36" i="16"/>
  <c r="D38" i="16"/>
  <c r="D37" i="16"/>
  <c r="D36" i="16"/>
  <c r="C38" i="16"/>
  <c r="C37" i="16"/>
  <c r="C36" i="16"/>
  <c r="F30" i="16"/>
  <c r="F29" i="16"/>
  <c r="F28" i="16"/>
  <c r="E30" i="16"/>
  <c r="E29" i="16"/>
  <c r="E28" i="16"/>
  <c r="D30" i="16"/>
  <c r="D29" i="16"/>
  <c r="D28" i="16"/>
  <c r="C30" i="16"/>
  <c r="C29" i="16"/>
  <c r="C28" i="16"/>
  <c r="F22" i="16"/>
  <c r="F21" i="16"/>
  <c r="F20" i="16"/>
  <c r="E22" i="16"/>
  <c r="E21" i="16"/>
  <c r="E20" i="16"/>
  <c r="D22" i="16"/>
  <c r="D21" i="16"/>
  <c r="D20" i="16"/>
  <c r="C22" i="16"/>
  <c r="C21" i="16"/>
  <c r="C20" i="16"/>
  <c r="F13" i="16"/>
  <c r="F12" i="16"/>
  <c r="E14" i="16"/>
  <c r="E13" i="16"/>
  <c r="E12" i="16"/>
  <c r="D14" i="16"/>
  <c r="D13" i="16"/>
  <c r="D12" i="16"/>
  <c r="C14" i="16"/>
  <c r="C13" i="16"/>
  <c r="C12" i="16"/>
  <c r="G6" i="16"/>
  <c r="G5" i="16"/>
  <c r="G4" i="16"/>
  <c r="F6" i="16"/>
  <c r="F5" i="16"/>
  <c r="F4" i="16"/>
  <c r="E6" i="16"/>
  <c r="E5" i="16"/>
  <c r="E4" i="16"/>
  <c r="D6" i="16"/>
  <c r="D5" i="16"/>
  <c r="D4" i="16"/>
  <c r="C6" i="16"/>
  <c r="C5" i="16"/>
  <c r="C4" i="16"/>
  <c r="C24" i="8"/>
  <c r="C35" i="9"/>
  <c r="F35" i="9"/>
  <c r="B35" i="9"/>
  <c r="D9" i="9"/>
  <c r="F38" i="14"/>
  <c r="C9" i="14"/>
  <c r="E9" i="14"/>
  <c r="F9" i="14"/>
  <c r="D45" i="14"/>
  <c r="E45" i="14"/>
  <c r="F45" i="14"/>
  <c r="G45" i="14"/>
  <c r="C45" i="14"/>
  <c r="F33" i="14"/>
  <c r="F27" i="14"/>
  <c r="F28" i="14" s="1"/>
  <c r="F12" i="14"/>
  <c r="F15" i="14" s="1"/>
  <c r="E34" i="14"/>
  <c r="E38" i="14" s="1"/>
  <c r="E27" i="14"/>
  <c r="E28" i="14" s="1"/>
  <c r="D27" i="14"/>
  <c r="D28" i="14" s="1"/>
  <c r="E12" i="14"/>
  <c r="E15" i="14" s="1"/>
  <c r="G38" i="14"/>
  <c r="D38" i="14"/>
  <c r="D12" i="14"/>
  <c r="D15" i="14" s="1"/>
  <c r="D3" i="14"/>
  <c r="D9" i="14" s="1"/>
  <c r="C44" i="14"/>
  <c r="C35" i="14"/>
  <c r="C38" i="14" s="1"/>
  <c r="G28" i="14"/>
  <c r="C23" i="14"/>
  <c r="D23" i="14"/>
  <c r="E23" i="14"/>
  <c r="F23" i="14"/>
  <c r="G23" i="14"/>
  <c r="C27" i="14"/>
  <c r="C28" i="14" s="1"/>
  <c r="G15" i="14"/>
  <c r="C12" i="14"/>
  <c r="C15" i="14" s="1"/>
  <c r="G9" i="14"/>
  <c r="F27" i="24" l="1"/>
  <c r="F10" i="24"/>
  <c r="T44" i="29"/>
  <c r="V86" i="29"/>
  <c r="V97" i="29" s="1"/>
  <c r="X44" i="29"/>
  <c r="R68" i="29"/>
  <c r="R71" i="29" s="1"/>
  <c r="D74" i="29"/>
  <c r="D80" i="29" s="1"/>
  <c r="D86" i="29"/>
  <c r="Y44" i="29"/>
  <c r="Y74" i="29" s="1"/>
  <c r="Y80" i="29" s="1"/>
  <c r="U44" i="29"/>
  <c r="U74" i="29" s="1"/>
  <c r="U80" i="29" s="1"/>
  <c r="S44" i="29"/>
  <c r="S68" i="29"/>
  <c r="S71" i="29" s="1"/>
  <c r="P44" i="29"/>
  <c r="P68" i="29"/>
  <c r="P71" i="29" s="1"/>
  <c r="C15" i="10"/>
  <c r="E26" i="10"/>
  <c r="C20" i="32"/>
  <c r="B9" i="9"/>
  <c r="C20" i="23"/>
  <c r="C28" i="23" s="1"/>
  <c r="C30" i="23" s="1"/>
  <c r="K6" i="24"/>
  <c r="S6" i="24"/>
  <c r="G6" i="24"/>
  <c r="H6" i="24"/>
  <c r="D6" i="24"/>
  <c r="L6" i="24"/>
  <c r="T6" i="24"/>
  <c r="W6" i="24"/>
  <c r="P6" i="24"/>
  <c r="C6" i="24"/>
  <c r="E6" i="24"/>
  <c r="M6" i="24"/>
  <c r="U6" i="24"/>
  <c r="O6" i="24"/>
  <c r="F6" i="24"/>
  <c r="N6" i="24"/>
  <c r="V6" i="24"/>
  <c r="I6" i="24"/>
  <c r="R6" i="24"/>
  <c r="J6" i="24"/>
  <c r="Q6" i="24"/>
  <c r="D29" i="9"/>
  <c r="C34" i="21"/>
  <c r="F34" i="21" s="1"/>
  <c r="C13" i="21"/>
  <c r="F13" i="21" s="1"/>
  <c r="D20" i="21"/>
  <c r="D6" i="21"/>
  <c r="C38" i="21" s="1"/>
  <c r="C20" i="21"/>
  <c r="F20" i="21" s="1"/>
  <c r="D29" i="17"/>
  <c r="F22" i="32"/>
  <c r="I43" i="25"/>
  <c r="E74" i="29"/>
  <c r="E86" i="29"/>
  <c r="X74" i="29"/>
  <c r="X80" i="29" s="1"/>
  <c r="X86" i="29"/>
  <c r="X49" i="29"/>
  <c r="V92" i="29"/>
  <c r="V103" i="29" s="1"/>
  <c r="V104" i="29" s="1"/>
  <c r="U86" i="29"/>
  <c r="W49" i="29"/>
  <c r="W74" i="29"/>
  <c r="W80" i="29" s="1"/>
  <c r="W86" i="29"/>
  <c r="D45" i="29"/>
  <c r="D56" i="29"/>
  <c r="D33" i="29"/>
  <c r="V40" i="29"/>
  <c r="W24" i="29"/>
  <c r="F25" i="29"/>
  <c r="E27" i="29"/>
  <c r="E30" i="29"/>
  <c r="L58" i="29"/>
  <c r="L61" i="29" s="1"/>
  <c r="L67" i="29"/>
  <c r="L70" i="29" s="1"/>
  <c r="M53" i="29"/>
  <c r="O43" i="29"/>
  <c r="N85" i="29"/>
  <c r="R64" i="29"/>
  <c r="S4" i="29"/>
  <c r="L86" i="29"/>
  <c r="L74" i="29"/>
  <c r="O74" i="29"/>
  <c r="O80" i="29" s="1"/>
  <c r="O86" i="29"/>
  <c r="T49" i="29"/>
  <c r="T86" i="29"/>
  <c r="T74" i="29"/>
  <c r="T80" i="29" s="1"/>
  <c r="R74" i="29"/>
  <c r="R80" i="29" s="1"/>
  <c r="R86" i="29"/>
  <c r="Q74" i="29"/>
  <c r="Q80" i="29" s="1"/>
  <c r="Q86" i="29"/>
  <c r="F33" i="25"/>
  <c r="G39" i="25"/>
  <c r="J40" i="25"/>
  <c r="I34" i="25"/>
  <c r="J4" i="25"/>
  <c r="I8" i="25"/>
  <c r="I31" i="25"/>
  <c r="I21" i="25"/>
  <c r="I19" i="25"/>
  <c r="E43" i="9"/>
  <c r="D45" i="9"/>
  <c r="D47" i="9" s="1"/>
  <c r="C43" i="9"/>
  <c r="C45" i="9" s="1"/>
  <c r="C47" i="9" s="1"/>
  <c r="E29" i="9"/>
  <c r="C29" i="9"/>
  <c r="B29" i="9"/>
  <c r="F19" i="9"/>
  <c r="E19" i="9"/>
  <c r="D21" i="9"/>
  <c r="C19" i="9"/>
  <c r="B19" i="9"/>
  <c r="B21" i="9" s="1"/>
  <c r="E9" i="9"/>
  <c r="C9" i="9"/>
  <c r="E24" i="8"/>
  <c r="B24" i="8"/>
  <c r="C14" i="8"/>
  <c r="C15" i="8" s="1"/>
  <c r="C25" i="8" s="1"/>
  <c r="C13" i="17"/>
  <c r="C15" i="17" s="1"/>
  <c r="C50" i="10"/>
  <c r="B50" i="10"/>
  <c r="B37" i="10"/>
  <c r="D15" i="10"/>
  <c r="B15" i="10"/>
  <c r="F50" i="10"/>
  <c r="D50" i="10"/>
  <c r="F37" i="10"/>
  <c r="E37" i="10"/>
  <c r="C26" i="10"/>
  <c r="F26" i="10"/>
  <c r="C37" i="10"/>
  <c r="D37" i="10"/>
  <c r="F15" i="10"/>
  <c r="B26" i="10"/>
  <c r="D26" i="10"/>
  <c r="E15" i="10"/>
  <c r="D24" i="8"/>
  <c r="B14" i="8"/>
  <c r="B15" i="8" s="1"/>
  <c r="D14" i="8"/>
  <c r="D15" i="8" s="1"/>
  <c r="E14" i="8"/>
  <c r="E15" i="8" s="1"/>
  <c r="E25" i="8" s="1"/>
  <c r="F14" i="8"/>
  <c r="F15" i="8" s="1"/>
  <c r="F25" i="8" s="1"/>
  <c r="F29" i="17"/>
  <c r="F31" i="17" s="1"/>
  <c r="E45" i="9"/>
  <c r="E47" i="9" s="1"/>
  <c r="F45" i="9"/>
  <c r="B45" i="9"/>
  <c r="D21" i="17"/>
  <c r="D23" i="17" s="1"/>
  <c r="D13" i="17"/>
  <c r="D15" i="17" s="1"/>
  <c r="F21" i="17"/>
  <c r="F23" i="17" s="1"/>
  <c r="C37" i="17"/>
  <c r="C39" i="17" s="1"/>
  <c r="C7" i="17"/>
  <c r="C43" i="17" s="1"/>
  <c r="E21" i="17"/>
  <c r="E23" i="17" s="1"/>
  <c r="C29" i="17"/>
  <c r="C31" i="17" s="1"/>
  <c r="E37" i="17"/>
  <c r="E39" i="17" s="1"/>
  <c r="D37" i="17"/>
  <c r="D39" i="17" s="1"/>
  <c r="D31" i="17"/>
  <c r="F37" i="17"/>
  <c r="F39" i="17" s="1"/>
  <c r="E15" i="17"/>
  <c r="F13" i="17"/>
  <c r="F15" i="17" s="1"/>
  <c r="C21" i="17"/>
  <c r="C23" i="17" s="1"/>
  <c r="E29" i="17"/>
  <c r="E31" i="17" s="1"/>
  <c r="D7" i="17"/>
  <c r="D43" i="17" s="1"/>
  <c r="E7" i="17"/>
  <c r="F7" i="17"/>
  <c r="G7" i="17"/>
  <c r="E31" i="16"/>
  <c r="F31" i="16"/>
  <c r="E15" i="16"/>
  <c r="C31" i="16"/>
  <c r="F15" i="16"/>
  <c r="D31" i="16"/>
  <c r="G7" i="16"/>
  <c r="C7" i="16"/>
  <c r="C23" i="16"/>
  <c r="C39" i="16"/>
  <c r="D7" i="16"/>
  <c r="D23" i="16"/>
  <c r="D39" i="16"/>
  <c r="E7" i="16"/>
  <c r="C15" i="16"/>
  <c r="E23" i="16"/>
  <c r="E39" i="16"/>
  <c r="F7" i="16"/>
  <c r="F43" i="16" s="1"/>
  <c r="D15" i="16"/>
  <c r="F23" i="16"/>
  <c r="F39" i="16"/>
  <c r="F47" i="14"/>
  <c r="E47" i="14"/>
  <c r="G17" i="14"/>
  <c r="G25" i="14" s="1"/>
  <c r="G30" i="14" s="1"/>
  <c r="G47" i="14"/>
  <c r="C47" i="14"/>
  <c r="F17" i="14"/>
  <c r="F25" i="14" s="1"/>
  <c r="F30" i="14" s="1"/>
  <c r="E17" i="14"/>
  <c r="E25" i="14" s="1"/>
  <c r="E30" i="14" s="1"/>
  <c r="C17" i="14"/>
  <c r="C25" i="14" s="1"/>
  <c r="C30" i="14" s="1"/>
  <c r="D47" i="14"/>
  <c r="D17" i="14"/>
  <c r="D25" i="14" s="1"/>
  <c r="D30" i="14" s="1"/>
  <c r="C13" i="2"/>
  <c r="C20" i="2"/>
  <c r="E34" i="2"/>
  <c r="D34" i="2"/>
  <c r="F34" i="2"/>
  <c r="E27" i="2"/>
  <c r="C34" i="2"/>
  <c r="C27" i="2"/>
  <c r="E13" i="2"/>
  <c r="D20" i="2"/>
  <c r="F27" i="2"/>
  <c r="D27" i="2"/>
  <c r="E20" i="2"/>
  <c r="F20" i="2"/>
  <c r="F13" i="2"/>
  <c r="D13" i="2"/>
  <c r="G6" i="2"/>
  <c r="F6" i="2"/>
  <c r="E6" i="2"/>
  <c r="D6" i="2"/>
  <c r="C6" i="2"/>
  <c r="V13" i="28" l="1"/>
  <c r="V27" i="28" s="1"/>
  <c r="I13" i="28"/>
  <c r="I27" i="28" s="1"/>
  <c r="P13" i="28"/>
  <c r="P27" i="28" s="1"/>
  <c r="W13" i="28"/>
  <c r="W27" i="28" s="1"/>
  <c r="C13" i="28"/>
  <c r="C27" i="28" s="1"/>
  <c r="G27" i="24"/>
  <c r="G10" i="24"/>
  <c r="U49" i="29"/>
  <c r="Y86" i="29"/>
  <c r="Y49" i="29"/>
  <c r="P74" i="29"/>
  <c r="P80" i="29" s="1"/>
  <c r="P86" i="29"/>
  <c r="P97" i="29" s="1"/>
  <c r="S86" i="29"/>
  <c r="S74" i="29"/>
  <c r="S80" i="29" s="1"/>
  <c r="S49" i="29"/>
  <c r="G13" i="28"/>
  <c r="G27" i="28" s="1"/>
  <c r="F47" i="9"/>
  <c r="F21" i="9"/>
  <c r="T13" i="28"/>
  <c r="T27" i="28" s="1"/>
  <c r="E13" i="28"/>
  <c r="E27" i="28" s="1"/>
  <c r="K13" i="28"/>
  <c r="K27" i="28" s="1"/>
  <c r="N13" i="28"/>
  <c r="N27" i="28" s="1"/>
  <c r="F13" i="28"/>
  <c r="F27" i="28" s="1"/>
  <c r="O13" i="28"/>
  <c r="O27" i="28" s="1"/>
  <c r="L13" i="28"/>
  <c r="L27" i="28" s="1"/>
  <c r="R13" i="28"/>
  <c r="R27" i="28" s="1"/>
  <c r="S13" i="28"/>
  <c r="S27" i="28" s="1"/>
  <c r="I9" i="23"/>
  <c r="P12" i="23"/>
  <c r="V15" i="23"/>
  <c r="P10" i="23"/>
  <c r="L14" i="23"/>
  <c r="L11" i="23"/>
  <c r="S14" i="23"/>
  <c r="X15" i="23"/>
  <c r="F11" i="23"/>
  <c r="M14" i="23"/>
  <c r="M9" i="23"/>
  <c r="T12" i="23"/>
  <c r="D16" i="23"/>
  <c r="H11" i="23"/>
  <c r="O14" i="23"/>
  <c r="O9" i="23"/>
  <c r="C13" i="23"/>
  <c r="F16" i="23"/>
  <c r="J11" i="23"/>
  <c r="Q14" i="23"/>
  <c r="E12" i="23"/>
  <c r="M15" i="23"/>
  <c r="N10" i="23"/>
  <c r="J12" i="23"/>
  <c r="W15" i="23"/>
  <c r="Q15" i="23"/>
  <c r="F9" i="23"/>
  <c r="T10" i="23"/>
  <c r="O12" i="23"/>
  <c r="C9" i="23"/>
  <c r="F13" i="23"/>
  <c r="S12" i="23"/>
  <c r="N14" i="23"/>
  <c r="U12" i="23"/>
  <c r="P14" i="23"/>
  <c r="G16" i="23"/>
  <c r="K9" i="23"/>
  <c r="N13" i="23"/>
  <c r="H13" i="23"/>
  <c r="V14" i="23"/>
  <c r="M16" i="23"/>
  <c r="E10" i="23"/>
  <c r="S9" i="23"/>
  <c r="O10" i="23"/>
  <c r="I10" i="23"/>
  <c r="D12" i="23"/>
  <c r="R13" i="23"/>
  <c r="L15" i="23"/>
  <c r="W16" i="23"/>
  <c r="H12" i="23"/>
  <c r="D14" i="23"/>
  <c r="H15" i="23"/>
  <c r="E9" i="23"/>
  <c r="S10" i="23"/>
  <c r="T15" i="23"/>
  <c r="Q9" i="23"/>
  <c r="E13" i="23"/>
  <c r="H16" i="23"/>
  <c r="M11" i="23"/>
  <c r="T14" i="23"/>
  <c r="T11" i="23"/>
  <c r="G15" i="23"/>
  <c r="J16" i="23"/>
  <c r="N11" i="23"/>
  <c r="U14" i="23"/>
  <c r="U9" i="23"/>
  <c r="I13" i="23"/>
  <c r="L16" i="23"/>
  <c r="P11" i="23"/>
  <c r="C15" i="23"/>
  <c r="D10" i="23"/>
  <c r="K13" i="23"/>
  <c r="N16" i="23"/>
  <c r="R11" i="23"/>
  <c r="E15" i="23"/>
  <c r="I15" i="23"/>
  <c r="K15" i="23"/>
  <c r="S13" i="23"/>
  <c r="G12" i="23"/>
  <c r="X16" i="23"/>
  <c r="Q12" i="23"/>
  <c r="K12" i="23"/>
  <c r="F14" i="23"/>
  <c r="S15" i="23"/>
  <c r="H9" i="23"/>
  <c r="C11" i="23"/>
  <c r="R12" i="23"/>
  <c r="I16" i="23"/>
  <c r="C16" i="23"/>
  <c r="N9" i="23"/>
  <c r="I11" i="23"/>
  <c r="D13" i="23"/>
  <c r="K11" i="23"/>
  <c r="G13" i="23"/>
  <c r="Q16" i="23"/>
  <c r="K16" i="23"/>
  <c r="C10" i="23"/>
  <c r="Q11" i="23"/>
  <c r="L13" i="23"/>
  <c r="S11" i="23"/>
  <c r="O13" i="23"/>
  <c r="E11" i="23"/>
  <c r="S16" i="23"/>
  <c r="K10" i="23"/>
  <c r="F12" i="23"/>
  <c r="T13" i="23"/>
  <c r="N15" i="23"/>
  <c r="D11" i="23"/>
  <c r="Q10" i="23"/>
  <c r="L12" i="23"/>
  <c r="G9" i="23"/>
  <c r="U10" i="23"/>
  <c r="F10" i="23"/>
  <c r="M13" i="23"/>
  <c r="P16" i="23"/>
  <c r="U11" i="23"/>
  <c r="P15" i="23"/>
  <c r="I12" i="23"/>
  <c r="O15" i="23"/>
  <c r="R16" i="23"/>
  <c r="C12" i="23"/>
  <c r="J10" i="23"/>
  <c r="Q13" i="23"/>
  <c r="T16" i="23"/>
  <c r="L10" i="23"/>
  <c r="V16" i="23"/>
  <c r="U13" i="23"/>
  <c r="J9" i="23"/>
  <c r="D9" i="23"/>
  <c r="R10" i="23"/>
  <c r="M12" i="23"/>
  <c r="H14" i="23"/>
  <c r="U15" i="23"/>
  <c r="J14" i="23"/>
  <c r="R9" i="23"/>
  <c r="L9" i="23"/>
  <c r="G11" i="23"/>
  <c r="E16" i="23"/>
  <c r="P9" i="23"/>
  <c r="R14" i="23"/>
  <c r="G10" i="23"/>
  <c r="T9" i="23"/>
  <c r="O11" i="23"/>
  <c r="J13" i="23"/>
  <c r="D15" i="23"/>
  <c r="O16" i="23"/>
  <c r="F15" i="23"/>
  <c r="C14" i="23"/>
  <c r="P13" i="23"/>
  <c r="J15" i="23"/>
  <c r="U16" i="23"/>
  <c r="M10" i="23"/>
  <c r="H10" i="23"/>
  <c r="K14" i="23"/>
  <c r="E14" i="23"/>
  <c r="R15" i="23"/>
  <c r="G14" i="23"/>
  <c r="N12" i="23"/>
  <c r="I14" i="23"/>
  <c r="Q13" i="28"/>
  <c r="Q27" i="28" s="1"/>
  <c r="U13" i="28"/>
  <c r="U27" i="28" s="1"/>
  <c r="D13" i="28"/>
  <c r="D27" i="28" s="1"/>
  <c r="J13" i="28"/>
  <c r="J27" i="28" s="1"/>
  <c r="M13" i="28"/>
  <c r="M27" i="28" s="1"/>
  <c r="H13" i="28"/>
  <c r="H27" i="28" s="1"/>
  <c r="F6" i="21"/>
  <c r="C39" i="21" s="1"/>
  <c r="G43" i="17"/>
  <c r="G44" i="17"/>
  <c r="H43" i="17"/>
  <c r="G39" i="2"/>
  <c r="G38" i="2"/>
  <c r="F44" i="17"/>
  <c r="G44" i="16"/>
  <c r="G43" i="16"/>
  <c r="G22" i="32"/>
  <c r="J43" i="25"/>
  <c r="M58" i="29"/>
  <c r="M61" i="29" s="1"/>
  <c r="N53" i="29"/>
  <c r="M67" i="29"/>
  <c r="M70" i="29" s="1"/>
  <c r="S64" i="29"/>
  <c r="T4" i="29"/>
  <c r="W97" i="29"/>
  <c r="W92" i="29"/>
  <c r="W103" i="29" s="1"/>
  <c r="W104" i="29" s="1"/>
  <c r="Q97" i="29"/>
  <c r="O97" i="29"/>
  <c r="X92" i="29"/>
  <c r="X103" i="29" s="1"/>
  <c r="X104" i="29" s="1"/>
  <c r="X97" i="29"/>
  <c r="R97" i="29"/>
  <c r="U92" i="29"/>
  <c r="U103" i="29" s="1"/>
  <c r="U104" i="29" s="1"/>
  <c r="U97" i="29"/>
  <c r="T97" i="29"/>
  <c r="T92" i="29"/>
  <c r="T103" i="29" s="1"/>
  <c r="T104" i="29" s="1"/>
  <c r="D88" i="29"/>
  <c r="D49" i="29"/>
  <c r="Y92" i="29"/>
  <c r="Y103" i="29" s="1"/>
  <c r="Y104" i="29" s="1"/>
  <c r="Y97" i="29"/>
  <c r="E55" i="29"/>
  <c r="E32" i="29"/>
  <c r="E75" i="29" s="1"/>
  <c r="E28" i="29"/>
  <c r="G25" i="29"/>
  <c r="F30" i="29"/>
  <c r="F27" i="29"/>
  <c r="P43" i="29"/>
  <c r="O85" i="29"/>
  <c r="O96" i="29" s="1"/>
  <c r="W40" i="29"/>
  <c r="X24" i="29"/>
  <c r="G33" i="25"/>
  <c r="H39" i="25"/>
  <c r="J21" i="25"/>
  <c r="K4" i="25"/>
  <c r="J31" i="25"/>
  <c r="J8" i="25"/>
  <c r="J34" i="25"/>
  <c r="J19" i="25" s="1"/>
  <c r="K40" i="25"/>
  <c r="B47" i="9"/>
  <c r="E21" i="9"/>
  <c r="C21" i="9"/>
  <c r="B25" i="8"/>
  <c r="E27" i="10"/>
  <c r="D27" i="10"/>
  <c r="C27" i="10"/>
  <c r="B27" i="10"/>
  <c r="F27" i="10"/>
  <c r="D25" i="8"/>
  <c r="C44" i="17"/>
  <c r="D44" i="17"/>
  <c r="F43" i="17"/>
  <c r="E44" i="17"/>
  <c r="E43" i="17"/>
  <c r="E44" i="16"/>
  <c r="E43" i="16"/>
  <c r="D43" i="16"/>
  <c r="D44" i="16"/>
  <c r="F44" i="16"/>
  <c r="C43" i="16"/>
  <c r="C44" i="16"/>
  <c r="C38" i="2"/>
  <c r="C39" i="2"/>
  <c r="D38" i="2"/>
  <c r="D39" i="2"/>
  <c r="E38" i="2"/>
  <c r="E39" i="2"/>
  <c r="F38" i="2"/>
  <c r="F39" i="2"/>
  <c r="H27" i="24" l="1"/>
  <c r="H10" i="24"/>
  <c r="S92" i="29"/>
  <c r="S103" i="29" s="1"/>
  <c r="S104" i="29" s="1"/>
  <c r="S97" i="29"/>
  <c r="J17" i="23"/>
  <c r="J33" i="23" s="1"/>
  <c r="J3" i="24" s="1"/>
  <c r="Q17" i="23"/>
  <c r="Q33" i="23" s="1"/>
  <c r="Q3" i="24" s="1"/>
  <c r="O17" i="23"/>
  <c r="O33" i="23" s="1"/>
  <c r="O3" i="24" s="1"/>
  <c r="V17" i="23"/>
  <c r="V33" i="23" s="1"/>
  <c r="V3" i="24" s="1"/>
  <c r="L17" i="23"/>
  <c r="L33" i="23" s="1"/>
  <c r="L3" i="24" s="1"/>
  <c r="G17" i="23"/>
  <c r="G33" i="23" s="1"/>
  <c r="G3" i="24" s="1"/>
  <c r="H17" i="23"/>
  <c r="H33" i="23" s="1"/>
  <c r="H3" i="24" s="1"/>
  <c r="K17" i="23"/>
  <c r="K33" i="23" s="1"/>
  <c r="K3" i="24" s="1"/>
  <c r="P17" i="23"/>
  <c r="P33" i="23" s="1"/>
  <c r="P3" i="24" s="1"/>
  <c r="S17" i="23"/>
  <c r="S33" i="23" s="1"/>
  <c r="S3" i="24" s="1"/>
  <c r="F17" i="23"/>
  <c r="F33" i="23" s="1"/>
  <c r="F3" i="24" s="1"/>
  <c r="M17" i="23"/>
  <c r="M33" i="23" s="1"/>
  <c r="M3" i="24" s="1"/>
  <c r="X17" i="23"/>
  <c r="X33" i="23" s="1"/>
  <c r="X3" i="24" s="1"/>
  <c r="R17" i="23"/>
  <c r="R33" i="23" s="1"/>
  <c r="R3" i="24" s="1"/>
  <c r="T17" i="23"/>
  <c r="T33" i="23" s="1"/>
  <c r="T3" i="24" s="1"/>
  <c r="E17" i="23"/>
  <c r="E33" i="23" s="1"/>
  <c r="E3" i="24" s="1"/>
  <c r="N17" i="23"/>
  <c r="N33" i="23" s="1"/>
  <c r="N3" i="24" s="1"/>
  <c r="U17" i="23"/>
  <c r="U33" i="23" s="1"/>
  <c r="U3" i="24" s="1"/>
  <c r="C17" i="23"/>
  <c r="D17" i="23"/>
  <c r="D33" i="23" s="1"/>
  <c r="D3" i="24" s="1"/>
  <c r="W17" i="23"/>
  <c r="W33" i="23" s="1"/>
  <c r="W3" i="24" s="1"/>
  <c r="I17" i="23"/>
  <c r="I33" i="23" s="1"/>
  <c r="I3" i="24" s="1"/>
  <c r="K5" i="22"/>
  <c r="S5" i="22"/>
  <c r="N5" i="22"/>
  <c r="O5" i="22"/>
  <c r="H5" i="22"/>
  <c r="I5" i="22"/>
  <c r="J5" i="22"/>
  <c r="D5" i="22"/>
  <c r="L5" i="22"/>
  <c r="T5" i="22"/>
  <c r="V5" i="22"/>
  <c r="P5" i="22"/>
  <c r="C5" i="22"/>
  <c r="R5" i="22"/>
  <c r="E5" i="22"/>
  <c r="M5" i="22"/>
  <c r="U5" i="22"/>
  <c r="F5" i="22"/>
  <c r="G5" i="22"/>
  <c r="W5" i="22"/>
  <c r="X5" i="22"/>
  <c r="Q5" i="22"/>
  <c r="H39" i="2"/>
  <c r="H44" i="17"/>
  <c r="C49" i="17" s="1"/>
  <c r="H38" i="2"/>
  <c r="C43" i="2" s="1"/>
  <c r="H44" i="16"/>
  <c r="C49" i="16" s="1"/>
  <c r="H43" i="16"/>
  <c r="C48" i="16" s="1"/>
  <c r="H22" i="32"/>
  <c r="K43" i="25"/>
  <c r="Q43" i="29"/>
  <c r="P85" i="29"/>
  <c r="P96" i="29" s="1"/>
  <c r="Y24" i="29"/>
  <c r="Y40" i="29" s="1"/>
  <c r="X40" i="29"/>
  <c r="N67" i="29"/>
  <c r="N70" i="29" s="1"/>
  <c r="N58" i="29"/>
  <c r="N61" i="29" s="1"/>
  <c r="O53" i="29"/>
  <c r="F55" i="29"/>
  <c r="F32" i="29"/>
  <c r="F75" i="29" s="1"/>
  <c r="F28" i="29"/>
  <c r="D93" i="29"/>
  <c r="D92" i="29"/>
  <c r="U4" i="29"/>
  <c r="T64" i="29"/>
  <c r="H25" i="29"/>
  <c r="G27" i="29"/>
  <c r="G30" i="29"/>
  <c r="E33" i="29"/>
  <c r="E45" i="29"/>
  <c r="E56" i="29"/>
  <c r="E81" i="29"/>
  <c r="E80" i="29"/>
  <c r="K8" i="25"/>
  <c r="K21" i="25"/>
  <c r="L4" i="25"/>
  <c r="K31" i="25"/>
  <c r="I39" i="25"/>
  <c r="H33" i="25"/>
  <c r="K34" i="25"/>
  <c r="L40" i="25"/>
  <c r="K19" i="25"/>
  <c r="C5" i="18"/>
  <c r="C48" i="17"/>
  <c r="C44" i="2"/>
  <c r="N11" i="27" l="1"/>
  <c r="N24" i="27" s="1"/>
  <c r="J11" i="27"/>
  <c r="J24" i="27" s="1"/>
  <c r="E11" i="27"/>
  <c r="E24" i="27" s="1"/>
  <c r="H11" i="27"/>
  <c r="H24" i="27" s="1"/>
  <c r="I11" i="27"/>
  <c r="I24" i="27" s="1"/>
  <c r="G11" i="27"/>
  <c r="G24" i="27" s="1"/>
  <c r="L11" i="27"/>
  <c r="L24" i="27" s="1"/>
  <c r="O11" i="27"/>
  <c r="O24" i="27" s="1"/>
  <c r="P11" i="27"/>
  <c r="P24" i="27" s="1"/>
  <c r="K11" i="27"/>
  <c r="K24" i="27" s="1"/>
  <c r="T11" i="27"/>
  <c r="T24" i="27" s="1"/>
  <c r="R11" i="27"/>
  <c r="R24" i="27" s="1"/>
  <c r="W11" i="27"/>
  <c r="W24" i="27" s="1"/>
  <c r="X11" i="27"/>
  <c r="X24" i="27" s="1"/>
  <c r="D11" i="27"/>
  <c r="D24" i="27" s="1"/>
  <c r="M11" i="27"/>
  <c r="M24" i="27" s="1"/>
  <c r="V11" i="27"/>
  <c r="V24" i="27" s="1"/>
  <c r="I27" i="24"/>
  <c r="I10" i="24"/>
  <c r="F11" i="27"/>
  <c r="F24" i="27" s="1"/>
  <c r="U11" i="27"/>
  <c r="U24" i="27" s="1"/>
  <c r="S11" i="27"/>
  <c r="S24" i="27" s="1"/>
  <c r="Q11" i="27"/>
  <c r="Q24" i="27" s="1"/>
  <c r="C3" i="24"/>
  <c r="C18" i="23"/>
  <c r="N22" i="25"/>
  <c r="E11" i="25"/>
  <c r="E22" i="25"/>
  <c r="E24" i="25" s="1"/>
  <c r="F22" i="25"/>
  <c r="F24" i="25" s="1"/>
  <c r="F11" i="25"/>
  <c r="K22" i="25"/>
  <c r="R22" i="25"/>
  <c r="S22" i="25"/>
  <c r="J22" i="25"/>
  <c r="J24" i="25" s="1"/>
  <c r="Y22" i="25"/>
  <c r="C6" i="22"/>
  <c r="C17" i="27" s="1"/>
  <c r="D11" i="25"/>
  <c r="D22" i="25"/>
  <c r="D24" i="25" s="1"/>
  <c r="I22" i="25"/>
  <c r="I24" i="25" s="1"/>
  <c r="I11" i="25"/>
  <c r="X22" i="25"/>
  <c r="Q22" i="25"/>
  <c r="P22" i="25"/>
  <c r="H22" i="25"/>
  <c r="H24" i="25" s="1"/>
  <c r="W22" i="25"/>
  <c r="O22" i="25"/>
  <c r="G22" i="25"/>
  <c r="G24" i="25" s="1"/>
  <c r="G11" i="25"/>
  <c r="U22" i="25"/>
  <c r="T22" i="25"/>
  <c r="V22" i="25"/>
  <c r="M22" i="25"/>
  <c r="L22" i="25"/>
  <c r="I22" i="32"/>
  <c r="L43" i="25"/>
  <c r="O58" i="29"/>
  <c r="O67" i="29"/>
  <c r="V4" i="29"/>
  <c r="U64" i="29"/>
  <c r="E88" i="29"/>
  <c r="E49" i="29"/>
  <c r="F33" i="29"/>
  <c r="F45" i="29"/>
  <c r="F56" i="29"/>
  <c r="H27" i="29"/>
  <c r="I25" i="29"/>
  <c r="H30" i="29"/>
  <c r="F80" i="29"/>
  <c r="F81" i="29"/>
  <c r="G32" i="29"/>
  <c r="G75" i="29" s="1"/>
  <c r="G55" i="29"/>
  <c r="G28" i="29"/>
  <c r="R43" i="29"/>
  <c r="Q85" i="29"/>
  <c r="Q96" i="29" s="1"/>
  <c r="I33" i="25"/>
  <c r="J39" i="25"/>
  <c r="M4" i="25"/>
  <c r="L8" i="25"/>
  <c r="L21" i="25"/>
  <c r="L31" i="25"/>
  <c r="L34" i="25"/>
  <c r="M40" i="25"/>
  <c r="K24" i="25"/>
  <c r="H11" i="25"/>
  <c r="C4" i="18"/>
  <c r="C2" i="18" s="1"/>
  <c r="J27" i="24" l="1"/>
  <c r="J10" i="24"/>
  <c r="C11" i="27"/>
  <c r="C5" i="24"/>
  <c r="C9" i="28"/>
  <c r="C23" i="28" s="1"/>
  <c r="C30" i="27"/>
  <c r="J22" i="32"/>
  <c r="M43" i="25"/>
  <c r="F88" i="29"/>
  <c r="F49" i="29"/>
  <c r="E93" i="29"/>
  <c r="E92" i="29"/>
  <c r="H55" i="29"/>
  <c r="H32" i="29"/>
  <c r="H75" i="29" s="1"/>
  <c r="H28" i="29"/>
  <c r="G80" i="29"/>
  <c r="G81" i="29"/>
  <c r="S43" i="29"/>
  <c r="R85" i="29"/>
  <c r="R96" i="29" s="1"/>
  <c r="I27" i="29"/>
  <c r="J25" i="29"/>
  <c r="I30" i="29"/>
  <c r="W4" i="29"/>
  <c r="V64" i="29"/>
  <c r="G45" i="29"/>
  <c r="G56" i="29"/>
  <c r="G33" i="29"/>
  <c r="O70" i="29"/>
  <c r="P67" i="29"/>
  <c r="P58" i="29"/>
  <c r="O61" i="29"/>
  <c r="N4" i="25"/>
  <c r="M21" i="25"/>
  <c r="M31" i="25"/>
  <c r="M8" i="25"/>
  <c r="J11" i="25"/>
  <c r="M19" i="25"/>
  <c r="L19" i="25"/>
  <c r="J33" i="25"/>
  <c r="K39" i="25"/>
  <c r="M34" i="25"/>
  <c r="N40" i="25"/>
  <c r="K27" i="24" l="1"/>
  <c r="K10" i="24"/>
  <c r="C7" i="24"/>
  <c r="D5" i="24"/>
  <c r="C24" i="27"/>
  <c r="K22" i="32"/>
  <c r="N43" i="25"/>
  <c r="X4" i="29"/>
  <c r="W64" i="29"/>
  <c r="Q58" i="29"/>
  <c r="P61" i="29"/>
  <c r="P70" i="29"/>
  <c r="Q67" i="29"/>
  <c r="T43" i="29"/>
  <c r="S85" i="29"/>
  <c r="S96" i="29" s="1"/>
  <c r="H56" i="29"/>
  <c r="H33" i="29"/>
  <c r="H45" i="29"/>
  <c r="H81" i="29"/>
  <c r="H80" i="29"/>
  <c r="J27" i="29"/>
  <c r="J30" i="29"/>
  <c r="K25" i="29"/>
  <c r="I32" i="29"/>
  <c r="I75" i="29" s="1"/>
  <c r="I55" i="29"/>
  <c r="I28" i="29"/>
  <c r="G88" i="29"/>
  <c r="G49" i="29"/>
  <c r="F93" i="29"/>
  <c r="F92" i="29"/>
  <c r="N34" i="25"/>
  <c r="O40" i="25"/>
  <c r="N19" i="25"/>
  <c r="M24" i="25"/>
  <c r="K33" i="25"/>
  <c r="L39" i="25"/>
  <c r="L24" i="25"/>
  <c r="O4" i="25"/>
  <c r="N8" i="25"/>
  <c r="N31" i="25"/>
  <c r="N21" i="25"/>
  <c r="C28" i="24" l="1"/>
  <c r="C5" i="33"/>
  <c r="C19" i="33" s="1"/>
  <c r="L27" i="24"/>
  <c r="L10" i="24"/>
  <c r="E5" i="24"/>
  <c r="D7" i="24"/>
  <c r="D6" i="32"/>
  <c r="D20" i="32" s="1"/>
  <c r="C12" i="24"/>
  <c r="L22" i="32"/>
  <c r="O43" i="25"/>
  <c r="I56" i="29"/>
  <c r="I33" i="29"/>
  <c r="I45" i="29"/>
  <c r="I81" i="29"/>
  <c r="I80" i="29"/>
  <c r="U43" i="29"/>
  <c r="T85" i="29"/>
  <c r="T96" i="29" s="1"/>
  <c r="J55" i="29"/>
  <c r="J32" i="29"/>
  <c r="J75" i="29" s="1"/>
  <c r="J28" i="29"/>
  <c r="R67" i="29"/>
  <c r="Q70" i="29"/>
  <c r="G93" i="29"/>
  <c r="G92" i="29"/>
  <c r="H88" i="29"/>
  <c r="H49" i="29"/>
  <c r="Q61" i="29"/>
  <c r="R58" i="29"/>
  <c r="K30" i="29"/>
  <c r="K27" i="29"/>
  <c r="L25" i="29"/>
  <c r="X64" i="29"/>
  <c r="Y4" i="29"/>
  <c r="Y64" i="29" s="1"/>
  <c r="N24" i="25"/>
  <c r="M39" i="25"/>
  <c r="L33" i="25"/>
  <c r="L11" i="25"/>
  <c r="O31" i="25"/>
  <c r="P4" i="25"/>
  <c r="O21" i="25"/>
  <c r="O8" i="25"/>
  <c r="P40" i="25"/>
  <c r="O34" i="25"/>
  <c r="O19" i="25" s="1"/>
  <c r="K11" i="25"/>
  <c r="D28" i="24" l="1"/>
  <c r="D5" i="33"/>
  <c r="D19" i="33" s="1"/>
  <c r="M27" i="24"/>
  <c r="M10" i="24"/>
  <c r="C14" i="24"/>
  <c r="C31" i="24" s="1"/>
  <c r="C29" i="24"/>
  <c r="N33" i="24"/>
  <c r="C39" i="24" s="1"/>
  <c r="C4" i="22"/>
  <c r="C15" i="27"/>
  <c r="C28" i="27" s="1"/>
  <c r="C10" i="28"/>
  <c r="C24" i="28" s="1"/>
  <c r="E6" i="32"/>
  <c r="E20" i="32" s="1"/>
  <c r="D12" i="24"/>
  <c r="D14" i="24"/>
  <c r="D31" i="24" s="1"/>
  <c r="F5" i="24"/>
  <c r="E7" i="24"/>
  <c r="M22" i="32"/>
  <c r="P43" i="25"/>
  <c r="S67" i="29"/>
  <c r="R70" i="29"/>
  <c r="I88" i="29"/>
  <c r="I49" i="29"/>
  <c r="R61" i="29"/>
  <c r="S58" i="29"/>
  <c r="J81" i="29"/>
  <c r="J80" i="29"/>
  <c r="L30" i="29"/>
  <c r="L27" i="29"/>
  <c r="M25" i="29"/>
  <c r="K32" i="29"/>
  <c r="K75" i="29" s="1"/>
  <c r="K55" i="29"/>
  <c r="K28" i="29"/>
  <c r="J56" i="29"/>
  <c r="J45" i="29"/>
  <c r="J33" i="29"/>
  <c r="V43" i="29"/>
  <c r="U85" i="29"/>
  <c r="U96" i="29" s="1"/>
  <c r="H93" i="29"/>
  <c r="H92" i="29"/>
  <c r="Q40" i="25"/>
  <c r="P34" i="25"/>
  <c r="N39" i="25"/>
  <c r="M33" i="25"/>
  <c r="O24" i="25"/>
  <c r="P31" i="25"/>
  <c r="Q4" i="25"/>
  <c r="P21" i="25"/>
  <c r="P8" i="25"/>
  <c r="E28" i="24" l="1"/>
  <c r="E5" i="33"/>
  <c r="E19" i="33" s="1"/>
  <c r="O33" i="24"/>
  <c r="D39" i="24" s="1"/>
  <c r="D10" i="28"/>
  <c r="D24" i="28" s="1"/>
  <c r="D29" i="24"/>
  <c r="N27" i="24"/>
  <c r="N10" i="24"/>
  <c r="F6" i="32"/>
  <c r="F20" i="32" s="1"/>
  <c r="E12" i="24"/>
  <c r="E29" i="24" s="1"/>
  <c r="E14" i="24"/>
  <c r="E31" i="24" s="1"/>
  <c r="D4" i="22"/>
  <c r="D7" i="22" s="1"/>
  <c r="D11" i="28" s="1"/>
  <c r="D25" i="28" s="1"/>
  <c r="D15" i="27"/>
  <c r="D28" i="27" s="1"/>
  <c r="E10" i="28"/>
  <c r="E24" i="28" s="1"/>
  <c r="G5" i="24"/>
  <c r="F7" i="24"/>
  <c r="C7" i="22"/>
  <c r="C18" i="24"/>
  <c r="C33" i="24" s="1"/>
  <c r="D6" i="22"/>
  <c r="D17" i="27" s="1"/>
  <c r="N22" i="32"/>
  <c r="Q43" i="25"/>
  <c r="R9" i="27"/>
  <c r="S61" i="29"/>
  <c r="T58" i="29"/>
  <c r="M30" i="29"/>
  <c r="M27" i="29"/>
  <c r="N25" i="29"/>
  <c r="K56" i="29"/>
  <c r="K33" i="29"/>
  <c r="K45" i="29"/>
  <c r="K80" i="29"/>
  <c r="K81" i="29"/>
  <c r="V85" i="29"/>
  <c r="V96" i="29" s="1"/>
  <c r="W43" i="29"/>
  <c r="L32" i="29"/>
  <c r="L75" i="29" s="1"/>
  <c r="L55" i="29"/>
  <c r="L28" i="29"/>
  <c r="I93" i="29"/>
  <c r="I92" i="29"/>
  <c r="J88" i="29"/>
  <c r="J49" i="29"/>
  <c r="S70" i="29"/>
  <c r="T67" i="29"/>
  <c r="R40" i="25"/>
  <c r="Q34" i="25"/>
  <c r="M11" i="25"/>
  <c r="N33" i="25"/>
  <c r="O39" i="25"/>
  <c r="R4" i="25"/>
  <c r="Q8" i="25"/>
  <c r="Q31" i="25"/>
  <c r="Q21" i="25"/>
  <c r="Q19" i="25"/>
  <c r="P19" i="25"/>
  <c r="P24" i="25" s="1"/>
  <c r="F28" i="24" l="1"/>
  <c r="F5" i="33"/>
  <c r="F19" i="33" s="1"/>
  <c r="O27" i="24"/>
  <c r="O10" i="24"/>
  <c r="P33" i="24"/>
  <c r="E39" i="24" s="1"/>
  <c r="D30" i="27"/>
  <c r="D9" i="28"/>
  <c r="D23" i="28" s="1"/>
  <c r="C11" i="28"/>
  <c r="C25" i="28" s="1"/>
  <c r="C19" i="24"/>
  <c r="E4" i="22"/>
  <c r="E7" i="22" s="1"/>
  <c r="E11" i="28" s="1"/>
  <c r="E25" i="28" s="1"/>
  <c r="E15" i="27"/>
  <c r="E28" i="27" s="1"/>
  <c r="F10" i="28"/>
  <c r="F24" i="28" s="1"/>
  <c r="H5" i="24"/>
  <c r="G7" i="24"/>
  <c r="D18" i="24"/>
  <c r="E6" i="22"/>
  <c r="E17" i="27" s="1"/>
  <c r="F12" i="24"/>
  <c r="F29" i="24" s="1"/>
  <c r="G6" i="32"/>
  <c r="G20" i="32" s="1"/>
  <c r="F14" i="24"/>
  <c r="F31" i="24" s="1"/>
  <c r="O22" i="32"/>
  <c r="R13" i="27"/>
  <c r="R6" i="28"/>
  <c r="R22" i="27"/>
  <c r="F9" i="27"/>
  <c r="C9" i="27"/>
  <c r="C13" i="27" s="1"/>
  <c r="E9" i="27"/>
  <c r="H9" i="27"/>
  <c r="G9" i="27"/>
  <c r="D9" i="27"/>
  <c r="I9" i="27"/>
  <c r="J9" i="27"/>
  <c r="K9" i="27"/>
  <c r="L9" i="27"/>
  <c r="M9" i="27"/>
  <c r="N9" i="27"/>
  <c r="O9" i="27"/>
  <c r="P9" i="27"/>
  <c r="Q9" i="27"/>
  <c r="R43" i="25"/>
  <c r="S9" i="27"/>
  <c r="L45" i="29"/>
  <c r="L56" i="29"/>
  <c r="L33" i="29"/>
  <c r="T70" i="29"/>
  <c r="U67" i="29"/>
  <c r="L81" i="29"/>
  <c r="L80" i="29"/>
  <c r="X43" i="29"/>
  <c r="W85" i="29"/>
  <c r="W96" i="29" s="1"/>
  <c r="T61" i="29"/>
  <c r="U58" i="29"/>
  <c r="K88" i="29"/>
  <c r="K49" i="29"/>
  <c r="O25" i="29"/>
  <c r="N27" i="29"/>
  <c r="J93" i="29"/>
  <c r="J92" i="29"/>
  <c r="M55" i="29"/>
  <c r="M32" i="29"/>
  <c r="M75" i="29" s="1"/>
  <c r="M28" i="29"/>
  <c r="O33" i="25"/>
  <c r="P39" i="25"/>
  <c r="N11" i="25"/>
  <c r="S40" i="25"/>
  <c r="R34" i="25"/>
  <c r="O11" i="25"/>
  <c r="Q24" i="25"/>
  <c r="R21" i="25"/>
  <c r="S4" i="25"/>
  <c r="R31" i="25"/>
  <c r="R8" i="25"/>
  <c r="G28" i="24" l="1"/>
  <c r="G5" i="33"/>
  <c r="G19" i="33" s="1"/>
  <c r="D19" i="24"/>
  <c r="D33" i="24"/>
  <c r="Q33" i="24"/>
  <c r="F39" i="24" s="1"/>
  <c r="C21" i="24"/>
  <c r="C36" i="24" s="1"/>
  <c r="C34" i="24"/>
  <c r="P27" i="24"/>
  <c r="P10" i="24"/>
  <c r="C14" i="27"/>
  <c r="AB5" i="32"/>
  <c r="AB3" i="32"/>
  <c r="AB6" i="32"/>
  <c r="AB8" i="32"/>
  <c r="AB9" i="32"/>
  <c r="AB7" i="32"/>
  <c r="AB4" i="32"/>
  <c r="F4" i="22"/>
  <c r="F7" i="22" s="1"/>
  <c r="F11" i="28" s="1"/>
  <c r="F25" i="28" s="1"/>
  <c r="F15" i="27"/>
  <c r="F28" i="27" s="1"/>
  <c r="E30" i="27"/>
  <c r="E9" i="28"/>
  <c r="E23" i="28" s="1"/>
  <c r="G12" i="24"/>
  <c r="G29" i="24" s="1"/>
  <c r="H6" i="32"/>
  <c r="H20" i="32" s="1"/>
  <c r="E18" i="24"/>
  <c r="F6" i="22"/>
  <c r="F17" i="27" s="1"/>
  <c r="I5" i="24"/>
  <c r="H7" i="24"/>
  <c r="P22" i="32"/>
  <c r="G13" i="27"/>
  <c r="G22" i="27"/>
  <c r="G6" i="28"/>
  <c r="N22" i="27"/>
  <c r="N13" i="27"/>
  <c r="N6" i="28"/>
  <c r="M22" i="27"/>
  <c r="M13" i="27"/>
  <c r="M6" i="28"/>
  <c r="L6" i="28"/>
  <c r="L22" i="27"/>
  <c r="L13" i="27"/>
  <c r="F22" i="27"/>
  <c r="F13" i="27"/>
  <c r="F6" i="28"/>
  <c r="J13" i="27"/>
  <c r="J6" i="28"/>
  <c r="J22" i="27"/>
  <c r="Q6" i="28"/>
  <c r="Q13" i="27"/>
  <c r="Q22" i="27"/>
  <c r="I6" i="28"/>
  <c r="I22" i="27"/>
  <c r="I13" i="27"/>
  <c r="R20" i="28"/>
  <c r="R22" i="28" s="1"/>
  <c r="R8" i="28"/>
  <c r="O13" i="27"/>
  <c r="O6" i="28"/>
  <c r="O22" i="27"/>
  <c r="S22" i="27"/>
  <c r="S13" i="27"/>
  <c r="S6" i="28"/>
  <c r="H22" i="27"/>
  <c r="H13" i="27"/>
  <c r="H6" i="28"/>
  <c r="E22" i="27"/>
  <c r="E13" i="27"/>
  <c r="E6" i="28"/>
  <c r="C6" i="28"/>
  <c r="C22" i="27"/>
  <c r="K6" i="28"/>
  <c r="K22" i="27"/>
  <c r="K13" i="27"/>
  <c r="P22" i="27"/>
  <c r="P13" i="27"/>
  <c r="P6" i="28"/>
  <c r="D6" i="28"/>
  <c r="D22" i="27"/>
  <c r="D13" i="27"/>
  <c r="R26" i="27"/>
  <c r="R27" i="27" s="1"/>
  <c r="R18" i="33" s="1"/>
  <c r="R14" i="27"/>
  <c r="R4" i="33" s="1"/>
  <c r="S43" i="25"/>
  <c r="T9" i="27"/>
  <c r="Y43" i="29"/>
  <c r="Y85" i="29" s="1"/>
  <c r="Y96" i="29" s="1"/>
  <c r="X85" i="29"/>
  <c r="X96" i="29" s="1"/>
  <c r="N55" i="29"/>
  <c r="N28" i="29"/>
  <c r="M81" i="29"/>
  <c r="M80" i="29"/>
  <c r="U61" i="29"/>
  <c r="V58" i="29"/>
  <c r="M33" i="29"/>
  <c r="M45" i="29"/>
  <c r="M56" i="29"/>
  <c r="P25" i="29"/>
  <c r="O27" i="29"/>
  <c r="U70" i="29"/>
  <c r="V67" i="29"/>
  <c r="K92" i="29"/>
  <c r="K93" i="29"/>
  <c r="L88" i="29"/>
  <c r="L49" i="29"/>
  <c r="S34" i="25"/>
  <c r="T40" i="25"/>
  <c r="Q39" i="25"/>
  <c r="P33" i="25"/>
  <c r="S8" i="25"/>
  <c r="S21" i="25"/>
  <c r="T4" i="25"/>
  <c r="S31" i="25"/>
  <c r="R19" i="25"/>
  <c r="R24" i="25" s="1"/>
  <c r="H28" i="24" l="1"/>
  <c r="H5" i="33"/>
  <c r="H19" i="33" s="1"/>
  <c r="C4" i="32"/>
  <c r="C7" i="32" s="1"/>
  <c r="C4" i="33"/>
  <c r="C6" i="33" s="1"/>
  <c r="C8" i="33" s="1"/>
  <c r="Q27" i="24"/>
  <c r="Q10" i="24"/>
  <c r="E19" i="24"/>
  <c r="E33" i="24"/>
  <c r="R33" i="24"/>
  <c r="G39" i="24" s="1"/>
  <c r="D21" i="24"/>
  <c r="D36" i="24" s="1"/>
  <c r="D34" i="24"/>
  <c r="AF4" i="32"/>
  <c r="AF6" i="32"/>
  <c r="AF7" i="32"/>
  <c r="AF3" i="32"/>
  <c r="AF5" i="32"/>
  <c r="AF9" i="32"/>
  <c r="AF8" i="32"/>
  <c r="AC7" i="32"/>
  <c r="AC4" i="32"/>
  <c r="AC3" i="32"/>
  <c r="AC9" i="32"/>
  <c r="AC8" i="32"/>
  <c r="AC5" i="32"/>
  <c r="AC6" i="32"/>
  <c r="G15" i="27"/>
  <c r="G28" i="27" s="1"/>
  <c r="H12" i="24"/>
  <c r="I6" i="32"/>
  <c r="I20" i="32" s="1"/>
  <c r="J5" i="24"/>
  <c r="I7" i="24"/>
  <c r="AE9" i="32"/>
  <c r="AE3" i="32"/>
  <c r="AE5" i="32"/>
  <c r="AE8" i="32"/>
  <c r="AE4" i="32"/>
  <c r="AE7" i="32"/>
  <c r="AE6" i="32"/>
  <c r="F30" i="27"/>
  <c r="F9" i="28"/>
  <c r="F23" i="28" s="1"/>
  <c r="G10" i="28"/>
  <c r="G24" i="28" s="1"/>
  <c r="AG4" i="32"/>
  <c r="AG5" i="32"/>
  <c r="AG6" i="32"/>
  <c r="AG7" i="32"/>
  <c r="AG9" i="32"/>
  <c r="AG3" i="32"/>
  <c r="AG8" i="32"/>
  <c r="AD5" i="32"/>
  <c r="AD9" i="32"/>
  <c r="AD8" i="32"/>
  <c r="AD4" i="32"/>
  <c r="AD6" i="32"/>
  <c r="AD3" i="32"/>
  <c r="AD7" i="32"/>
  <c r="G14" i="24"/>
  <c r="G31" i="24" s="1"/>
  <c r="F18" i="24"/>
  <c r="G6" i="22"/>
  <c r="G17" i="27" s="1"/>
  <c r="Q22" i="32"/>
  <c r="H20" i="28"/>
  <c r="H22" i="28" s="1"/>
  <c r="H8" i="28"/>
  <c r="Q20" i="28"/>
  <c r="Q22" i="28" s="1"/>
  <c r="Q8" i="28"/>
  <c r="I26" i="27"/>
  <c r="I14" i="27"/>
  <c r="I4" i="33" s="1"/>
  <c r="P20" i="28"/>
  <c r="P22" i="28" s="1"/>
  <c r="P8" i="28"/>
  <c r="C8" i="28"/>
  <c r="C14" i="28" s="1"/>
  <c r="C31" i="28" s="1"/>
  <c r="C20" i="28"/>
  <c r="C22" i="28" s="1"/>
  <c r="C28" i="28" s="1"/>
  <c r="C32" i="28" s="1"/>
  <c r="S26" i="27"/>
  <c r="S27" i="27" s="1"/>
  <c r="S18" i="33" s="1"/>
  <c r="S14" i="27"/>
  <c r="S4" i="33" s="1"/>
  <c r="F20" i="28"/>
  <c r="F22" i="28" s="1"/>
  <c r="F8" i="28"/>
  <c r="D20" i="28"/>
  <c r="D22" i="28" s="1"/>
  <c r="D28" i="28" s="1"/>
  <c r="D32" i="28" s="1"/>
  <c r="D8" i="28"/>
  <c r="D14" i="28" s="1"/>
  <c r="D31" i="28" s="1"/>
  <c r="S20" i="28"/>
  <c r="S22" i="28" s="1"/>
  <c r="S8" i="28"/>
  <c r="J26" i="27"/>
  <c r="J14" i="27"/>
  <c r="J4" i="33" s="1"/>
  <c r="E26" i="27"/>
  <c r="E14" i="27"/>
  <c r="E4" i="33" s="1"/>
  <c r="E6" i="33" s="1"/>
  <c r="E8" i="33" s="1"/>
  <c r="N14" i="27"/>
  <c r="N4" i="33" s="1"/>
  <c r="N26" i="27"/>
  <c r="R18" i="32"/>
  <c r="O14" i="27"/>
  <c r="O4" i="33" s="1"/>
  <c r="O26" i="27"/>
  <c r="G20" i="28"/>
  <c r="G22" i="28" s="1"/>
  <c r="G8" i="28"/>
  <c r="C26" i="27"/>
  <c r="M26" i="27"/>
  <c r="M14" i="27"/>
  <c r="M4" i="33" s="1"/>
  <c r="P14" i="27"/>
  <c r="P4" i="33" s="1"/>
  <c r="P26" i="27"/>
  <c r="P27" i="27" s="1"/>
  <c r="P18" i="33" s="1"/>
  <c r="E20" i="28"/>
  <c r="E22" i="28" s="1"/>
  <c r="E28" i="28" s="1"/>
  <c r="E32" i="28" s="1"/>
  <c r="E8" i="28"/>
  <c r="E14" i="28" s="1"/>
  <c r="E31" i="28" s="1"/>
  <c r="I20" i="28"/>
  <c r="I22" i="28" s="1"/>
  <c r="I8" i="28"/>
  <c r="F14" i="27"/>
  <c r="F4" i="33" s="1"/>
  <c r="F6" i="33" s="1"/>
  <c r="F8" i="33" s="1"/>
  <c r="F26" i="27"/>
  <c r="N20" i="28"/>
  <c r="N22" i="28" s="1"/>
  <c r="N8" i="28"/>
  <c r="R4" i="32"/>
  <c r="K26" i="27"/>
  <c r="K14" i="27"/>
  <c r="K4" i="33" s="1"/>
  <c r="O20" i="28"/>
  <c r="O22" i="28" s="1"/>
  <c r="O8" i="28"/>
  <c r="Q26" i="27"/>
  <c r="Q27" i="27" s="1"/>
  <c r="Q18" i="33" s="1"/>
  <c r="Q14" i="27"/>
  <c r="Q4" i="33" s="1"/>
  <c r="L14" i="27"/>
  <c r="L4" i="33" s="1"/>
  <c r="L26" i="27"/>
  <c r="D14" i="27"/>
  <c r="D4" i="33" s="1"/>
  <c r="D6" i="33" s="1"/>
  <c r="D8" i="33" s="1"/>
  <c r="D26" i="27"/>
  <c r="K20" i="28"/>
  <c r="K22" i="28" s="1"/>
  <c r="K8" i="28"/>
  <c r="H26" i="27"/>
  <c r="H14" i="27"/>
  <c r="H4" i="33" s="1"/>
  <c r="H6" i="33" s="1"/>
  <c r="H8" i="33" s="1"/>
  <c r="L20" i="28"/>
  <c r="L22" i="28" s="1"/>
  <c r="L8" i="28"/>
  <c r="T6" i="28"/>
  <c r="T22" i="27"/>
  <c r="T13" i="27"/>
  <c r="J20" i="28"/>
  <c r="J22" i="28" s="1"/>
  <c r="J8" i="28"/>
  <c r="M20" i="28"/>
  <c r="M22" i="28" s="1"/>
  <c r="M8" i="28"/>
  <c r="G14" i="27"/>
  <c r="G4" i="33" s="1"/>
  <c r="G6" i="33" s="1"/>
  <c r="G8" i="33" s="1"/>
  <c r="G26" i="27"/>
  <c r="T43" i="25"/>
  <c r="U9" i="27"/>
  <c r="W67" i="29"/>
  <c r="V70" i="29"/>
  <c r="O55" i="29"/>
  <c r="O28" i="29"/>
  <c r="Q25" i="29"/>
  <c r="P27" i="29"/>
  <c r="P28" i="29" s="1"/>
  <c r="P45" i="29" s="1"/>
  <c r="L93" i="29"/>
  <c r="L92" i="29"/>
  <c r="N45" i="29"/>
  <c r="N56" i="29"/>
  <c r="V61" i="29"/>
  <c r="W58" i="29"/>
  <c r="M88" i="29"/>
  <c r="M49" i="29"/>
  <c r="T34" i="25"/>
  <c r="U40" i="25"/>
  <c r="R39" i="25"/>
  <c r="Q33" i="25"/>
  <c r="T19" i="25"/>
  <c r="U4" i="25"/>
  <c r="T8" i="25"/>
  <c r="T31" i="25"/>
  <c r="T21" i="25"/>
  <c r="P11" i="25"/>
  <c r="S19" i="25"/>
  <c r="S24" i="25" s="1"/>
  <c r="I28" i="24" l="1"/>
  <c r="I5" i="33"/>
  <c r="I19" i="33" s="1"/>
  <c r="I6" i="33"/>
  <c r="I8" i="33" s="1"/>
  <c r="AH7" i="32"/>
  <c r="E21" i="24"/>
  <c r="E36" i="24" s="1"/>
  <c r="E34" i="24"/>
  <c r="F19" i="24"/>
  <c r="F33" i="24"/>
  <c r="S33" i="24"/>
  <c r="H39" i="24" s="1"/>
  <c r="H14" i="24"/>
  <c r="H31" i="24" s="1"/>
  <c r="H29" i="24"/>
  <c r="R27" i="24"/>
  <c r="R10" i="24"/>
  <c r="AH8" i="32"/>
  <c r="AH4" i="32"/>
  <c r="AH9" i="32"/>
  <c r="AH5" i="32"/>
  <c r="E27" i="27"/>
  <c r="AD19" i="32"/>
  <c r="AD18" i="32"/>
  <c r="AD22" i="32"/>
  <c r="AD23" i="32"/>
  <c r="AD21" i="32"/>
  <c r="AD24" i="32"/>
  <c r="AD20" i="32"/>
  <c r="D27" i="27"/>
  <c r="AC24" i="32"/>
  <c r="AC19" i="32"/>
  <c r="AC22" i="32"/>
  <c r="AC21" i="32"/>
  <c r="AC20" i="32"/>
  <c r="AC23" i="32"/>
  <c r="AC18" i="32"/>
  <c r="L27" i="27"/>
  <c r="O27" i="27"/>
  <c r="O18" i="33" s="1"/>
  <c r="F27" i="27"/>
  <c r="F18" i="32" s="1"/>
  <c r="F21" i="32" s="1"/>
  <c r="F23" i="32" s="1"/>
  <c r="AE21" i="32"/>
  <c r="AE19" i="32"/>
  <c r="AE22" i="32"/>
  <c r="AE18" i="32"/>
  <c r="AE20" i="32"/>
  <c r="AE24" i="32"/>
  <c r="AE23" i="32"/>
  <c r="N27" i="27"/>
  <c r="N18" i="33" s="1"/>
  <c r="M27" i="27"/>
  <c r="M18" i="33" s="1"/>
  <c r="I27" i="27"/>
  <c r="I18" i="33" s="1"/>
  <c r="I20" i="33" s="1"/>
  <c r="I22" i="33" s="1"/>
  <c r="AH23" i="32"/>
  <c r="AH22" i="32"/>
  <c r="AH19" i="32"/>
  <c r="AH18" i="32"/>
  <c r="AH21" i="32"/>
  <c r="AH24" i="32"/>
  <c r="AH20" i="32"/>
  <c r="G27" i="27"/>
  <c r="G18" i="33" s="1"/>
  <c r="G20" i="33" s="1"/>
  <c r="G22" i="33" s="1"/>
  <c r="AF24" i="32"/>
  <c r="AF18" i="32"/>
  <c r="AF20" i="32"/>
  <c r="AF19" i="32"/>
  <c r="AF23" i="32"/>
  <c r="AF22" i="32"/>
  <c r="AF21" i="32"/>
  <c r="K27" i="27"/>
  <c r="J27" i="27"/>
  <c r="H27" i="27"/>
  <c r="AG22" i="32"/>
  <c r="AG21" i="32"/>
  <c r="AG18" i="32"/>
  <c r="AG24" i="32"/>
  <c r="AG20" i="32"/>
  <c r="AG23" i="32"/>
  <c r="AG19" i="32"/>
  <c r="C27" i="27"/>
  <c r="AB21" i="32"/>
  <c r="AB19" i="32"/>
  <c r="AB23" i="32"/>
  <c r="AB18" i="32"/>
  <c r="AB20" i="32"/>
  <c r="AB24" i="32"/>
  <c r="AB22" i="32"/>
  <c r="P88" i="29"/>
  <c r="P49" i="29"/>
  <c r="G9" i="28"/>
  <c r="G23" i="28" s="1"/>
  <c r="G30" i="27"/>
  <c r="F14" i="28"/>
  <c r="F31" i="28" s="1"/>
  <c r="F28" i="28"/>
  <c r="F32" i="28" s="1"/>
  <c r="AH3" i="32"/>
  <c r="H15" i="27"/>
  <c r="H28" i="27" s="1"/>
  <c r="H10" i="28"/>
  <c r="H24" i="28" s="1"/>
  <c r="K5" i="24"/>
  <c r="J7" i="24"/>
  <c r="G4" i="22"/>
  <c r="AH6" i="32"/>
  <c r="I12" i="24"/>
  <c r="J6" i="32"/>
  <c r="I14" i="24"/>
  <c r="I31" i="24" s="1"/>
  <c r="R22" i="32"/>
  <c r="G4" i="32"/>
  <c r="G16" i="27"/>
  <c r="G18" i="27" s="1"/>
  <c r="G33" i="27" s="1"/>
  <c r="H4" i="32"/>
  <c r="J4" i="32"/>
  <c r="P18" i="32"/>
  <c r="I4" i="32"/>
  <c r="Q18" i="32"/>
  <c r="P4" i="32"/>
  <c r="M4" i="32"/>
  <c r="F4" i="32"/>
  <c r="F16" i="27"/>
  <c r="F18" i="27" s="1"/>
  <c r="F33" i="27" s="1"/>
  <c r="M18" i="32"/>
  <c r="S18" i="32"/>
  <c r="K4" i="32"/>
  <c r="C9" i="32"/>
  <c r="C16" i="27"/>
  <c r="C18" i="27" s="1"/>
  <c r="C33" i="27" s="1"/>
  <c r="E4" i="32"/>
  <c r="E16" i="27"/>
  <c r="E18" i="27" s="1"/>
  <c r="E33" i="27" s="1"/>
  <c r="L4" i="32"/>
  <c r="Q4" i="32"/>
  <c r="U22" i="27"/>
  <c r="U6" i="28"/>
  <c r="U13" i="27"/>
  <c r="O4" i="32"/>
  <c r="S4" i="32"/>
  <c r="T14" i="27"/>
  <c r="T4" i="33" s="1"/>
  <c r="T26" i="27"/>
  <c r="T27" i="27" s="1"/>
  <c r="T18" i="33" s="1"/>
  <c r="G18" i="32"/>
  <c r="G21" i="32" s="1"/>
  <c r="G23" i="32" s="1"/>
  <c r="G29" i="27"/>
  <c r="T20" i="28"/>
  <c r="T22" i="28" s="1"/>
  <c r="T8" i="28"/>
  <c r="D4" i="32"/>
  <c r="D7" i="32" s="1"/>
  <c r="D9" i="32" s="1"/>
  <c r="D16" i="27"/>
  <c r="D18" i="27" s="1"/>
  <c r="D33" i="27" s="1"/>
  <c r="N4" i="32"/>
  <c r="U43" i="25"/>
  <c r="V9" i="27"/>
  <c r="P99" i="29"/>
  <c r="P93" i="29"/>
  <c r="P92" i="29"/>
  <c r="P103" i="29" s="1"/>
  <c r="P104" i="29" s="1"/>
  <c r="Q27" i="29"/>
  <c r="Q28" i="29" s="1"/>
  <c r="Q45" i="29" s="1"/>
  <c r="R25" i="29"/>
  <c r="R27" i="29" s="1"/>
  <c r="R28" i="29" s="1"/>
  <c r="R45" i="29" s="1"/>
  <c r="O45" i="29"/>
  <c r="O56" i="29"/>
  <c r="X58" i="29"/>
  <c r="W61" i="29"/>
  <c r="N88" i="29"/>
  <c r="N49" i="29"/>
  <c r="M93" i="29"/>
  <c r="M92" i="29"/>
  <c r="X67" i="29"/>
  <c r="W70" i="29"/>
  <c r="R33" i="25"/>
  <c r="S39" i="25"/>
  <c r="V40" i="25"/>
  <c r="U34" i="25"/>
  <c r="Q11" i="25"/>
  <c r="V4" i="25"/>
  <c r="U31" i="25"/>
  <c r="U8" i="25"/>
  <c r="U21" i="25"/>
  <c r="T24" i="25"/>
  <c r="U19" i="25"/>
  <c r="N18" i="32" l="1"/>
  <c r="I18" i="32"/>
  <c r="I21" i="32" s="1"/>
  <c r="I23" i="32" s="1"/>
  <c r="C29" i="27"/>
  <c r="C31" i="27" s="1"/>
  <c r="C34" i="27" s="1"/>
  <c r="C18" i="33"/>
  <c r="C20" i="33" s="1"/>
  <c r="C22" i="33" s="1"/>
  <c r="L18" i="32"/>
  <c r="L18" i="33"/>
  <c r="D18" i="32"/>
  <c r="D21" i="32" s="1"/>
  <c r="D23" i="32" s="1"/>
  <c r="D18" i="33"/>
  <c r="D20" i="33" s="1"/>
  <c r="D22" i="33" s="1"/>
  <c r="H18" i="32"/>
  <c r="H21" i="32" s="1"/>
  <c r="H23" i="32" s="1"/>
  <c r="H18" i="33"/>
  <c r="H20" i="33" s="1"/>
  <c r="H22" i="33" s="1"/>
  <c r="J18" i="32"/>
  <c r="J18" i="33"/>
  <c r="K18" i="32"/>
  <c r="K18" i="33"/>
  <c r="J28" i="24"/>
  <c r="J5" i="33"/>
  <c r="E29" i="27"/>
  <c r="E31" i="27" s="1"/>
  <c r="E34" i="27" s="1"/>
  <c r="E18" i="33"/>
  <c r="E20" i="33" s="1"/>
  <c r="E22" i="33" s="1"/>
  <c r="O18" i="32"/>
  <c r="F29" i="27"/>
  <c r="F31" i="27" s="1"/>
  <c r="F34" i="27" s="1"/>
  <c r="F18" i="33"/>
  <c r="F20" i="33" s="1"/>
  <c r="F22" i="33" s="1"/>
  <c r="H29" i="27"/>
  <c r="I10" i="28"/>
  <c r="I24" i="28" s="1"/>
  <c r="I29" i="24"/>
  <c r="T33" i="24"/>
  <c r="I39" i="24" s="1"/>
  <c r="E18" i="32"/>
  <c r="E21" i="32" s="1"/>
  <c r="E23" i="32" s="1"/>
  <c r="H4" i="22"/>
  <c r="H7" i="22" s="1"/>
  <c r="H11" i="28" s="1"/>
  <c r="H25" i="28" s="1"/>
  <c r="F21" i="24"/>
  <c r="F36" i="24" s="1"/>
  <c r="F34" i="24"/>
  <c r="D29" i="27"/>
  <c r="D31" i="27" s="1"/>
  <c r="D34" i="27" s="1"/>
  <c r="S27" i="24"/>
  <c r="S10" i="24"/>
  <c r="C18" i="32"/>
  <c r="C21" i="32" s="1"/>
  <c r="C23" i="32" s="1"/>
  <c r="O88" i="29"/>
  <c r="O49" i="29"/>
  <c r="R88" i="29"/>
  <c r="R99" i="29" s="1"/>
  <c r="R49" i="29"/>
  <c r="Q88" i="29"/>
  <c r="Q93" i="29" s="1"/>
  <c r="Q49" i="29"/>
  <c r="C50" i="29"/>
  <c r="C51" i="29" s="1"/>
  <c r="G31" i="27"/>
  <c r="G34" i="27" s="1"/>
  <c r="H16" i="27"/>
  <c r="G18" i="24"/>
  <c r="H6" i="22"/>
  <c r="H17" i="27" s="1"/>
  <c r="G7" i="22"/>
  <c r="G11" i="28" s="1"/>
  <c r="K6" i="32"/>
  <c r="J12" i="24"/>
  <c r="I4" i="22"/>
  <c r="J20" i="32"/>
  <c r="AI3" i="32"/>
  <c r="AI6" i="32"/>
  <c r="AI8" i="32"/>
  <c r="AI9" i="32"/>
  <c r="AI5" i="32"/>
  <c r="AI4" i="32"/>
  <c r="AI7" i="32"/>
  <c r="I15" i="27"/>
  <c r="L5" i="24"/>
  <c r="K7" i="24"/>
  <c r="S22" i="32"/>
  <c r="I7" i="32"/>
  <c r="I9" i="32" s="1"/>
  <c r="J7" i="32"/>
  <c r="J9" i="32" s="1"/>
  <c r="H7" i="32"/>
  <c r="H9" i="32" s="1"/>
  <c r="F7" i="32"/>
  <c r="F9" i="32" s="1"/>
  <c r="E7" i="32"/>
  <c r="E9" i="32" s="1"/>
  <c r="G7" i="32"/>
  <c r="G9" i="32" s="1"/>
  <c r="T18" i="32"/>
  <c r="T4" i="32"/>
  <c r="U8" i="28"/>
  <c r="U20" i="28"/>
  <c r="U22" i="28" s="1"/>
  <c r="V22" i="27"/>
  <c r="V6" i="28"/>
  <c r="V13" i="27"/>
  <c r="U26" i="27"/>
  <c r="U27" i="27" s="1"/>
  <c r="U18" i="33" s="1"/>
  <c r="U14" i="27"/>
  <c r="U4" i="33" s="1"/>
  <c r="V43" i="25"/>
  <c r="X9" i="27"/>
  <c r="W9" i="27"/>
  <c r="O99" i="29"/>
  <c r="O93" i="29"/>
  <c r="O92" i="29"/>
  <c r="O103" i="29" s="1"/>
  <c r="O104" i="29" s="1"/>
  <c r="N93" i="29"/>
  <c r="N92" i="29"/>
  <c r="R93" i="29"/>
  <c r="Q99" i="29"/>
  <c r="Q92" i="29"/>
  <c r="Q103" i="29" s="1"/>
  <c r="Q104" i="29" s="1"/>
  <c r="X70" i="29"/>
  <c r="Y67" i="29"/>
  <c r="Y70" i="29" s="1"/>
  <c r="Y58" i="29"/>
  <c r="Y61" i="29" s="1"/>
  <c r="X61" i="29"/>
  <c r="V34" i="25"/>
  <c r="W40" i="25"/>
  <c r="S33" i="25"/>
  <c r="T39" i="25"/>
  <c r="U24" i="25"/>
  <c r="V19" i="25"/>
  <c r="W4" i="25"/>
  <c r="V21" i="25"/>
  <c r="V31" i="25"/>
  <c r="V8" i="25"/>
  <c r="R11" i="25"/>
  <c r="K28" i="24" l="1"/>
  <c r="K5" i="33"/>
  <c r="H18" i="27"/>
  <c r="H33" i="27" s="1"/>
  <c r="J19" i="33"/>
  <c r="J20" i="33" s="1"/>
  <c r="J22" i="33" s="1"/>
  <c r="J6" i="33"/>
  <c r="J8" i="33" s="1"/>
  <c r="I7" i="22"/>
  <c r="I11" i="28" s="1"/>
  <c r="I25" i="28" s="1"/>
  <c r="H18" i="24"/>
  <c r="H19" i="24" s="1"/>
  <c r="I6" i="22"/>
  <c r="I17" i="27" s="1"/>
  <c r="G19" i="24"/>
  <c r="G33" i="24"/>
  <c r="J14" i="24"/>
  <c r="J31" i="24" s="1"/>
  <c r="J29" i="24"/>
  <c r="T27" i="24"/>
  <c r="T10" i="24"/>
  <c r="U33" i="24"/>
  <c r="J39" i="24" s="1"/>
  <c r="J21" i="32"/>
  <c r="J23" i="32" s="1"/>
  <c r="AI24" i="32"/>
  <c r="AI19" i="32"/>
  <c r="AI23" i="32"/>
  <c r="AI22" i="32"/>
  <c r="AI18" i="32"/>
  <c r="AI21" i="32"/>
  <c r="AI20" i="32"/>
  <c r="R92" i="29"/>
  <c r="R103" i="29" s="1"/>
  <c r="R104" i="29" s="1"/>
  <c r="J10" i="28"/>
  <c r="J24" i="28" s="1"/>
  <c r="L6" i="32"/>
  <c r="K12" i="24"/>
  <c r="K29" i="24" s="1"/>
  <c r="G25" i="28"/>
  <c r="G28" i="28" s="1"/>
  <c r="G32" i="28" s="1"/>
  <c r="G14" i="28"/>
  <c r="G31" i="28" s="1"/>
  <c r="I18" i="24"/>
  <c r="J6" i="22"/>
  <c r="J17" i="27" s="1"/>
  <c r="I28" i="27"/>
  <c r="I29" i="27" s="1"/>
  <c r="I16" i="27"/>
  <c r="K20" i="32"/>
  <c r="AJ7" i="32"/>
  <c r="AJ3" i="32"/>
  <c r="AJ4" i="32"/>
  <c r="AJ9" i="32"/>
  <c r="AJ5" i="32"/>
  <c r="AJ6" i="32"/>
  <c r="AJ8" i="32"/>
  <c r="M5" i="24"/>
  <c r="L7" i="24"/>
  <c r="H9" i="28"/>
  <c r="H30" i="27"/>
  <c r="H31" i="27" s="1"/>
  <c r="H34" i="27" s="1"/>
  <c r="K7" i="32"/>
  <c r="K9" i="32" s="1"/>
  <c r="I30" i="27"/>
  <c r="I9" i="28"/>
  <c r="J15" i="27"/>
  <c r="T22" i="32"/>
  <c r="U18" i="32"/>
  <c r="X22" i="27"/>
  <c r="X6" i="28"/>
  <c r="X13" i="27"/>
  <c r="V8" i="28"/>
  <c r="V20" i="28"/>
  <c r="V22" i="28" s="1"/>
  <c r="U4" i="32"/>
  <c r="W13" i="27"/>
  <c r="W6" i="28"/>
  <c r="W22" i="27"/>
  <c r="V26" i="27"/>
  <c r="V27" i="27" s="1"/>
  <c r="V18" i="33" s="1"/>
  <c r="V14" i="27"/>
  <c r="V4" i="33" s="1"/>
  <c r="W43" i="25"/>
  <c r="U39" i="25"/>
  <c r="T33" i="25"/>
  <c r="W31" i="25"/>
  <c r="X4" i="25"/>
  <c r="W21" i="25"/>
  <c r="W8" i="25"/>
  <c r="W34" i="25"/>
  <c r="X40" i="25"/>
  <c r="S11" i="25"/>
  <c r="T11" i="25"/>
  <c r="V24" i="25"/>
  <c r="H33" i="24" l="1"/>
  <c r="L28" i="24"/>
  <c r="L5" i="33"/>
  <c r="K19" i="33"/>
  <c r="K20" i="33" s="1"/>
  <c r="K22" i="33" s="1"/>
  <c r="K6" i="33"/>
  <c r="K8" i="33" s="1"/>
  <c r="I18" i="27"/>
  <c r="I33" i="27" s="1"/>
  <c r="J4" i="22"/>
  <c r="J7" i="22" s="1"/>
  <c r="J11" i="28" s="1"/>
  <c r="J25" i="28" s="1"/>
  <c r="K14" i="24"/>
  <c r="K31" i="24" s="1"/>
  <c r="U27" i="24"/>
  <c r="U10" i="24"/>
  <c r="I19" i="24"/>
  <c r="I33" i="24"/>
  <c r="V33" i="24"/>
  <c r="K39" i="24" s="1"/>
  <c r="H21" i="24"/>
  <c r="H36" i="24" s="1"/>
  <c r="H34" i="24"/>
  <c r="G21" i="24"/>
  <c r="G36" i="24" s="1"/>
  <c r="G34" i="24"/>
  <c r="K21" i="32"/>
  <c r="K23" i="32" s="1"/>
  <c r="AJ24" i="32"/>
  <c r="AJ22" i="32"/>
  <c r="AJ21" i="32"/>
  <c r="AJ19" i="32"/>
  <c r="AJ20" i="32"/>
  <c r="AJ18" i="32"/>
  <c r="AJ23" i="32"/>
  <c r="Z92" i="29"/>
  <c r="N5" i="24"/>
  <c r="M7" i="24"/>
  <c r="I23" i="28"/>
  <c r="I28" i="28" s="1"/>
  <c r="I32" i="28" s="1"/>
  <c r="I14" i="28"/>
  <c r="I31" i="28" s="1"/>
  <c r="J18" i="24"/>
  <c r="K6" i="22"/>
  <c r="K17" i="27" s="1"/>
  <c r="L20" i="32"/>
  <c r="AK3" i="32"/>
  <c r="AK8" i="32"/>
  <c r="AK9" i="32"/>
  <c r="AK4" i="32"/>
  <c r="AK5" i="32"/>
  <c r="AK7" i="32"/>
  <c r="AK6" i="32"/>
  <c r="L7" i="32"/>
  <c r="L9" i="32" s="1"/>
  <c r="I31" i="27"/>
  <c r="I34" i="27" s="1"/>
  <c r="H23" i="28"/>
  <c r="H28" i="28" s="1"/>
  <c r="H32" i="28" s="1"/>
  <c r="H14" i="28"/>
  <c r="H31" i="28" s="1"/>
  <c r="J9" i="28"/>
  <c r="J30" i="27"/>
  <c r="J28" i="27"/>
  <c r="J29" i="27" s="1"/>
  <c r="J31" i="27" s="1"/>
  <c r="J34" i="27" s="1"/>
  <c r="J16" i="27"/>
  <c r="J18" i="27" s="1"/>
  <c r="J33" i="27" s="1"/>
  <c r="K15" i="27"/>
  <c r="K10" i="28"/>
  <c r="K24" i="28" s="1"/>
  <c r="M6" i="32"/>
  <c r="L12" i="24"/>
  <c r="L14" i="24" s="1"/>
  <c r="L31" i="24" s="1"/>
  <c r="U22" i="32"/>
  <c r="V4" i="32"/>
  <c r="X26" i="27"/>
  <c r="X27" i="27" s="1"/>
  <c r="X18" i="33" s="1"/>
  <c r="X14" i="27"/>
  <c r="X4" i="33" s="1"/>
  <c r="X20" i="28"/>
  <c r="X22" i="28" s="1"/>
  <c r="X8" i="28"/>
  <c r="W20" i="28"/>
  <c r="W22" i="28" s="1"/>
  <c r="W8" i="28"/>
  <c r="W14" i="27"/>
  <c r="W4" i="33" s="1"/>
  <c r="W26" i="27"/>
  <c r="W27" i="27" s="1"/>
  <c r="W18" i="33" s="1"/>
  <c r="V18" i="32"/>
  <c r="X43" i="25"/>
  <c r="Y40" i="25"/>
  <c r="Y34" i="25" s="1"/>
  <c r="X34" i="25"/>
  <c r="X31" i="25"/>
  <c r="Y4" i="25"/>
  <c r="X21" i="25"/>
  <c r="X8" i="25"/>
  <c r="X19" i="25"/>
  <c r="W19" i="25"/>
  <c r="W24" i="25" s="1"/>
  <c r="V39" i="25"/>
  <c r="U33" i="25"/>
  <c r="K4" i="22" l="1"/>
  <c r="K7" i="22" s="1"/>
  <c r="K11" i="28" s="1"/>
  <c r="K25" i="28" s="1"/>
  <c r="M28" i="24"/>
  <c r="M5" i="33"/>
  <c r="L19" i="33"/>
  <c r="L20" i="33" s="1"/>
  <c r="L22" i="33" s="1"/>
  <c r="L6" i="33"/>
  <c r="L8" i="33" s="1"/>
  <c r="X33" i="24"/>
  <c r="M39" i="24" s="1"/>
  <c r="W33" i="24"/>
  <c r="L39" i="24" s="1"/>
  <c r="L10" i="28"/>
  <c r="L24" i="28" s="1"/>
  <c r="L29" i="24"/>
  <c r="I21" i="24"/>
  <c r="I36" i="24" s="1"/>
  <c r="I34" i="24"/>
  <c r="J19" i="24"/>
  <c r="J33" i="24"/>
  <c r="V27" i="24"/>
  <c r="V10" i="24"/>
  <c r="L21" i="32"/>
  <c r="L23" i="32" s="1"/>
  <c r="AK24" i="32"/>
  <c r="AK21" i="32"/>
  <c r="AK18" i="32"/>
  <c r="AK22" i="32"/>
  <c r="AK23" i="32"/>
  <c r="AK20" i="32"/>
  <c r="AK19" i="32"/>
  <c r="J23" i="28"/>
  <c r="J28" i="28" s="1"/>
  <c r="J32" i="28" s="1"/>
  <c r="J14" i="28"/>
  <c r="J31" i="28" s="1"/>
  <c r="K28" i="27"/>
  <c r="K29" i="27" s="1"/>
  <c r="K16" i="27"/>
  <c r="K18" i="27" s="1"/>
  <c r="K33" i="27" s="1"/>
  <c r="L4" i="22"/>
  <c r="N6" i="32"/>
  <c r="M12" i="24"/>
  <c r="M14" i="24"/>
  <c r="M31" i="24" s="1"/>
  <c r="K30" i="27"/>
  <c r="K9" i="28"/>
  <c r="L15" i="27"/>
  <c r="M20" i="32"/>
  <c r="AL6" i="32"/>
  <c r="AL7" i="32"/>
  <c r="AL3" i="32"/>
  <c r="AL9" i="32"/>
  <c r="AL5" i="32"/>
  <c r="AL8" i="32"/>
  <c r="AL4" i="32"/>
  <c r="M7" i="32"/>
  <c r="M9" i="32" s="1"/>
  <c r="L7" i="22"/>
  <c r="L11" i="28" s="1"/>
  <c r="L25" i="28" s="1"/>
  <c r="K18" i="24"/>
  <c r="L6" i="22"/>
  <c r="L17" i="27" s="1"/>
  <c r="O5" i="24"/>
  <c r="N7" i="24"/>
  <c r="V22" i="32"/>
  <c r="X4" i="32"/>
  <c r="X18" i="32"/>
  <c r="W18" i="32"/>
  <c r="W4" i="32"/>
  <c r="Y8" i="25"/>
  <c r="Y21" i="25"/>
  <c r="Y31" i="25"/>
  <c r="V33" i="25"/>
  <c r="W39" i="25"/>
  <c r="X24" i="25"/>
  <c r="Y19" i="25"/>
  <c r="U11" i="25"/>
  <c r="N28" i="24" l="1"/>
  <c r="C40" i="24" s="1"/>
  <c r="N5" i="33"/>
  <c r="M19" i="33"/>
  <c r="M20" i="33" s="1"/>
  <c r="M22" i="33" s="1"/>
  <c r="M6" i="33"/>
  <c r="M8" i="33" s="1"/>
  <c r="J21" i="24"/>
  <c r="J36" i="24" s="1"/>
  <c r="J34" i="24"/>
  <c r="M10" i="28"/>
  <c r="M24" i="28" s="1"/>
  <c r="M29" i="24"/>
  <c r="K19" i="24"/>
  <c r="K33" i="24"/>
  <c r="W27" i="24"/>
  <c r="W10" i="24"/>
  <c r="M21" i="32"/>
  <c r="M23" i="32" s="1"/>
  <c r="AL19" i="32"/>
  <c r="AL23" i="32"/>
  <c r="AL20" i="32"/>
  <c r="AL22" i="32"/>
  <c r="AL18" i="32"/>
  <c r="AL21" i="32"/>
  <c r="AL24" i="32"/>
  <c r="K23" i="28"/>
  <c r="K28" i="28" s="1"/>
  <c r="K32" i="28" s="1"/>
  <c r="K14" i="28"/>
  <c r="K31" i="28" s="1"/>
  <c r="M4" i="22"/>
  <c r="M7" i="22" s="1"/>
  <c r="M11" i="28" s="1"/>
  <c r="M25" i="28" s="1"/>
  <c r="N20" i="32"/>
  <c r="AM5" i="32"/>
  <c r="AM8" i="32"/>
  <c r="AM7" i="32"/>
  <c r="AM3" i="32"/>
  <c r="AM6" i="32"/>
  <c r="AM9" i="32"/>
  <c r="AM4" i="32"/>
  <c r="N7" i="32"/>
  <c r="N9" i="32" s="1"/>
  <c r="L9" i="28"/>
  <c r="L30" i="27"/>
  <c r="K31" i="27"/>
  <c r="K34" i="27" s="1"/>
  <c r="P5" i="24"/>
  <c r="O7" i="24"/>
  <c r="M15" i="27"/>
  <c r="N12" i="24"/>
  <c r="N29" i="24" s="1"/>
  <c r="C41" i="24" s="1"/>
  <c r="O6" i="32"/>
  <c r="L28" i="27"/>
  <c r="L29" i="27" s="1"/>
  <c r="L16" i="27"/>
  <c r="L18" i="27" s="1"/>
  <c r="L33" i="27" s="1"/>
  <c r="L18" i="24"/>
  <c r="M6" i="22"/>
  <c r="M17" i="27" s="1"/>
  <c r="W22" i="32"/>
  <c r="Y24" i="25"/>
  <c r="C26" i="25" s="1"/>
  <c r="V11" i="25"/>
  <c r="X39" i="25"/>
  <c r="W33" i="25"/>
  <c r="N19" i="33" l="1"/>
  <c r="N20" i="33" s="1"/>
  <c r="N22" i="33" s="1"/>
  <c r="N6" i="33"/>
  <c r="N8" i="33" s="1"/>
  <c r="O28" i="24"/>
  <c r="D40" i="24" s="1"/>
  <c r="O5" i="33"/>
  <c r="C43" i="24"/>
  <c r="L19" i="24"/>
  <c r="L33" i="24"/>
  <c r="X27" i="24"/>
  <c r="X10" i="24"/>
  <c r="K21" i="24"/>
  <c r="K36" i="24" s="1"/>
  <c r="K34" i="24"/>
  <c r="N21" i="32"/>
  <c r="N23" i="32" s="1"/>
  <c r="AM24" i="32"/>
  <c r="AM23" i="32"/>
  <c r="AM22" i="32"/>
  <c r="AM18" i="32"/>
  <c r="AM20" i="32"/>
  <c r="AM19" i="32"/>
  <c r="AM21" i="32"/>
  <c r="N15" i="27"/>
  <c r="M9" i="28"/>
  <c r="M30" i="27"/>
  <c r="N10" i="28"/>
  <c r="N24" i="28" s="1"/>
  <c r="L23" i="28"/>
  <c r="L28" i="28" s="1"/>
  <c r="L32" i="28" s="1"/>
  <c r="L14" i="28"/>
  <c r="L31" i="28" s="1"/>
  <c r="M28" i="27"/>
  <c r="M29" i="27" s="1"/>
  <c r="M16" i="27"/>
  <c r="M18" i="27" s="1"/>
  <c r="M33" i="27" s="1"/>
  <c r="M18" i="24"/>
  <c r="N6" i="22"/>
  <c r="N17" i="27" s="1"/>
  <c r="Q5" i="24"/>
  <c r="P7" i="24"/>
  <c r="O12" i="24"/>
  <c r="O29" i="24" s="1"/>
  <c r="D41" i="24" s="1"/>
  <c r="P6" i="32"/>
  <c r="L31" i="27"/>
  <c r="L34" i="27" s="1"/>
  <c r="N14" i="24"/>
  <c r="N31" i="24" s="1"/>
  <c r="O20" i="32"/>
  <c r="AN7" i="32"/>
  <c r="AN4" i="32"/>
  <c r="AN8" i="32"/>
  <c r="AN6" i="32"/>
  <c r="AN9" i="32"/>
  <c r="AN5" i="32"/>
  <c r="AN3" i="32"/>
  <c r="O7" i="32"/>
  <c r="O9" i="32" s="1"/>
  <c r="X22" i="32"/>
  <c r="Y39" i="25"/>
  <c r="Y33" i="25" s="1"/>
  <c r="X33" i="25"/>
  <c r="W11" i="25"/>
  <c r="P28" i="24" l="1"/>
  <c r="E40" i="24" s="1"/>
  <c r="P5" i="33"/>
  <c r="O19" i="33"/>
  <c r="O20" i="33" s="1"/>
  <c r="O22" i="33" s="1"/>
  <c r="O6" i="33"/>
  <c r="O8" i="33" s="1"/>
  <c r="D43" i="24"/>
  <c r="M31" i="27"/>
  <c r="M34" i="27" s="1"/>
  <c r="M19" i="24"/>
  <c r="M33" i="24"/>
  <c r="L21" i="24"/>
  <c r="L36" i="24" s="1"/>
  <c r="L34" i="24"/>
  <c r="O21" i="32"/>
  <c r="O23" i="32" s="1"/>
  <c r="AN23" i="32"/>
  <c r="AN21" i="32"/>
  <c r="AN19" i="32"/>
  <c r="AN18" i="32"/>
  <c r="AN24" i="32"/>
  <c r="AN20" i="32"/>
  <c r="AN22" i="32"/>
  <c r="O15" i="27"/>
  <c r="R5" i="24"/>
  <c r="Q7" i="24"/>
  <c r="M23" i="28"/>
  <c r="M28" i="28" s="1"/>
  <c r="M32" i="28" s="1"/>
  <c r="M14" i="28"/>
  <c r="M31" i="28" s="1"/>
  <c r="N4" i="22"/>
  <c r="O14" i="24"/>
  <c r="O31" i="24" s="1"/>
  <c r="O10" i="28"/>
  <c r="O24" i="28" s="1"/>
  <c r="P12" i="24"/>
  <c r="P29" i="24" s="1"/>
  <c r="E41" i="24" s="1"/>
  <c r="Q6" i="32"/>
  <c r="P14" i="24"/>
  <c r="P31" i="24" s="1"/>
  <c r="N30" i="27"/>
  <c r="N9" i="28"/>
  <c r="P20" i="32"/>
  <c r="AO8" i="32"/>
  <c r="AO9" i="32"/>
  <c r="AO5" i="32"/>
  <c r="AO6" i="32"/>
  <c r="AO4" i="32"/>
  <c r="AO3" i="32"/>
  <c r="AO7" i="32"/>
  <c r="P7" i="32"/>
  <c r="P9" i="32" s="1"/>
  <c r="N28" i="27"/>
  <c r="N29" i="27" s="1"/>
  <c r="N16" i="27"/>
  <c r="N18" i="27" s="1"/>
  <c r="N33" i="27" s="1"/>
  <c r="X11" i="25"/>
  <c r="Q28" i="24" l="1"/>
  <c r="F40" i="24" s="1"/>
  <c r="Q5" i="33"/>
  <c r="P19" i="33"/>
  <c r="P20" i="33" s="1"/>
  <c r="P22" i="33" s="1"/>
  <c r="P6" i="33"/>
  <c r="P8" i="33" s="1"/>
  <c r="E43" i="24"/>
  <c r="M21" i="24"/>
  <c r="M36" i="24" s="1"/>
  <c r="M34" i="24"/>
  <c r="P21" i="32"/>
  <c r="P23" i="32" s="1"/>
  <c r="AO24" i="32"/>
  <c r="AO19" i="32"/>
  <c r="AO21" i="32"/>
  <c r="AO20" i="32"/>
  <c r="AO22" i="32"/>
  <c r="AO23" i="32"/>
  <c r="AO18" i="32"/>
  <c r="P4" i="22"/>
  <c r="Q12" i="24"/>
  <c r="Q29" i="24" s="1"/>
  <c r="F41" i="24" s="1"/>
  <c r="R6" i="32"/>
  <c r="Q14" i="24"/>
  <c r="Q31" i="24" s="1"/>
  <c r="P15" i="27"/>
  <c r="Q10" i="28"/>
  <c r="Q24" i="28" s="1"/>
  <c r="N23" i="28"/>
  <c r="Q20" i="32"/>
  <c r="AP3" i="32"/>
  <c r="AP5" i="32"/>
  <c r="AP8" i="32"/>
  <c r="AP7" i="32"/>
  <c r="AP6" i="32"/>
  <c r="AP4" i="32"/>
  <c r="AP9" i="32"/>
  <c r="Q7" i="32"/>
  <c r="Q9" i="32" s="1"/>
  <c r="S5" i="24"/>
  <c r="R7" i="24"/>
  <c r="N31" i="27"/>
  <c r="N34" i="27" s="1"/>
  <c r="O4" i="22"/>
  <c r="O7" i="22" s="1"/>
  <c r="O11" i="28" s="1"/>
  <c r="O25" i="28" s="1"/>
  <c r="P10" i="28"/>
  <c r="P24" i="28" s="1"/>
  <c r="N18" i="24"/>
  <c r="O6" i="22"/>
  <c r="O17" i="27" s="1"/>
  <c r="N7" i="22"/>
  <c r="N11" i="28" s="1"/>
  <c r="N25" i="28" s="1"/>
  <c r="O28" i="27"/>
  <c r="O29" i="27" s="1"/>
  <c r="O16" i="27"/>
  <c r="Y11" i="25"/>
  <c r="C14" i="25" s="1"/>
  <c r="Q19" i="33" l="1"/>
  <c r="Q20" i="33" s="1"/>
  <c r="Q22" i="33" s="1"/>
  <c r="Q6" i="33"/>
  <c r="Q8" i="33" s="1"/>
  <c r="R28" i="24"/>
  <c r="G40" i="24" s="1"/>
  <c r="G43" i="24" s="1"/>
  <c r="R5" i="33"/>
  <c r="F43" i="24"/>
  <c r="N19" i="24"/>
  <c r="N34" i="24"/>
  <c r="C45" i="24" s="1"/>
  <c r="Q21" i="32"/>
  <c r="Q23" i="32" s="1"/>
  <c r="AP19" i="32"/>
  <c r="AP23" i="32"/>
  <c r="AP22" i="32"/>
  <c r="AP18" i="32"/>
  <c r="AP21" i="32"/>
  <c r="AP20" i="32"/>
  <c r="AP24" i="32"/>
  <c r="N28" i="28"/>
  <c r="N32" i="28" s="1"/>
  <c r="O18" i="27"/>
  <c r="O33" i="27" s="1"/>
  <c r="R12" i="24"/>
  <c r="R29" i="24" s="1"/>
  <c r="G41" i="24" s="1"/>
  <c r="S6" i="32"/>
  <c r="R14" i="24"/>
  <c r="R31" i="24" s="1"/>
  <c r="R20" i="32"/>
  <c r="AQ3" i="32"/>
  <c r="AQ8" i="32"/>
  <c r="R7" i="32"/>
  <c r="R9" i="32" s="1"/>
  <c r="AQ4" i="32"/>
  <c r="AQ6" i="32"/>
  <c r="AQ5" i="32"/>
  <c r="AQ9" i="32"/>
  <c r="AQ7" i="32"/>
  <c r="O30" i="27"/>
  <c r="O31" i="27" s="1"/>
  <c r="O34" i="27" s="1"/>
  <c r="O9" i="28"/>
  <c r="T5" i="24"/>
  <c r="S7" i="24"/>
  <c r="Q15" i="27"/>
  <c r="R10" i="28"/>
  <c r="R24" i="28" s="1"/>
  <c r="P28" i="27"/>
  <c r="P29" i="27" s="1"/>
  <c r="P16" i="27"/>
  <c r="P18" i="27" s="1"/>
  <c r="P33" i="27" s="1"/>
  <c r="Q4" i="22"/>
  <c r="Q7" i="22" s="1"/>
  <c r="Q11" i="28" s="1"/>
  <c r="Q25" i="28" s="1"/>
  <c r="O18" i="24"/>
  <c r="P7" i="22"/>
  <c r="P11" i="28" s="1"/>
  <c r="P25" i="28" s="1"/>
  <c r="P6" i="22"/>
  <c r="P17" i="27" s="1"/>
  <c r="N14" i="28"/>
  <c r="N31" i="28" s="1"/>
  <c r="P18" i="24"/>
  <c r="Q6" i="22"/>
  <c r="Q17" i="27" s="1"/>
  <c r="R19" i="33" l="1"/>
  <c r="R20" i="33" s="1"/>
  <c r="R22" i="33" s="1"/>
  <c r="R6" i="33"/>
  <c r="R8" i="33" s="1"/>
  <c r="S28" i="24"/>
  <c r="H40" i="24" s="1"/>
  <c r="S5" i="33"/>
  <c r="P19" i="24"/>
  <c r="P34" i="24"/>
  <c r="E45" i="24" s="1"/>
  <c r="O19" i="24"/>
  <c r="O34" i="24"/>
  <c r="D45" i="24" s="1"/>
  <c r="N21" i="24"/>
  <c r="N37" i="24" s="1"/>
  <c r="C48" i="24" s="1"/>
  <c r="N35" i="24"/>
  <c r="C46" i="24" s="1"/>
  <c r="R21" i="32"/>
  <c r="R23" i="32" s="1"/>
  <c r="AQ21" i="32"/>
  <c r="AQ20" i="32"/>
  <c r="AQ24" i="32"/>
  <c r="AQ19" i="32"/>
  <c r="AQ23" i="32"/>
  <c r="AQ22" i="32"/>
  <c r="AQ18" i="32"/>
  <c r="Q9" i="28"/>
  <c r="Q30" i="27"/>
  <c r="R4" i="22"/>
  <c r="R7" i="22" s="1"/>
  <c r="R11" i="28" s="1"/>
  <c r="R25" i="28" s="1"/>
  <c r="S20" i="32"/>
  <c r="AR6" i="32"/>
  <c r="AR7" i="32"/>
  <c r="AR8" i="32"/>
  <c r="AR4" i="32"/>
  <c r="AR5" i="32"/>
  <c r="AR3" i="32"/>
  <c r="AR9" i="32"/>
  <c r="S7" i="32"/>
  <c r="S9" i="32" s="1"/>
  <c r="Q18" i="24"/>
  <c r="R6" i="22"/>
  <c r="R17" i="27" s="1"/>
  <c r="P30" i="27"/>
  <c r="P31" i="27" s="1"/>
  <c r="P34" i="27" s="1"/>
  <c r="P9" i="28"/>
  <c r="Q28" i="27"/>
  <c r="Q29" i="27" s="1"/>
  <c r="Q16" i="27"/>
  <c r="Q18" i="27" s="1"/>
  <c r="Q33" i="27" s="1"/>
  <c r="R15" i="27"/>
  <c r="U5" i="24"/>
  <c r="T7" i="24"/>
  <c r="O23" i="28"/>
  <c r="O28" i="28" s="1"/>
  <c r="O32" i="28" s="1"/>
  <c r="O14" i="28"/>
  <c r="O31" i="28" s="1"/>
  <c r="T6" i="32"/>
  <c r="S12" i="24"/>
  <c r="T28" i="24" l="1"/>
  <c r="I40" i="24" s="1"/>
  <c r="T5" i="33"/>
  <c r="S19" i="33"/>
  <c r="S20" i="33" s="1"/>
  <c r="S22" i="33" s="1"/>
  <c r="S6" i="33"/>
  <c r="S8" i="33" s="1"/>
  <c r="S10" i="28"/>
  <c r="S24" i="28" s="1"/>
  <c r="S29" i="24"/>
  <c r="H41" i="24" s="1"/>
  <c r="H43" i="24" s="1"/>
  <c r="Q19" i="24"/>
  <c r="Q34" i="24"/>
  <c r="F45" i="24" s="1"/>
  <c r="O21" i="24"/>
  <c r="O37" i="24" s="1"/>
  <c r="D48" i="24" s="1"/>
  <c r="O35" i="24"/>
  <c r="D46" i="24" s="1"/>
  <c r="P21" i="24"/>
  <c r="P37" i="24" s="1"/>
  <c r="E48" i="24" s="1"/>
  <c r="P35" i="24"/>
  <c r="E46" i="24" s="1"/>
  <c r="S21" i="32"/>
  <c r="S23" i="32" s="1"/>
  <c r="AR19" i="32"/>
  <c r="AR22" i="32"/>
  <c r="AR20" i="32"/>
  <c r="AR18" i="32"/>
  <c r="AR23" i="32"/>
  <c r="AR21" i="32"/>
  <c r="AR24" i="32"/>
  <c r="Q31" i="27"/>
  <c r="Q34" i="27" s="1"/>
  <c r="V5" i="24"/>
  <c r="U7" i="24"/>
  <c r="R18" i="24"/>
  <c r="S6" i="22"/>
  <c r="S17" i="27" s="1"/>
  <c r="S15" i="27"/>
  <c r="S14" i="24"/>
  <c r="S31" i="24" s="1"/>
  <c r="P23" i="28"/>
  <c r="P28" i="28" s="1"/>
  <c r="P32" i="28" s="1"/>
  <c r="P14" i="28"/>
  <c r="P31" i="28" s="1"/>
  <c r="R28" i="27"/>
  <c r="R29" i="27" s="1"/>
  <c r="R16" i="27"/>
  <c r="R18" i="27" s="1"/>
  <c r="R33" i="27" s="1"/>
  <c r="T20" i="32"/>
  <c r="T7" i="32"/>
  <c r="T9" i="32" s="1"/>
  <c r="AS3" i="32"/>
  <c r="AS7" i="32"/>
  <c r="AS9" i="32"/>
  <c r="AS4" i="32"/>
  <c r="AS5" i="32"/>
  <c r="AS8" i="32"/>
  <c r="AS6" i="32"/>
  <c r="Q23" i="28"/>
  <c r="Q28" i="28" s="1"/>
  <c r="Q32" i="28" s="1"/>
  <c r="Q14" i="28"/>
  <c r="Q31" i="28" s="1"/>
  <c r="U6" i="32"/>
  <c r="T12" i="24"/>
  <c r="R30" i="27"/>
  <c r="R9" i="28"/>
  <c r="U28" i="24" l="1"/>
  <c r="J40" i="24" s="1"/>
  <c r="U5" i="33"/>
  <c r="T6" i="33"/>
  <c r="T8" i="33" s="1"/>
  <c r="T19" i="33"/>
  <c r="T20" i="33" s="1"/>
  <c r="T22" i="33" s="1"/>
  <c r="T14" i="24"/>
  <c r="T31" i="24" s="1"/>
  <c r="T29" i="24"/>
  <c r="I41" i="24" s="1"/>
  <c r="I43" i="24" s="1"/>
  <c r="R19" i="24"/>
  <c r="R34" i="24"/>
  <c r="G45" i="24" s="1"/>
  <c r="Q21" i="24"/>
  <c r="Q37" i="24" s="1"/>
  <c r="F48" i="24" s="1"/>
  <c r="Q35" i="24"/>
  <c r="F46" i="24" s="1"/>
  <c r="T21" i="32"/>
  <c r="T23" i="32" s="1"/>
  <c r="AS21" i="32"/>
  <c r="AS22" i="32"/>
  <c r="AS20" i="32"/>
  <c r="AS24" i="32"/>
  <c r="AS19" i="32"/>
  <c r="AS18" i="32"/>
  <c r="AS23" i="32"/>
  <c r="T10" i="28"/>
  <c r="T24" i="28" s="1"/>
  <c r="U20" i="32"/>
  <c r="AT7" i="32"/>
  <c r="AT8" i="32"/>
  <c r="U7" i="32"/>
  <c r="U9" i="32" s="1"/>
  <c r="AT6" i="32"/>
  <c r="AT9" i="32"/>
  <c r="AT3" i="32"/>
  <c r="AT5" i="32"/>
  <c r="AT4" i="32"/>
  <c r="S9" i="28"/>
  <c r="S30" i="27"/>
  <c r="R23" i="28"/>
  <c r="R28" i="28" s="1"/>
  <c r="R32" i="28" s="1"/>
  <c r="R14" i="28"/>
  <c r="R31" i="28" s="1"/>
  <c r="V6" i="32"/>
  <c r="U12" i="24"/>
  <c r="U29" i="24" s="1"/>
  <c r="J41" i="24" s="1"/>
  <c r="U14" i="24"/>
  <c r="U31" i="24" s="1"/>
  <c r="S4" i="22"/>
  <c r="S28" i="27"/>
  <c r="S29" i="27" s="1"/>
  <c r="S16" i="27"/>
  <c r="S18" i="27" s="1"/>
  <c r="S33" i="27" s="1"/>
  <c r="R31" i="27"/>
  <c r="R34" i="27" s="1"/>
  <c r="T15" i="27"/>
  <c r="W5" i="24"/>
  <c r="V7" i="24"/>
  <c r="S31" i="27" l="1"/>
  <c r="S34" i="27" s="1"/>
  <c r="V28" i="24"/>
  <c r="K40" i="24" s="1"/>
  <c r="V5" i="33"/>
  <c r="T4" i="22"/>
  <c r="T18" i="24" s="1"/>
  <c r="U19" i="33"/>
  <c r="U20" i="33" s="1"/>
  <c r="U22" i="33" s="1"/>
  <c r="U6" i="33"/>
  <c r="U8" i="33" s="1"/>
  <c r="J43" i="24"/>
  <c r="R21" i="24"/>
  <c r="R37" i="24" s="1"/>
  <c r="G48" i="24" s="1"/>
  <c r="R35" i="24"/>
  <c r="G46" i="24" s="1"/>
  <c r="U10" i="28"/>
  <c r="U24" i="28" s="1"/>
  <c r="U21" i="32"/>
  <c r="U23" i="32" s="1"/>
  <c r="AT22" i="32"/>
  <c r="AT24" i="32"/>
  <c r="AT18" i="32"/>
  <c r="AT21" i="32"/>
  <c r="AT20" i="32"/>
  <c r="AT19" i="32"/>
  <c r="AT23" i="32"/>
  <c r="V20" i="32"/>
  <c r="AU7" i="32"/>
  <c r="AU3" i="32"/>
  <c r="V7" i="32"/>
  <c r="V9" i="32" s="1"/>
  <c r="AU9" i="32"/>
  <c r="AU8" i="32"/>
  <c r="AU5" i="32"/>
  <c r="AU4" i="32"/>
  <c r="AU6" i="32"/>
  <c r="V12" i="24"/>
  <c r="W6" i="32"/>
  <c r="S18" i="24"/>
  <c r="T7" i="22"/>
  <c r="T11" i="28" s="1"/>
  <c r="T25" i="28" s="1"/>
  <c r="T6" i="22"/>
  <c r="T17" i="27" s="1"/>
  <c r="S7" i="22"/>
  <c r="S11" i="28" s="1"/>
  <c r="S25" i="28" s="1"/>
  <c r="X5" i="24"/>
  <c r="W7" i="24"/>
  <c r="U4" i="22"/>
  <c r="S23" i="28"/>
  <c r="T28" i="27"/>
  <c r="T29" i="27" s="1"/>
  <c r="T16" i="27"/>
  <c r="U15" i="27"/>
  <c r="U6" i="22" l="1"/>
  <c r="U17" i="27" s="1"/>
  <c r="V19" i="33"/>
  <c r="V20" i="33" s="1"/>
  <c r="V22" i="33" s="1"/>
  <c r="V6" i="33"/>
  <c r="V8" i="33" s="1"/>
  <c r="W28" i="24"/>
  <c r="L40" i="24" s="1"/>
  <c r="W5" i="33"/>
  <c r="X7" i="24"/>
  <c r="X5" i="33" s="1"/>
  <c r="V10" i="28"/>
  <c r="V24" i="28" s="1"/>
  <c r="V29" i="24"/>
  <c r="K41" i="24" s="1"/>
  <c r="K43" i="24" s="1"/>
  <c r="T19" i="24"/>
  <c r="T34" i="24"/>
  <c r="I45" i="24" s="1"/>
  <c r="T18" i="27"/>
  <c r="T33" i="27" s="1"/>
  <c r="S19" i="24"/>
  <c r="S34" i="24"/>
  <c r="H45" i="24" s="1"/>
  <c r="S28" i="28"/>
  <c r="S32" i="28" s="1"/>
  <c r="V14" i="24"/>
  <c r="V31" i="24" s="1"/>
  <c r="V21" i="32"/>
  <c r="V23" i="32" s="1"/>
  <c r="AU24" i="32"/>
  <c r="AU19" i="32"/>
  <c r="AU21" i="32"/>
  <c r="AU22" i="32"/>
  <c r="AU20" i="32"/>
  <c r="AU23" i="32"/>
  <c r="AU18" i="32"/>
  <c r="U18" i="24"/>
  <c r="V6" i="22"/>
  <c r="V17" i="27" s="1"/>
  <c r="W12" i="24"/>
  <c r="X6" i="32"/>
  <c r="W14" i="24"/>
  <c r="W31" i="24" s="1"/>
  <c r="U9" i="28"/>
  <c r="U30" i="27"/>
  <c r="U28" i="27"/>
  <c r="U29" i="27" s="1"/>
  <c r="U31" i="27" s="1"/>
  <c r="U34" i="27" s="1"/>
  <c r="U16" i="27"/>
  <c r="U18" i="27" s="1"/>
  <c r="U33" i="27" s="1"/>
  <c r="T30" i="27"/>
  <c r="T31" i="27" s="1"/>
  <c r="T34" i="27" s="1"/>
  <c r="T9" i="28"/>
  <c r="U7" i="22"/>
  <c r="U11" i="28" s="1"/>
  <c r="U25" i="28" s="1"/>
  <c r="W20" i="32"/>
  <c r="AV6" i="32"/>
  <c r="W7" i="32"/>
  <c r="W9" i="32" s="1"/>
  <c r="AV5" i="32"/>
  <c r="AV3" i="32"/>
  <c r="AV4" i="32"/>
  <c r="AV8" i="32"/>
  <c r="AV7" i="32"/>
  <c r="AV9" i="32"/>
  <c r="V15" i="27"/>
  <c r="S14" i="28"/>
  <c r="S31" i="28" s="1"/>
  <c r="W19" i="33" l="1"/>
  <c r="W20" i="33" s="1"/>
  <c r="W22" i="33" s="1"/>
  <c r="W6" i="33"/>
  <c r="W8" i="33" s="1"/>
  <c r="X19" i="33"/>
  <c r="X20" i="33" s="1"/>
  <c r="X22" i="33" s="1"/>
  <c r="C23" i="33" s="1"/>
  <c r="C25" i="33" s="1"/>
  <c r="C27" i="33" s="1"/>
  <c r="X6" i="33"/>
  <c r="X8" i="33" s="1"/>
  <c r="C9" i="33" s="1"/>
  <c r="C11" i="33" s="1"/>
  <c r="C13" i="33" s="1"/>
  <c r="L43" i="24"/>
  <c r="U19" i="24"/>
  <c r="U34" i="24"/>
  <c r="J45" i="24" s="1"/>
  <c r="S21" i="24"/>
  <c r="S37" i="24" s="1"/>
  <c r="H48" i="24" s="1"/>
  <c r="S35" i="24"/>
  <c r="H46" i="24" s="1"/>
  <c r="W10" i="28"/>
  <c r="W24" i="28" s="1"/>
  <c r="W29" i="24"/>
  <c r="L41" i="24" s="1"/>
  <c r="T21" i="24"/>
  <c r="T37" i="24" s="1"/>
  <c r="I48" i="24" s="1"/>
  <c r="T35" i="24"/>
  <c r="I46" i="24" s="1"/>
  <c r="V4" i="22"/>
  <c r="V7" i="22" s="1"/>
  <c r="V11" i="28" s="1"/>
  <c r="V25" i="28" s="1"/>
  <c r="X12" i="24"/>
  <c r="X10" i="28" s="1"/>
  <c r="X24" i="28" s="1"/>
  <c r="X28" i="24"/>
  <c r="M40" i="24" s="1"/>
  <c r="W21" i="32"/>
  <c r="W23" i="32" s="1"/>
  <c r="AV21" i="32"/>
  <c r="AV24" i="32"/>
  <c r="AV23" i="32"/>
  <c r="AV20" i="32"/>
  <c r="AV19" i="32"/>
  <c r="AV22" i="32"/>
  <c r="AV18" i="32"/>
  <c r="W4" i="22"/>
  <c r="V28" i="27"/>
  <c r="V29" i="27" s="1"/>
  <c r="V16" i="27"/>
  <c r="V18" i="27" s="1"/>
  <c r="V33" i="27" s="1"/>
  <c r="W15" i="27"/>
  <c r="V30" i="27"/>
  <c r="V9" i="28"/>
  <c r="T23" i="28"/>
  <c r="T28" i="28" s="1"/>
  <c r="T32" i="28" s="1"/>
  <c r="T14" i="28"/>
  <c r="T31" i="28" s="1"/>
  <c r="X20" i="32"/>
  <c r="X7" i="32"/>
  <c r="X9" i="32" s="1"/>
  <c r="C10" i="32" s="1"/>
  <c r="C12" i="32" s="1"/>
  <c r="AW6" i="32"/>
  <c r="AX6" i="32" s="1"/>
  <c r="AW8" i="32"/>
  <c r="AX8" i="32" s="1"/>
  <c r="AW3" i="32"/>
  <c r="AX3" i="32" s="1"/>
  <c r="AY3" i="32" s="1"/>
  <c r="J35" i="32" s="1"/>
  <c r="AW9" i="32"/>
  <c r="AX9" i="32" s="1"/>
  <c r="AW7" i="32"/>
  <c r="AX7" i="32" s="1"/>
  <c r="AY7" i="32" s="1"/>
  <c r="F35" i="32" s="1"/>
  <c r="AW5" i="32"/>
  <c r="AX5" i="32" s="1"/>
  <c r="AW4" i="32"/>
  <c r="AX4" i="32" s="1"/>
  <c r="U23" i="28"/>
  <c r="U28" i="28" s="1"/>
  <c r="U32" i="28" s="1"/>
  <c r="U14" i="28"/>
  <c r="U31" i="28" s="1"/>
  <c r="W6" i="22" l="1"/>
  <c r="W17" i="27" s="1"/>
  <c r="V18" i="24"/>
  <c r="V34" i="24" s="1"/>
  <c r="K45" i="24" s="1"/>
  <c r="V31" i="27"/>
  <c r="V34" i="27" s="1"/>
  <c r="X29" i="24"/>
  <c r="M41" i="24" s="1"/>
  <c r="M43" i="24" s="1"/>
  <c r="X14" i="24"/>
  <c r="X15" i="27"/>
  <c r="V19" i="24"/>
  <c r="U21" i="24"/>
  <c r="U37" i="24" s="1"/>
  <c r="J48" i="24" s="1"/>
  <c r="U35" i="24"/>
  <c r="J46" i="24" s="1"/>
  <c r="AY8" i="32"/>
  <c r="E35" i="32" s="1"/>
  <c r="AY6" i="32"/>
  <c r="G35" i="32" s="1"/>
  <c r="AY4" i="32"/>
  <c r="I35" i="32" s="1"/>
  <c r="AY5" i="32"/>
  <c r="H35" i="32" s="1"/>
  <c r="AY9" i="32"/>
  <c r="D35" i="32" s="1"/>
  <c r="C14" i="32"/>
  <c r="X21" i="32"/>
  <c r="X23" i="32" s="1"/>
  <c r="AW19" i="32"/>
  <c r="AX19" i="32" s="1"/>
  <c r="AW23" i="32"/>
  <c r="AX23" i="32" s="1"/>
  <c r="AW22" i="32"/>
  <c r="AX22" i="32" s="1"/>
  <c r="AW18" i="32"/>
  <c r="AX18" i="32" s="1"/>
  <c r="AW21" i="32"/>
  <c r="AX21" i="32" s="1"/>
  <c r="AW20" i="32"/>
  <c r="AX20" i="32" s="1"/>
  <c r="AW24" i="32"/>
  <c r="AX24" i="32" s="1"/>
  <c r="W18" i="24"/>
  <c r="X6" i="22"/>
  <c r="X17" i="27" s="1"/>
  <c r="V23" i="28"/>
  <c r="V28" i="28" s="1"/>
  <c r="V32" i="28" s="1"/>
  <c r="V14" i="28"/>
  <c r="V31" i="28" s="1"/>
  <c r="W30" i="27"/>
  <c r="W9" i="28"/>
  <c r="W7" i="22"/>
  <c r="W11" i="28" s="1"/>
  <c r="W25" i="28" s="1"/>
  <c r="W28" i="27"/>
  <c r="W29" i="27" s="1"/>
  <c r="W16" i="27"/>
  <c r="W18" i="27" s="1"/>
  <c r="W33" i="27" s="1"/>
  <c r="V21" i="24" l="1"/>
  <c r="V37" i="24" s="1"/>
  <c r="K48" i="24" s="1"/>
  <c r="V35" i="24"/>
  <c r="K46" i="24" s="1"/>
  <c r="X31" i="24"/>
  <c r="X4" i="22"/>
  <c r="W19" i="24"/>
  <c r="W34" i="24"/>
  <c r="L45" i="24" s="1"/>
  <c r="X28" i="27"/>
  <c r="X29" i="27" s="1"/>
  <c r="X16" i="27"/>
  <c r="X18" i="27" s="1"/>
  <c r="X33" i="27" s="1"/>
  <c r="AY23" i="32"/>
  <c r="E46" i="32" s="1"/>
  <c r="AY24" i="32"/>
  <c r="D46" i="32" s="1"/>
  <c r="AY20" i="32"/>
  <c r="H46" i="32" s="1"/>
  <c r="AY21" i="32"/>
  <c r="G46" i="32" s="1"/>
  <c r="AY18" i="32"/>
  <c r="J46" i="32" s="1"/>
  <c r="AY19" i="32"/>
  <c r="I46" i="32" s="1"/>
  <c r="AY22" i="32"/>
  <c r="F46" i="32" s="1"/>
  <c r="W31" i="27"/>
  <c r="W34" i="27" s="1"/>
  <c r="X30" i="27"/>
  <c r="X9" i="28"/>
  <c r="W23" i="28"/>
  <c r="W28" i="28" s="1"/>
  <c r="W32" i="28" s="1"/>
  <c r="W14" i="28"/>
  <c r="W31" i="28" s="1"/>
  <c r="F57" i="32" l="1"/>
  <c r="I57" i="32"/>
  <c r="J57" i="32"/>
  <c r="G57" i="32"/>
  <c r="H57" i="32"/>
  <c r="D57" i="32"/>
  <c r="E57" i="32"/>
  <c r="W21" i="24"/>
  <c r="W37" i="24" s="1"/>
  <c r="L48" i="24" s="1"/>
  <c r="W35" i="24"/>
  <c r="L46" i="24" s="1"/>
  <c r="X18" i="24"/>
  <c r="X7" i="22"/>
  <c r="X11" i="28" s="1"/>
  <c r="X25" i="28" s="1"/>
  <c r="X31" i="27"/>
  <c r="X34" i="27" s="1"/>
  <c r="X23" i="28"/>
  <c r="X28" i="28" s="1"/>
  <c r="X32" i="28" s="1"/>
  <c r="X14" i="28"/>
  <c r="X31" i="28" s="1"/>
  <c r="C24" i="32"/>
  <c r="X34" i="24" l="1"/>
  <c r="M45" i="24" s="1"/>
  <c r="X19" i="24"/>
  <c r="C26" i="32"/>
  <c r="C28" i="32" s="1"/>
  <c r="X21" i="24" l="1"/>
  <c r="X37" i="24" s="1"/>
  <c r="M48" i="24" s="1"/>
  <c r="X35" i="24"/>
  <c r="M46" i="24" s="1"/>
  <c r="C55" i="24"/>
</calcChain>
</file>

<file path=xl/sharedStrings.xml><?xml version="1.0" encoding="utf-8"?>
<sst xmlns="http://schemas.openxmlformats.org/spreadsheetml/2006/main" count="840" uniqueCount="378">
  <si>
    <t>År</t>
  </si>
  <si>
    <t>Likviditetsgrad 2</t>
  </si>
  <si>
    <t xml:space="preserve">Omløpsmidler </t>
  </si>
  <si>
    <t>Kortsiktig gjeld</t>
  </si>
  <si>
    <t>Varelager</t>
  </si>
  <si>
    <t>Likviditetsgrad 2 Okeanis</t>
  </si>
  <si>
    <t>Egenkapitalprosent Okeanis</t>
  </si>
  <si>
    <t>Sum EK</t>
  </si>
  <si>
    <t>Totalkapital</t>
  </si>
  <si>
    <t>EK andel</t>
  </si>
  <si>
    <t>Anleggsmidler</t>
  </si>
  <si>
    <t>Egenkapital</t>
  </si>
  <si>
    <t>Langsiktig gjeld</t>
  </si>
  <si>
    <t>Finansieringsgrad</t>
  </si>
  <si>
    <t>Finansieringsgrad Okeanis</t>
  </si>
  <si>
    <t>Okeanis</t>
  </si>
  <si>
    <t>Bransje</t>
  </si>
  <si>
    <t>Likviditetsgrad 2 DHT</t>
  </si>
  <si>
    <t>Likviditetsgrad 2 Euronav</t>
  </si>
  <si>
    <t>Likviditetsgrad 2 Frontline</t>
  </si>
  <si>
    <t>Egenkapitalprosent DHT</t>
  </si>
  <si>
    <t>Egenkapitalprosent Euronav</t>
  </si>
  <si>
    <t>Egenkapitalprosent Nordic American Tankers</t>
  </si>
  <si>
    <t>Likviditetsgrad 2 Nordic American Tankers</t>
  </si>
  <si>
    <t>Egenkapitalprosent Frontline</t>
  </si>
  <si>
    <t>Gjennomsnitt</t>
  </si>
  <si>
    <t>Egenkapitalprosent</t>
  </si>
  <si>
    <t>Finansieringsgrad DHT</t>
  </si>
  <si>
    <t>Finansieringsgrad Euronav</t>
  </si>
  <si>
    <t>Finansieringsgrad Nordic American Tankers</t>
  </si>
  <si>
    <t>Finansieringsgrad Frontline</t>
  </si>
  <si>
    <t>Forventet avkastning</t>
  </si>
  <si>
    <t xml:space="preserve">Risikofrirente </t>
  </si>
  <si>
    <t>Beta</t>
  </si>
  <si>
    <t>Markedets risikopremie</t>
  </si>
  <si>
    <t>Eiendeler</t>
  </si>
  <si>
    <t>2018A</t>
  </si>
  <si>
    <t>2019A</t>
  </si>
  <si>
    <t>2020A</t>
  </si>
  <si>
    <t>2021A</t>
  </si>
  <si>
    <t>2022A</t>
  </si>
  <si>
    <t>Inventar</t>
  </si>
  <si>
    <t>Kundefordringer og andre kortsiktige fordringer</t>
  </si>
  <si>
    <t>Fordringer på erstatninger</t>
  </si>
  <si>
    <t>Forskuddsbetalte kostnader og andre kortsiktige eiendeler</t>
  </si>
  <si>
    <t>Omløpsmidler til gode fra nærstående parter</t>
  </si>
  <si>
    <t>Sum omløpsmidler</t>
  </si>
  <si>
    <t xml:space="preserve">Leverandørgjeld </t>
  </si>
  <si>
    <t>Påløpte kostnader</t>
  </si>
  <si>
    <t>Forskuddsbetalte inntekter</t>
  </si>
  <si>
    <t>Kortsiktige gjeldsposter til nærståend parter</t>
  </si>
  <si>
    <t>?</t>
  </si>
  <si>
    <t>Sum kortsiktig gjeld</t>
  </si>
  <si>
    <t>Netto arbeidskapital</t>
  </si>
  <si>
    <t>Bankinnskudd, kontanter og lingnende</t>
  </si>
  <si>
    <t>Utsatte finansieringskostnader</t>
  </si>
  <si>
    <t>Andre varige driftsmidler</t>
  </si>
  <si>
    <t>Skip og annet sjøfartsutstyr, netto</t>
  </si>
  <si>
    <t>Skip under bygging</t>
  </si>
  <si>
    <t>Varige driftsmidler</t>
  </si>
  <si>
    <t>Sum investert kapital</t>
  </si>
  <si>
    <t>Sum finansielle eiendeler</t>
  </si>
  <si>
    <t>Sum eiendeler</t>
  </si>
  <si>
    <t>Egenkapital og gjeld</t>
  </si>
  <si>
    <t>Aksjekapital</t>
  </si>
  <si>
    <t>Overkursfond</t>
  </si>
  <si>
    <t>Sum egenkapital</t>
  </si>
  <si>
    <t>Kortsiktig rentebærende gjeld</t>
  </si>
  <si>
    <t>finanskostnader</t>
  </si>
  <si>
    <t>Sum gjeld</t>
  </si>
  <si>
    <t>Sum gjeld og egenkapital</t>
  </si>
  <si>
    <t>Underskudd/Opptjent egenkapital</t>
  </si>
  <si>
    <t>Tilbakekjøp av egne aksjer</t>
  </si>
  <si>
    <t>Andre reserver</t>
  </si>
  <si>
    <t>Pensjonforpliktelser</t>
  </si>
  <si>
    <t>skal inkl?</t>
  </si>
  <si>
    <t>Finansielle instrumenter og derivater</t>
  </si>
  <si>
    <t>Sjekk om gjeld og alt går opp?</t>
  </si>
  <si>
    <t>Provisjoner</t>
  </si>
  <si>
    <t>Driftskostnader</t>
  </si>
  <si>
    <t>Forvaltningshonorar</t>
  </si>
  <si>
    <t>tar ut kontanter og lignende fra omløpsmidler</t>
  </si>
  <si>
    <t>Egenkapitalkostnad</t>
  </si>
  <si>
    <t>Totalkapitalkostnad</t>
  </si>
  <si>
    <t>Gjeld andel</t>
  </si>
  <si>
    <t>Gjeldsrente</t>
  </si>
  <si>
    <t>Skattesats</t>
  </si>
  <si>
    <t xml:space="preserve"> </t>
  </si>
  <si>
    <t>Begrenset kontanter</t>
  </si>
  <si>
    <t>Sum anleggsmidler</t>
  </si>
  <si>
    <t>Finansielle derivater</t>
  </si>
  <si>
    <t>Finansielt derivat</t>
  </si>
  <si>
    <t xml:space="preserve">Bankinnskudd, kontanter og lignende </t>
  </si>
  <si>
    <t>Sum langsiktig gjeld</t>
  </si>
  <si>
    <t>Leverandørgjeld</t>
  </si>
  <si>
    <t>Påløpte utgifter</t>
  </si>
  <si>
    <t>Forskudd fra kunder</t>
  </si>
  <si>
    <t>Sum egenkapital og gjeld</t>
  </si>
  <si>
    <t xml:space="preserve">Finansielt derivat forpliktelse </t>
  </si>
  <si>
    <t>Balansen</t>
  </si>
  <si>
    <t>Resultatregnskapet</t>
  </si>
  <si>
    <t>Sum driftsinntekt</t>
  </si>
  <si>
    <t>Reisekostnader</t>
  </si>
  <si>
    <t>Driftskostnader for skip</t>
  </si>
  <si>
    <t>Avskrivninger og amortisering</t>
  </si>
  <si>
    <t>Generelle og administrative utgifter</t>
  </si>
  <si>
    <t>Netto gevinst ved salg av skip</t>
  </si>
  <si>
    <t>Verditap på skip som holdes for salg</t>
  </si>
  <si>
    <t>Sum driftskostnader</t>
  </si>
  <si>
    <t>Driftsresultat</t>
  </si>
  <si>
    <t>Finansinntekter og finanskostnader</t>
  </si>
  <si>
    <t>Renteinntekter</t>
  </si>
  <si>
    <t>Rentekostnader og andre finanskostnader</t>
  </si>
  <si>
    <t>Urealisert gevinst på derivater</t>
  </si>
  <si>
    <t>Realisert gevinst/tap på derivater</t>
  </si>
  <si>
    <t>Valutagevinst/-tap</t>
  </si>
  <si>
    <t>Sum finansinntekter og finanskostnader</t>
  </si>
  <si>
    <t>Årsresultat</t>
  </si>
  <si>
    <t>USD/NOK per 11.04.23</t>
  </si>
  <si>
    <t>USD/NOK</t>
  </si>
  <si>
    <t>Interest expense</t>
  </si>
  <si>
    <t>Total liabilities</t>
  </si>
  <si>
    <t>Andre driftskostnader</t>
  </si>
  <si>
    <t xml:space="preserve">Operasjonelle aktiviteter </t>
  </si>
  <si>
    <t>Kontantstrømoppstillingen</t>
  </si>
  <si>
    <t>Resultat</t>
  </si>
  <si>
    <t>Avskrivninger</t>
  </si>
  <si>
    <t>Renteutgifter</t>
  </si>
  <si>
    <t>Amortisering av lånefinansieringsgebyrer</t>
  </si>
  <si>
    <t>Urealisert gevinst/tap på derivater</t>
  </si>
  <si>
    <t>Nedskrivningstap</t>
  </si>
  <si>
    <t>Forskjell i valutakurser</t>
  </si>
  <si>
    <t>Endring i andre poster</t>
  </si>
  <si>
    <t>Netto kontantstrøm fra operasjonelle aktiviteter</t>
  </si>
  <si>
    <t>Total avstemmingstilpasninger</t>
  </si>
  <si>
    <t>Avstemmingstilpasninger</t>
  </si>
  <si>
    <t>Endringer i arbeidskapitalen</t>
  </si>
  <si>
    <t>Kundefordringer og andre fordringer</t>
  </si>
  <si>
    <t>Forskuddbetalte kostnader og andre kortsiktige eiendeler</t>
  </si>
  <si>
    <t>Utsatt inntekt</t>
  </si>
  <si>
    <t>Fordringer på skadeoppgjør</t>
  </si>
  <si>
    <t>Betalte renter</t>
  </si>
  <si>
    <t>Total endring i arbeidskapitalen</t>
  </si>
  <si>
    <t>Investeringsaktiviteter</t>
  </si>
  <si>
    <t>Innbetalinger av skyldige beløp fra nærstående parter</t>
  </si>
  <si>
    <t>Kortsiktige gjeldsposter til nærstående parter</t>
  </si>
  <si>
    <t>Kostnader tilknyttet dokking av skip</t>
  </si>
  <si>
    <t>Utbetalinger for andre varige driftsmidler</t>
  </si>
  <si>
    <t>Reduksjon i begrensede kontanter</t>
  </si>
  <si>
    <t>Kortsiktig del av begrensede kontanter</t>
  </si>
  <si>
    <t>Utbetalinger for skip under bygging</t>
  </si>
  <si>
    <t>Renteinntekt</t>
  </si>
  <si>
    <t>Innbetalinger ved salg av skip</t>
  </si>
  <si>
    <t>Netto kontantstrøm fra investeringsaktiviteter</t>
  </si>
  <si>
    <t>Finansieringsaktiviteter</t>
  </si>
  <si>
    <t>Innbetalinger ved opptak av langsiktig gjeld</t>
  </si>
  <si>
    <t>Utbetalinger ved tilbakebetaling av langsiktig gjeld</t>
  </si>
  <si>
    <t>Kapitalutdeling</t>
  </si>
  <si>
    <t>Utbetaling av lånefinansieringsavgifter</t>
  </si>
  <si>
    <t>Tilbakekjøp av aksjer</t>
  </si>
  <si>
    <t>Utbytte betalt</t>
  </si>
  <si>
    <t>Netto kontantstrøm fra finansieringsaktiviteter</t>
  </si>
  <si>
    <t>Kortsiktige fordringer knyttet nærstående parter</t>
  </si>
  <si>
    <t>Inntekter fra privat emisjon</t>
  </si>
  <si>
    <t>Anskaffelse av kontanter og lignende fra bidragspliktige selskaper</t>
  </si>
  <si>
    <t>Utgifter til emisjonskostnader</t>
  </si>
  <si>
    <t>Effekt av valutakursendringer</t>
  </si>
  <si>
    <t>Netto endring i kontanter og lignende</t>
  </si>
  <si>
    <t>Kontanter og lignende IB</t>
  </si>
  <si>
    <t>Kontanter og lignende UB</t>
  </si>
  <si>
    <t>Likviditetsgrad 2 gjennomsnitt</t>
  </si>
  <si>
    <t>Egenkapitalprosent gjennomsnitt</t>
  </si>
  <si>
    <t>Finansieringsgrad gjennomsnitt</t>
  </si>
  <si>
    <t>Gjeldsrente Okeanis</t>
  </si>
  <si>
    <t>Rentekostnad</t>
  </si>
  <si>
    <t>Total gjeld</t>
  </si>
  <si>
    <t xml:space="preserve">Gjeldsrente </t>
  </si>
  <si>
    <t>Gjeldsrente DHT</t>
  </si>
  <si>
    <t>Gjeldsrente Euronav</t>
  </si>
  <si>
    <t>Gjeldsrente Nordic American Tankers</t>
  </si>
  <si>
    <t>Gjeldsrente Frontline</t>
  </si>
  <si>
    <t>Gjeldsrente gjennomsnitt</t>
  </si>
  <si>
    <t>Gjeldsandel</t>
  </si>
  <si>
    <t>Gjeld estimert</t>
  </si>
  <si>
    <t>Totale avskrivninger</t>
  </si>
  <si>
    <t>Avskrivning pr år VLCC</t>
  </si>
  <si>
    <t>avskrivning pr år Suez</t>
  </si>
  <si>
    <t>VLCC totale avksrivninger</t>
  </si>
  <si>
    <t>Suez totale avskrivninger</t>
  </si>
  <si>
    <t>Utrangeringsverdi VLCC</t>
  </si>
  <si>
    <t>Utrangeringsverdi Suez</t>
  </si>
  <si>
    <t>VLCC år</t>
  </si>
  <si>
    <t>Suezmax år</t>
  </si>
  <si>
    <t>Suezmax verdi</t>
  </si>
  <si>
    <t>VLCC verdi</t>
  </si>
  <si>
    <t xml:space="preserve">Totale avskrivninger </t>
  </si>
  <si>
    <t>Nissos Nikouria</t>
  </si>
  <si>
    <t>Nissos Kea</t>
  </si>
  <si>
    <t>Nissos Anafi</t>
  </si>
  <si>
    <t>Nissos Keros</t>
  </si>
  <si>
    <t>Nissos Kythnos</t>
  </si>
  <si>
    <t>Nissos Donussa</t>
  </si>
  <si>
    <t>Nissos Despotiko</t>
  </si>
  <si>
    <t>Nissos Rheina</t>
  </si>
  <si>
    <t>Nissos Sifnos</t>
  </si>
  <si>
    <t>Nissos Sikinos</t>
  </si>
  <si>
    <t>Folegandros</t>
  </si>
  <si>
    <t>Kimolos</t>
  </si>
  <si>
    <t>Poliegos</t>
  </si>
  <si>
    <t>Milos</t>
  </si>
  <si>
    <t>år</t>
  </si>
  <si>
    <t>Anlegsmidler</t>
  </si>
  <si>
    <t>verdi Suez</t>
  </si>
  <si>
    <t>verdi VLCC</t>
  </si>
  <si>
    <t>Suezmax</t>
  </si>
  <si>
    <t>VLCC</t>
  </si>
  <si>
    <t>avskrivninger</t>
  </si>
  <si>
    <t>gjeld Suez</t>
  </si>
  <si>
    <t>gjeld VLCC</t>
  </si>
  <si>
    <t>utvikling</t>
  </si>
  <si>
    <t>gjeldsandel</t>
  </si>
  <si>
    <t>TCE</t>
  </si>
  <si>
    <t>nåverdi</t>
  </si>
  <si>
    <t>KS</t>
  </si>
  <si>
    <t xml:space="preserve">drydock </t>
  </si>
  <si>
    <t>rente</t>
  </si>
  <si>
    <t>OPEX</t>
  </si>
  <si>
    <t>gjeld og avdrag</t>
  </si>
  <si>
    <t>kjøp og utrangeringsverdi</t>
  </si>
  <si>
    <t>NNV</t>
  </si>
  <si>
    <t>gjeld</t>
  </si>
  <si>
    <t>tce</t>
  </si>
  <si>
    <t>kjøp og utrangering</t>
  </si>
  <si>
    <t>Utrangering</t>
  </si>
  <si>
    <t>Utrangeringer</t>
  </si>
  <si>
    <t>Skipsverdier</t>
  </si>
  <si>
    <t>Kontanter og andre</t>
  </si>
  <si>
    <t>antall skip</t>
  </si>
  <si>
    <t>Suez</t>
  </si>
  <si>
    <t>Omløpsmidler</t>
  </si>
  <si>
    <t>Omløpsmidler %</t>
  </si>
  <si>
    <t>Gjeld</t>
  </si>
  <si>
    <t>avdrag</t>
  </si>
  <si>
    <t>TCE inntekter</t>
  </si>
  <si>
    <t>antall</t>
  </si>
  <si>
    <t>kontantstrøm scenario 2</t>
  </si>
  <si>
    <t>Kontantstrøm scenario 1</t>
  </si>
  <si>
    <t>Kontantstrøm scenario 2</t>
  </si>
  <si>
    <t>TCE inntekter scenario 2</t>
  </si>
  <si>
    <t>TCE inntekter scenario 1</t>
  </si>
  <si>
    <t>suez utrang</t>
  </si>
  <si>
    <t>vlcc utrang</t>
  </si>
  <si>
    <t>resultat negativ</t>
  </si>
  <si>
    <t>resultat</t>
  </si>
  <si>
    <t>nedskrivning</t>
  </si>
  <si>
    <t>Opex</t>
  </si>
  <si>
    <t>g og a</t>
  </si>
  <si>
    <t>renter</t>
  </si>
  <si>
    <t>$</t>
  </si>
  <si>
    <t>eiendeler</t>
  </si>
  <si>
    <t>ARPU</t>
  </si>
  <si>
    <t>TCE inntekt M</t>
  </si>
  <si>
    <t>=</t>
  </si>
  <si>
    <t xml:space="preserve">G and A </t>
  </si>
  <si>
    <t>effekt på kontantstrøm</t>
  </si>
  <si>
    <t>rentekostnad</t>
  </si>
  <si>
    <t>G og A</t>
  </si>
  <si>
    <t>Utrangeringsverdi</t>
  </si>
  <si>
    <t>Renter og avdrag</t>
  </si>
  <si>
    <t xml:space="preserve">Skrap verdi </t>
  </si>
  <si>
    <t>nedskrivning M nok</t>
  </si>
  <si>
    <t>Nedskrivning M USD</t>
  </si>
  <si>
    <t>Opex USD m</t>
  </si>
  <si>
    <t>totalt</t>
  </si>
  <si>
    <t>Gjeld i M usd</t>
  </si>
  <si>
    <t>TCE inntekt</t>
  </si>
  <si>
    <t>utilization</t>
  </si>
  <si>
    <t>dager</t>
  </si>
  <si>
    <t>TCE snittinntjening</t>
  </si>
  <si>
    <t>TCE inntjening</t>
  </si>
  <si>
    <t>skrap pris</t>
  </si>
  <si>
    <t>dollar nok</t>
  </si>
  <si>
    <t>Scenario 1</t>
  </si>
  <si>
    <t>OPEX total</t>
  </si>
  <si>
    <t>M NOK</t>
  </si>
  <si>
    <t>Netto resultat til SSK</t>
  </si>
  <si>
    <t>Tørrdokking</t>
  </si>
  <si>
    <t>Finansinntekter</t>
  </si>
  <si>
    <t>Finanskostnader</t>
  </si>
  <si>
    <t>Antall skip</t>
  </si>
  <si>
    <t>Nettoresultat til EK</t>
  </si>
  <si>
    <t>E2023</t>
  </si>
  <si>
    <t>E2024</t>
  </si>
  <si>
    <t>E2025</t>
  </si>
  <si>
    <t>E2026</t>
  </si>
  <si>
    <t>E2027</t>
  </si>
  <si>
    <t>E2028</t>
  </si>
  <si>
    <t>E2029</t>
  </si>
  <si>
    <t>E2030</t>
  </si>
  <si>
    <t>E2031</t>
  </si>
  <si>
    <t>E2032</t>
  </si>
  <si>
    <t>E2033</t>
  </si>
  <si>
    <t>E2034</t>
  </si>
  <si>
    <t>E2035</t>
  </si>
  <si>
    <t>E2036</t>
  </si>
  <si>
    <t>E2037</t>
  </si>
  <si>
    <t>E2038</t>
  </si>
  <si>
    <t>E2039</t>
  </si>
  <si>
    <t>E2040</t>
  </si>
  <si>
    <t>E2041</t>
  </si>
  <si>
    <t>E2042</t>
  </si>
  <si>
    <t>E2043</t>
  </si>
  <si>
    <t>E2044</t>
  </si>
  <si>
    <t>Scenario 2</t>
  </si>
  <si>
    <t>sum</t>
  </si>
  <si>
    <t>estimert dagrate Suez</t>
  </si>
  <si>
    <t>estimert dagrate VLCC</t>
  </si>
  <si>
    <t>Tørrdokk</t>
  </si>
  <si>
    <t>kontantstrøm fra drift</t>
  </si>
  <si>
    <t>finankostnader</t>
  </si>
  <si>
    <t>endring omløpsmidler</t>
  </si>
  <si>
    <t>endring andre anleggsmidler</t>
  </si>
  <si>
    <t>Kontantstrøm</t>
  </si>
  <si>
    <t>Netto driftsresultat</t>
  </si>
  <si>
    <t>WACC</t>
  </si>
  <si>
    <t>SPD</t>
  </si>
  <si>
    <t>Anleggsmidler T-1</t>
  </si>
  <si>
    <t>Diskonteringsfaktor</t>
  </si>
  <si>
    <t>Nåverdi</t>
  </si>
  <si>
    <t>Verdi av EK</t>
  </si>
  <si>
    <t>Antall aksjer</t>
  </si>
  <si>
    <t>Kurs</t>
  </si>
  <si>
    <t>Vekstrate</t>
  </si>
  <si>
    <t>Inntekt</t>
  </si>
  <si>
    <t>inntekt</t>
  </si>
  <si>
    <t>Scenario 1 kontantstrøm</t>
  </si>
  <si>
    <t>Scenario 2 resultat til EK</t>
  </si>
  <si>
    <t>Scenario 1 resultat til EK</t>
  </si>
  <si>
    <t>Scenario 2 kontantstrøm</t>
  </si>
  <si>
    <t>Sum nåverdi SPE</t>
  </si>
  <si>
    <t>egenkapitalkostnad * egenkapitalandel + gjeldsrente*(1-0,22)*gjeldsandel</t>
  </si>
  <si>
    <t>E 2023</t>
  </si>
  <si>
    <t>E 2024</t>
  </si>
  <si>
    <t>E 2025</t>
  </si>
  <si>
    <t>E 2026</t>
  </si>
  <si>
    <t>E 2027</t>
  </si>
  <si>
    <t>E 2028</t>
  </si>
  <si>
    <t>E 2029</t>
  </si>
  <si>
    <t>E 2030</t>
  </si>
  <si>
    <t>E 2031</t>
  </si>
  <si>
    <t>E 2032</t>
  </si>
  <si>
    <t>E 2033</t>
  </si>
  <si>
    <t>E 2034</t>
  </si>
  <si>
    <t>E 2035</t>
  </si>
  <si>
    <t>E 2036</t>
  </si>
  <si>
    <t>E 2037</t>
  </si>
  <si>
    <t>E 2038</t>
  </si>
  <si>
    <t>E 2039</t>
  </si>
  <si>
    <t>E 2040</t>
  </si>
  <si>
    <t>E 2041</t>
  </si>
  <si>
    <t>E 2042</t>
  </si>
  <si>
    <t>E 2043</t>
  </si>
  <si>
    <t>E 2044</t>
  </si>
  <si>
    <t>NDR</t>
  </si>
  <si>
    <t>NDE-NDEt-1</t>
  </si>
  <si>
    <t>FKD</t>
  </si>
  <si>
    <t>Sum nåverdi FKD</t>
  </si>
  <si>
    <t>Nåverdi FKD</t>
  </si>
  <si>
    <t>Netto balanseført gjeld</t>
  </si>
  <si>
    <t>Aksjer</t>
  </si>
  <si>
    <t>Kursmål</t>
  </si>
  <si>
    <t>drydock</t>
  </si>
  <si>
    <t>Gjeldskostnad</t>
  </si>
  <si>
    <t>Avdrag</t>
  </si>
  <si>
    <t>Tørrdokk M USD</t>
  </si>
  <si>
    <t>Estimert dagrate VLCC</t>
  </si>
  <si>
    <t>Estimert dagrate Suez</t>
  </si>
  <si>
    <t>MERK: Verdiene er tastet manuelt inn ved å bruke utregninene AY og endre WACC til ønsket verdi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</si>
</sst>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kr&quot;\ #,##0_);[Red]\(&quot;kr&quot;\ #,##0\)"/>
    <numFmt numFmtId="8" formatCode="&quot;kr&quot;\ #,##0.00_);[Red]\(&quot;kr&quot;\ #,##0.00\)"/>
    <numFmt numFmtId="44" formatCode="_(&quot;kr&quot;\ * #,##0.00_);_(&quot;kr&quot;\ * \(#,##0.00\);_(&quot;kr&quot;\ * &quot;-&quot;??_);_(@_)"/>
    <numFmt numFmtId="43" formatCode="_(* #,##0.00_);_(* \(#,##0.00\);_(* &quot;-&quot;??_);_(@_)"/>
    <numFmt numFmtId="166" formatCode="_ [$kr-103B]\ * #,##0.00_ ;_ [$kr-103B]\ * \-#,##0.00_ ;_ [$kr-103B]\ * &quot;-&quot;??_ ;_ @_ "/>
    <numFmt numFmtId="167" formatCode="0.000%"/>
    <numFmt numFmtId="172" formatCode="_(&quot;kr&quot;\ * #,##0_);_(&quot;kr&quot;\ * \(#,##0\);_(&quot;kr&quot;\ * &quot;-&quot;??_);_(@_)"/>
    <numFmt numFmtId="173" formatCode="&quot;kr&quot;\ #,##0.00"/>
    <numFmt numFmtId="174" formatCode="0.0000"/>
    <numFmt numFmtId="175" formatCode="_(&quot;kr&quot;\ * #,##0.000_);_(&quot;kr&quot;\ * \(#,##0.000\);_(&quot;kr&quot;\ 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4" fillId="0" borderId="0"/>
  </cellStyleXfs>
  <cellXfs count="102">
    <xf numFmtId="0" fontId="0" fillId="0" borderId="0" xfId="0"/>
    <xf numFmtId="0" fontId="0" fillId="0" borderId="1" xfId="0" applyBorder="1"/>
    <xf numFmtId="2" fontId="0" fillId="0" borderId="1" xfId="0" applyNumberFormat="1" applyBorder="1"/>
    <xf numFmtId="3" fontId="0" fillId="0" borderId="1" xfId="0" applyNumberFormat="1" applyBorder="1"/>
    <xf numFmtId="43" fontId="0" fillId="0" borderId="1" xfId="0" applyNumberFormat="1" applyBorder="1"/>
    <xf numFmtId="10" fontId="0" fillId="0" borderId="1" xfId="1" applyNumberFormat="1" applyFont="1" applyBorder="1"/>
    <xf numFmtId="3" fontId="0" fillId="0" borderId="0" xfId="0" applyNumberFormat="1"/>
    <xf numFmtId="166" fontId="0" fillId="0" borderId="0" xfId="0" applyNumberFormat="1"/>
    <xf numFmtId="4" fontId="0" fillId="0" borderId="1" xfId="0" applyNumberFormat="1" applyBorder="1"/>
    <xf numFmtId="2" fontId="0" fillId="0" borderId="0" xfId="0" applyNumberFormat="1"/>
    <xf numFmtId="9" fontId="0" fillId="0" borderId="0" xfId="1" applyFont="1"/>
    <xf numFmtId="167" fontId="0" fillId="0" borderId="0" xfId="1" applyNumberFormat="1" applyFont="1"/>
    <xf numFmtId="10" fontId="0" fillId="0" borderId="0" xfId="0" applyNumberFormat="1"/>
    <xf numFmtId="3" fontId="6" fillId="0" borderId="0" xfId="0" applyNumberFormat="1" applyFont="1"/>
    <xf numFmtId="1" fontId="6" fillId="0" borderId="0" xfId="0" applyNumberFormat="1" applyFont="1"/>
    <xf numFmtId="4" fontId="0" fillId="0" borderId="0" xfId="0" applyNumberFormat="1"/>
    <xf numFmtId="0" fontId="6" fillId="0" borderId="0" xfId="0" applyFont="1"/>
    <xf numFmtId="10" fontId="0" fillId="0" borderId="0" xfId="1" applyNumberFormat="1" applyFont="1"/>
    <xf numFmtId="0" fontId="0" fillId="0" borderId="0" xfId="0" applyAlignment="1">
      <alignment horizontal="center"/>
    </xf>
    <xf numFmtId="0" fontId="0" fillId="0" borderId="3" xfId="0" applyBorder="1"/>
    <xf numFmtId="1" fontId="0" fillId="0" borderId="3" xfId="0" applyNumberFormat="1" applyBorder="1"/>
    <xf numFmtId="10" fontId="0" fillId="0" borderId="1" xfId="0" applyNumberFormat="1" applyBorder="1"/>
    <xf numFmtId="0" fontId="0" fillId="2" borderId="0" xfId="0" applyFill="1"/>
    <xf numFmtId="9" fontId="0" fillId="0" borderId="0" xfId="0" applyNumberFormat="1"/>
    <xf numFmtId="0" fontId="4" fillId="0" borderId="0" xfId="2"/>
    <xf numFmtId="44" fontId="4" fillId="0" borderId="0" xfId="2" applyNumberFormat="1"/>
    <xf numFmtId="10" fontId="4" fillId="0" borderId="0" xfId="2" applyNumberFormat="1"/>
    <xf numFmtId="0" fontId="9" fillId="0" borderId="0" xfId="2" applyFont="1"/>
    <xf numFmtId="44" fontId="0" fillId="0" borderId="0" xfId="0" applyNumberFormat="1"/>
    <xf numFmtId="9" fontId="4" fillId="0" borderId="0" xfId="2" applyNumberFormat="1"/>
    <xf numFmtId="172" fontId="4" fillId="0" borderId="0" xfId="2" applyNumberFormat="1"/>
    <xf numFmtId="1" fontId="4" fillId="0" borderId="0" xfId="2" applyNumberFormat="1"/>
    <xf numFmtId="6" fontId="4" fillId="0" borderId="0" xfId="2" applyNumberFormat="1"/>
    <xf numFmtId="0" fontId="8" fillId="0" borderId="0" xfId="0" applyFont="1"/>
    <xf numFmtId="0" fontId="0" fillId="3" borderId="1" xfId="0" applyFill="1" applyBorder="1"/>
    <xf numFmtId="44" fontId="0" fillId="4" borderId="1" xfId="0" applyNumberFormat="1" applyFill="1" applyBorder="1"/>
    <xf numFmtId="3" fontId="0" fillId="4" borderId="1" xfId="0" applyNumberFormat="1" applyFill="1" applyBorder="1"/>
    <xf numFmtId="9" fontId="0" fillId="4" borderId="1" xfId="0" applyNumberFormat="1" applyFill="1" applyBorder="1"/>
    <xf numFmtId="9" fontId="10" fillId="4" borderId="1" xfId="0" applyNumberFormat="1" applyFont="1" applyFill="1" applyBorder="1"/>
    <xf numFmtId="44" fontId="0" fillId="4" borderId="4" xfId="0" applyNumberFormat="1" applyFill="1" applyBorder="1"/>
    <xf numFmtId="0" fontId="4" fillId="0" borderId="0" xfId="0" applyFont="1"/>
    <xf numFmtId="0" fontId="8" fillId="0" borderId="0" xfId="2" applyFont="1"/>
    <xf numFmtId="44" fontId="8" fillId="4" borderId="0" xfId="2" applyNumberFormat="1" applyFont="1" applyFill="1"/>
    <xf numFmtId="0" fontId="8" fillId="3" borderId="0" xfId="2" applyFont="1" applyFill="1"/>
    <xf numFmtId="44" fontId="8" fillId="4" borderId="5" xfId="2" applyNumberFormat="1" applyFont="1" applyFill="1" applyBorder="1"/>
    <xf numFmtId="0" fontId="8" fillId="3" borderId="5" xfId="2" applyFont="1" applyFill="1" applyBorder="1"/>
    <xf numFmtId="44" fontId="8" fillId="4" borderId="4" xfId="2" applyNumberFormat="1" applyFont="1" applyFill="1" applyBorder="1"/>
    <xf numFmtId="0" fontId="8" fillId="3" borderId="4" xfId="2" applyFont="1" applyFill="1" applyBorder="1"/>
    <xf numFmtId="44" fontId="4" fillId="4" borderId="1" xfId="2" applyNumberFormat="1" applyFill="1" applyBorder="1"/>
    <xf numFmtId="0" fontId="4" fillId="3" borderId="1" xfId="2" applyFill="1" applyBorder="1"/>
    <xf numFmtId="44" fontId="8" fillId="4" borderId="6" xfId="2" applyNumberFormat="1" applyFont="1" applyFill="1" applyBorder="1"/>
    <xf numFmtId="0" fontId="8" fillId="3" borderId="6" xfId="2" applyFont="1" applyFill="1" applyBorder="1"/>
    <xf numFmtId="173" fontId="4" fillId="0" borderId="0" xfId="2" applyNumberFormat="1"/>
    <xf numFmtId="8" fontId="4" fillId="0" borderId="0" xfId="2" applyNumberFormat="1"/>
    <xf numFmtId="44" fontId="4" fillId="4" borderId="4" xfId="2" applyNumberFormat="1" applyFill="1" applyBorder="1"/>
    <xf numFmtId="0" fontId="8" fillId="3" borderId="1" xfId="2" applyFont="1" applyFill="1" applyBorder="1"/>
    <xf numFmtId="2" fontId="4" fillId="0" borderId="0" xfId="2" applyNumberFormat="1"/>
    <xf numFmtId="0" fontId="6" fillId="3" borderId="1" xfId="0" applyFont="1" applyFill="1" applyBorder="1"/>
    <xf numFmtId="0" fontId="6" fillId="3" borderId="4" xfId="0" applyFont="1" applyFill="1" applyBorder="1"/>
    <xf numFmtId="44" fontId="6" fillId="4" borderId="4" xfId="0" applyNumberFormat="1" applyFont="1" applyFill="1" applyBorder="1"/>
    <xf numFmtId="0" fontId="0" fillId="3" borderId="0" xfId="0" applyFill="1"/>
    <xf numFmtId="0" fontId="10" fillId="0" borderId="0" xfId="0" applyFont="1"/>
    <xf numFmtId="1" fontId="0" fillId="0" borderId="0" xfId="0" applyNumberFormat="1"/>
    <xf numFmtId="1" fontId="10" fillId="0" borderId="0" xfId="0" applyNumberFormat="1" applyFont="1"/>
    <xf numFmtId="172" fontId="0" fillId="4" borderId="1" xfId="0" applyNumberFormat="1" applyFill="1" applyBorder="1"/>
    <xf numFmtId="172" fontId="6" fillId="4" borderId="4" xfId="0" applyNumberFormat="1" applyFont="1" applyFill="1" applyBorder="1"/>
    <xf numFmtId="1" fontId="0" fillId="3" borderId="1" xfId="0" applyNumberFormat="1" applyFill="1" applyBorder="1"/>
    <xf numFmtId="1" fontId="0" fillId="4" borderId="1" xfId="0" applyNumberFormat="1" applyFill="1" applyBorder="1"/>
    <xf numFmtId="1" fontId="6" fillId="4" borderId="4" xfId="0" applyNumberFormat="1" applyFont="1" applyFill="1" applyBorder="1"/>
    <xf numFmtId="172" fontId="0" fillId="0" borderId="0" xfId="0" applyNumberFormat="1"/>
    <xf numFmtId="8" fontId="0" fillId="0" borderId="0" xfId="0" applyNumberFormat="1"/>
    <xf numFmtId="10" fontId="0" fillId="4" borderId="1" xfId="0" applyNumberFormat="1" applyFill="1" applyBorder="1"/>
    <xf numFmtId="172" fontId="6" fillId="4" borderId="1" xfId="0" applyNumberFormat="1" applyFont="1" applyFill="1" applyBorder="1"/>
    <xf numFmtId="172" fontId="0" fillId="0" borderId="0" xfId="1" applyNumberFormat="1" applyFont="1"/>
    <xf numFmtId="10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4" borderId="0" xfId="0" applyFill="1"/>
    <xf numFmtId="0" fontId="0" fillId="2" borderId="0" xfId="0" applyFill="1" applyAlignment="1">
      <alignment horizontal="center"/>
    </xf>
    <xf numFmtId="44" fontId="8" fillId="0" borderId="0" xfId="2" applyNumberFormat="1" applyFont="1"/>
    <xf numFmtId="0" fontId="3" fillId="0" borderId="0" xfId="2" applyFont="1"/>
    <xf numFmtId="0" fontId="6" fillId="3" borderId="7" xfId="0" applyFont="1" applyFill="1" applyBorder="1"/>
    <xf numFmtId="172" fontId="6" fillId="4" borderId="7" xfId="0" applyNumberFormat="1" applyFont="1" applyFill="1" applyBorder="1"/>
    <xf numFmtId="174" fontId="0" fillId="0" borderId="0" xfId="0" applyNumberFormat="1"/>
    <xf numFmtId="175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10" fontId="0" fillId="4" borderId="2" xfId="0" applyNumberFormat="1" applyFill="1" applyBorder="1"/>
    <xf numFmtId="44" fontId="0" fillId="4" borderId="2" xfId="0" applyNumberFormat="1" applyFill="1" applyBorder="1"/>
    <xf numFmtId="0" fontId="0" fillId="4" borderId="1" xfId="0" applyFill="1" applyBorder="1"/>
    <xf numFmtId="44" fontId="0" fillId="2" borderId="1" xfId="0" applyNumberFormat="1" applyFill="1" applyBorder="1"/>
    <xf numFmtId="0" fontId="6" fillId="2" borderId="1" xfId="0" applyFont="1" applyFill="1" applyBorder="1"/>
    <xf numFmtId="0" fontId="6" fillId="2" borderId="4" xfId="0" applyFont="1" applyFill="1" applyBorder="1"/>
    <xf numFmtId="1" fontId="0" fillId="2" borderId="1" xfId="0" applyNumberFormat="1" applyFill="1" applyBorder="1"/>
    <xf numFmtId="1" fontId="6" fillId="4" borderId="1" xfId="0" applyNumberFormat="1" applyFont="1" applyFill="1" applyBorder="1"/>
    <xf numFmtId="44" fontId="6" fillId="2" borderId="1" xfId="0" applyNumberFormat="1" applyFont="1" applyFill="1" applyBorder="1"/>
    <xf numFmtId="0" fontId="2" fillId="0" borderId="0" xfId="2" applyFont="1"/>
    <xf numFmtId="0" fontId="1" fillId="0" borderId="0" xfId="2" applyFont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 textRotation="90"/>
    </xf>
  </cellXfs>
  <cellStyles count="3">
    <cellStyle name="Normal" xfId="0" builtinId="0"/>
    <cellStyle name="Normal 2" xfId="2" xr:uid="{8BF2AC73-FBEB-4342-A517-C78AC9979A69}"/>
    <cellStyle name="Prosent" xfId="1" builtinId="5"/>
  </cellStyles>
  <dxfs count="0"/>
  <tableStyles count="0" defaultTableStyle="TableStyleMedium2" defaultPivotStyle="PivotStyleLight16"/>
  <colors>
    <mruColors>
      <color rgb="FFFFEE65"/>
      <color rgb="FFB335DB"/>
      <color rgb="FF8BD3C7"/>
      <color rgb="FFFBBC05"/>
      <color rgb="FF6699FF"/>
      <color rgb="FF4285F4"/>
      <color rgb="FF7EB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b="1"/>
              <a:t>Likviditetsgrad</a:t>
            </a:r>
            <a:r>
              <a:rPr lang="nb-NO" b="1" baseline="0"/>
              <a:t> 2</a:t>
            </a:r>
            <a:endParaRPr lang="nb-N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'Likviditetsgrad oppdatert'!$B$43</c:f>
              <c:strCache>
                <c:ptCount val="1"/>
                <c:pt idx="0">
                  <c:v>Okeanis</c:v>
                </c:pt>
              </c:strCache>
            </c:strRef>
          </c:tx>
          <c:spPr>
            <a:solidFill>
              <a:srgbClr val="8BD3C7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'Likviditetsgrad oppdatert'!$C$41:$G$42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'Likviditetsgrad oppdatert'!$C$43:$H$43</c:f>
              <c:numCache>
                <c:formatCode>0.00</c:formatCode>
                <c:ptCount val="6"/>
                <c:pt idx="0">
                  <c:v>0.80482777709107467</c:v>
                </c:pt>
                <c:pt idx="1">
                  <c:v>0.41938852439183438</c:v>
                </c:pt>
                <c:pt idx="2">
                  <c:v>0.47152837543842746</c:v>
                </c:pt>
                <c:pt idx="3">
                  <c:v>0.81201216082617489</c:v>
                </c:pt>
                <c:pt idx="4">
                  <c:v>1.4798504400264332</c:v>
                </c:pt>
                <c:pt idx="5">
                  <c:v>0.79752145555478893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7-4B8F-9D8F-C4A52CAE4FC5}"/>
            </c:ext>
          </c:extLst>
        </c:ser>
        <c:ser>
          <c:idx val="1"/>
          <c:order val="1"/>
          <c:tx>
            <c:strRef>
              <c:f>'Likviditetsgrad oppdatert'!$B$44</c:f>
              <c:strCache>
                <c:ptCount val="1"/>
                <c:pt idx="0">
                  <c:v>Bransje</c:v>
                </c:pt>
              </c:strCache>
            </c:strRef>
          </c:tx>
          <c:spPr>
            <a:solidFill>
              <a:srgbClr val="FFEE65"/>
            </a:solidFill>
            <a:ln w="9525" cap="flat" cmpd="sng" algn="ctr">
              <a:solidFill>
                <a:schemeClr val="bg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'Likviditetsgrad oppdatert'!$C$41:$G$42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'Likviditetsgrad oppdatert'!$C$44:$H$44</c:f>
              <c:numCache>
                <c:formatCode>0.00</c:formatCode>
                <c:ptCount val="6"/>
                <c:pt idx="0">
                  <c:v>1.5031745185033447</c:v>
                </c:pt>
                <c:pt idx="1">
                  <c:v>1.2106004236620371</c:v>
                </c:pt>
                <c:pt idx="2">
                  <c:v>1.5394580330757404</c:v>
                </c:pt>
                <c:pt idx="3">
                  <c:v>1.306178775447508</c:v>
                </c:pt>
                <c:pt idx="4">
                  <c:v>2.0887777952074549</c:v>
                </c:pt>
                <c:pt idx="5">
                  <c:v>1.5296379091792169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87-4B8F-9D8F-C4A52CAE4FC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7925615"/>
        <c:axId val="97924655"/>
      </c:barChart>
      <c:catAx>
        <c:axId val="97925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7924655"/>
        <c:crosses val="autoZero"/>
        <c:auto val="1"/>
        <c:lblAlgn val="ctr"/>
        <c:lblOffset val="100"/>
        <c:noMultiLvlLbl val="0"/>
      </c:catAx>
      <c:valAx>
        <c:axId val="97924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7925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'Avskrivninger og utrangering'!$B$33</c:f>
              <c:strCache>
                <c:ptCount val="1"/>
                <c:pt idx="0">
                  <c:v>Totale avskrivninger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'Avskrivninger og utrangering'!$C$32:$X$32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'Avskrivninger og utrangering'!$C$33:$X$33</c:f>
              <c:numCache>
                <c:formatCode>_("kr"* #,##0.00_);_("kr"* \(#,##0.00\);_("kr"* "-"??_);_(@_)</c:formatCode>
                <c:ptCount val="22"/>
                <c:pt idx="0">
                  <c:v>429.71127910524018</c:v>
                </c:pt>
                <c:pt idx="1">
                  <c:v>429.71127910524018</c:v>
                </c:pt>
                <c:pt idx="2">
                  <c:v>429.71127910524018</c:v>
                </c:pt>
                <c:pt idx="3">
                  <c:v>429.71127910524018</c:v>
                </c:pt>
                <c:pt idx="4">
                  <c:v>429.71127910524018</c:v>
                </c:pt>
                <c:pt idx="5">
                  <c:v>429.71127910524018</c:v>
                </c:pt>
                <c:pt idx="6">
                  <c:v>429.71127910524018</c:v>
                </c:pt>
                <c:pt idx="7">
                  <c:v>429.71127910524018</c:v>
                </c:pt>
                <c:pt idx="8">
                  <c:v>429.71127910524018</c:v>
                </c:pt>
                <c:pt idx="9">
                  <c:v>429.71127910524018</c:v>
                </c:pt>
                <c:pt idx="10">
                  <c:v>429.71127910524018</c:v>
                </c:pt>
                <c:pt idx="11">
                  <c:v>429.71127910524018</c:v>
                </c:pt>
                <c:pt idx="12">
                  <c:v>429.71127910524018</c:v>
                </c:pt>
                <c:pt idx="13">
                  <c:v>429.71127910524018</c:v>
                </c:pt>
                <c:pt idx="14">
                  <c:v>429.71127910524018</c:v>
                </c:pt>
                <c:pt idx="15">
                  <c:v>429.71127910524018</c:v>
                </c:pt>
                <c:pt idx="16">
                  <c:v>405.58398475239619</c:v>
                </c:pt>
                <c:pt idx="17">
                  <c:v>381.45669039955214</c:v>
                </c:pt>
                <c:pt idx="18">
                  <c:v>333.20210169386411</c:v>
                </c:pt>
                <c:pt idx="19">
                  <c:v>155.10990607625411</c:v>
                </c:pt>
                <c:pt idx="20">
                  <c:v>71.236878247044018</c:v>
                </c:pt>
                <c:pt idx="21">
                  <c:v>71.236878247044018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BF-5945-8A46-7EC1D11FD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18544"/>
        <c:axId val="410720272"/>
      </c:lineChart>
      <c:catAx>
        <c:axId val="41071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0720272"/>
        <c:crosses val="autoZero"/>
        <c:auto val="1"/>
        <c:lblAlgn val="ctr"/>
        <c:lblOffset val="100"/>
        <c:noMultiLvlLbl val="0"/>
      </c:catAx>
      <c:valAx>
        <c:axId val="4107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Millioner</a:t>
                </a:r>
                <a:r>
                  <a:rPr lang="nb-NO" baseline="0"/>
                  <a:t> NOK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071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Skraping</a:t>
            </a:r>
            <a:r>
              <a:rPr lang="nb-NO" baseline="0"/>
              <a:t> av skip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'Avskrivninger og utrangering'!$R$36:$X$36</c:f>
              <c:strCache>
                <c:ptCount val="7"/>
                <c:pt idx="0">
                  <c:v>E2038</c:v>
                </c:pt>
                <c:pt idx="1">
                  <c:v>E2039</c:v>
                </c:pt>
                <c:pt idx="2">
                  <c:v>E2040</c:v>
                </c:pt>
                <c:pt idx="3">
                  <c:v>E2041</c:v>
                </c:pt>
                <c:pt idx="4">
                  <c:v>E2042</c:v>
                </c:pt>
                <c:pt idx="5">
                  <c:v>E2043</c:v>
                </c:pt>
                <c:pt idx="6">
                  <c:v>E2044</c:v>
                </c:pt>
              </c:strCache>
            </c:strRef>
          </c:cat>
          <c:val>
            <c:numRef>
              <c:f>'Avskrivninger og utrangering'!$R$37:$X$37</c:f>
              <c:numCache>
                <c:formatCode>_("kr"* #,##0.00_);_("kr"* \(#,##0.00\);_("kr"* "-"??_);_(@_)</c:formatCode>
                <c:ptCount val="7"/>
                <c:pt idx="0">
                  <c:v>90.711999999999989</c:v>
                </c:pt>
                <c:pt idx="1">
                  <c:v>90.711999999999989</c:v>
                </c:pt>
                <c:pt idx="2">
                  <c:v>181.42399999999998</c:v>
                </c:pt>
                <c:pt idx="3">
                  <c:v>788.8</c:v>
                </c:pt>
                <c:pt idx="4">
                  <c:v>339.18399999999997</c:v>
                </c:pt>
                <c:pt idx="5">
                  <c:v>0</c:v>
                </c:pt>
                <c:pt idx="6">
                  <c:v>315.52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6-C947-AD36-17BCB3794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4691056"/>
        <c:axId val="1218772687"/>
      </c:barChart>
      <c:catAx>
        <c:axId val="1324691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18772687"/>
        <c:crosses val="autoZero"/>
        <c:auto val="1"/>
        <c:lblAlgn val="ctr"/>
        <c:lblOffset val="100"/>
        <c:noMultiLvlLbl val="0"/>
      </c:catAx>
      <c:valAx>
        <c:axId val="121877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 NOK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469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Avskrivninger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'Avskrivninger og utrangering'!$B$33</c:f>
              <c:strCache>
                <c:ptCount val="1"/>
                <c:pt idx="0">
                  <c:v>Totale avskrivninger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'Avskrivninger og utrangering'!$C$32:$X$32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'Avskrivninger og utrangering'!$C$33:$X$33</c:f>
              <c:numCache>
                <c:formatCode>_("kr"* #,##0.00_);_("kr"* \(#,##0.00\);_("kr"* "-"??_);_(@_)</c:formatCode>
                <c:ptCount val="22"/>
                <c:pt idx="0">
                  <c:v>429.71127910524018</c:v>
                </c:pt>
                <c:pt idx="1">
                  <c:v>429.71127910524018</c:v>
                </c:pt>
                <c:pt idx="2">
                  <c:v>429.71127910524018</c:v>
                </c:pt>
                <c:pt idx="3">
                  <c:v>429.71127910524018</c:v>
                </c:pt>
                <c:pt idx="4">
                  <c:v>429.71127910524018</c:v>
                </c:pt>
                <c:pt idx="5">
                  <c:v>429.71127910524018</c:v>
                </c:pt>
                <c:pt idx="6">
                  <c:v>429.71127910524018</c:v>
                </c:pt>
                <c:pt idx="7">
                  <c:v>429.71127910524018</c:v>
                </c:pt>
                <c:pt idx="8">
                  <c:v>429.71127910524018</c:v>
                </c:pt>
                <c:pt idx="9">
                  <c:v>429.71127910524018</c:v>
                </c:pt>
                <c:pt idx="10">
                  <c:v>429.71127910524018</c:v>
                </c:pt>
                <c:pt idx="11">
                  <c:v>429.71127910524018</c:v>
                </c:pt>
                <c:pt idx="12">
                  <c:v>429.71127910524018</c:v>
                </c:pt>
                <c:pt idx="13">
                  <c:v>429.71127910524018</c:v>
                </c:pt>
                <c:pt idx="14">
                  <c:v>429.71127910524018</c:v>
                </c:pt>
                <c:pt idx="15">
                  <c:v>429.71127910524018</c:v>
                </c:pt>
                <c:pt idx="16">
                  <c:v>405.58398475239619</c:v>
                </c:pt>
                <c:pt idx="17">
                  <c:v>381.45669039955214</c:v>
                </c:pt>
                <c:pt idx="18">
                  <c:v>333.20210169386411</c:v>
                </c:pt>
                <c:pt idx="19">
                  <c:v>155.10990607625411</c:v>
                </c:pt>
                <c:pt idx="20">
                  <c:v>71.236878247044018</c:v>
                </c:pt>
                <c:pt idx="21">
                  <c:v>71.236878247044018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17-4349-B566-7C6E1E563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368272"/>
        <c:axId val="533070384"/>
      </c:lineChart>
      <c:catAx>
        <c:axId val="533368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3070384"/>
        <c:crosses val="autoZero"/>
        <c:auto val="1"/>
        <c:lblAlgn val="ctr"/>
        <c:lblOffset val="100"/>
        <c:noMultiLvlLbl val="0"/>
      </c:catAx>
      <c:valAx>
        <c:axId val="53307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 NOK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336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Budsjetterte TCE inntekter</a:t>
            </a:r>
            <a:r>
              <a:rPr lang="nb-NO" baseline="0"/>
              <a:t> NOK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Fremtidsresultat!$B$8</c:f>
              <c:strCache>
                <c:ptCount val="1"/>
                <c:pt idx="0">
                  <c:v>TCE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Fremtidsresultat!$C$7:$X$7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Fremtidsresultat!$C$8:$X$8</c:f>
              <c:numCache>
                <c:formatCode>_("kr"\ * #\ ##0_);_("kr"\ * \(#\ ##0\);_("kr"\ * "-"??_);_(@_)</c:formatCode>
                <c:ptCount val="22"/>
                <c:pt idx="0">
                  <c:v>4231.8817082065998</c:v>
                </c:pt>
                <c:pt idx="1">
                  <c:v>5717.8411958519991</c:v>
                </c:pt>
                <c:pt idx="2">
                  <c:v>6279.0402307571994</c:v>
                </c:pt>
                <c:pt idx="3">
                  <c:v>4820.2933000223993</c:v>
                </c:pt>
                <c:pt idx="4">
                  <c:v>4342.0728499999996</c:v>
                </c:pt>
                <c:pt idx="5">
                  <c:v>1948.8043500000001</c:v>
                </c:pt>
                <c:pt idx="6">
                  <c:v>957.30740000000003</c:v>
                </c:pt>
                <c:pt idx="7">
                  <c:v>800.03547000000003</c:v>
                </c:pt>
                <c:pt idx="8">
                  <c:v>800.03547000000003</c:v>
                </c:pt>
                <c:pt idx="9">
                  <c:v>1012.01068</c:v>
                </c:pt>
                <c:pt idx="10">
                  <c:v>1278.6891700000001</c:v>
                </c:pt>
                <c:pt idx="11">
                  <c:v>1568.411627213321</c:v>
                </c:pt>
                <c:pt idx="12">
                  <c:v>1537.0433946690544</c:v>
                </c:pt>
                <c:pt idx="13">
                  <c:v>1505.6751621247877</c:v>
                </c:pt>
                <c:pt idx="14">
                  <c:v>1474.3069295805217</c:v>
                </c:pt>
                <c:pt idx="15">
                  <c:v>1442.938697036255</c:v>
                </c:pt>
                <c:pt idx="16">
                  <c:v>1325.6394345899976</c:v>
                </c:pt>
                <c:pt idx="17">
                  <c:v>1212.1593290282735</c:v>
                </c:pt>
                <c:pt idx="18">
                  <c:v>1020.386507333624</c:v>
                </c:pt>
                <c:pt idx="19">
                  <c:v>473.99908892839812</c:v>
                </c:pt>
                <c:pt idx="20">
                  <c:v>204.08530937934319</c:v>
                </c:pt>
                <c:pt idx="21">
                  <c:v>199.10761890667629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CE-294B-A8AB-52F608A5D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05775"/>
        <c:axId val="538961247"/>
      </c:lineChart>
      <c:catAx>
        <c:axId val="5389057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8961247"/>
        <c:crosses val="autoZero"/>
        <c:auto val="1"/>
        <c:lblAlgn val="ctr"/>
        <c:lblOffset val="100"/>
        <c:noMultiLvlLbl val="0"/>
      </c:catAx>
      <c:valAx>
        <c:axId val="538961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 NOK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\ * #\ ##0_);_(&quot;kr&quot;\ * \(#\ ##0\);_(&quot;kr&quot;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890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Budsjetterte TCE inntekter NOK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Fremtidsresultat!$B$21</c:f>
              <c:strCache>
                <c:ptCount val="1"/>
                <c:pt idx="0">
                  <c:v>TCE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Fremtidsresultat!$C$20:$X$20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Fremtidsresultat!$C$21:$X$21</c:f>
              <c:numCache>
                <c:formatCode>_("kr"\ * #\ ##0_);_("kr"\ * \(#\ ##0\);_("kr"\ * "-"??_);_(@_)</c:formatCode>
                <c:ptCount val="22"/>
                <c:pt idx="0">
                  <c:v>2342.8838999999998</c:v>
                </c:pt>
                <c:pt idx="1">
                  <c:v>2342.8838999999998</c:v>
                </c:pt>
                <c:pt idx="2">
                  <c:v>2342.8838999999998</c:v>
                </c:pt>
                <c:pt idx="3">
                  <c:v>1819.3574875674517</c:v>
                </c:pt>
                <c:pt idx="4">
                  <c:v>1787.9892550231857</c:v>
                </c:pt>
                <c:pt idx="5">
                  <c:v>1756.6210224789195</c:v>
                </c:pt>
                <c:pt idx="6">
                  <c:v>1725.252789934653</c:v>
                </c:pt>
                <c:pt idx="7">
                  <c:v>1693.8845573903864</c:v>
                </c:pt>
                <c:pt idx="8">
                  <c:v>1662.5163248461199</c:v>
                </c:pt>
                <c:pt idx="9">
                  <c:v>1631.1480923018537</c:v>
                </c:pt>
                <c:pt idx="10">
                  <c:v>1599.779859757587</c:v>
                </c:pt>
                <c:pt idx="11">
                  <c:v>1568.411627213321</c:v>
                </c:pt>
                <c:pt idx="12">
                  <c:v>1537.0433946690544</c:v>
                </c:pt>
                <c:pt idx="13">
                  <c:v>1505.6751621247877</c:v>
                </c:pt>
                <c:pt idx="14">
                  <c:v>1474.3069295805217</c:v>
                </c:pt>
                <c:pt idx="15">
                  <c:v>1442.938697036255</c:v>
                </c:pt>
                <c:pt idx="16">
                  <c:v>1325.6394345899976</c:v>
                </c:pt>
                <c:pt idx="17">
                  <c:v>1212.1593290282735</c:v>
                </c:pt>
                <c:pt idx="18">
                  <c:v>1020.386507333624</c:v>
                </c:pt>
                <c:pt idx="19">
                  <c:v>473.99908892839812</c:v>
                </c:pt>
                <c:pt idx="20">
                  <c:v>204.08530937934319</c:v>
                </c:pt>
                <c:pt idx="21">
                  <c:v>199.10761890667629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6B-8B4E-8367-578C606B2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2795071"/>
        <c:axId val="1543221999"/>
      </c:lineChart>
      <c:catAx>
        <c:axId val="1542795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43221999"/>
        <c:crosses val="autoZero"/>
        <c:auto val="1"/>
        <c:lblAlgn val="ctr"/>
        <c:lblOffset val="100"/>
        <c:noMultiLvlLbl val="0"/>
      </c:catAx>
      <c:valAx>
        <c:axId val="1543221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 NOK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\ * #\ ##0_);_(&quot;kr&quot;\ * \(#\ ##0\);_(&quot;kr&quot;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4279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Resultat til 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Fremtidsresultat!$B$33</c:f>
              <c:strCache>
                <c:ptCount val="1"/>
                <c:pt idx="0">
                  <c:v>Scenario 1 resultat til EK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Fremtidsresultat!$C$32:$X$32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Fremtidsresultat!$C$33:$X$33</c:f>
              <c:numCache>
                <c:formatCode>_("kr"\ * #\ ##0_);_("kr"\ * \(#\ ##0\);_("kr"\ * "-"??_);_(@_)</c:formatCode>
                <c:ptCount val="22"/>
                <c:pt idx="0">
                  <c:v>2876.0513855451591</c:v>
                </c:pt>
                <c:pt idx="1">
                  <c:v>4351.7206644664702</c:v>
                </c:pt>
                <c:pt idx="2">
                  <c:v>4958.0977426536883</c:v>
                </c:pt>
                <c:pt idx="3">
                  <c:v>3549.130872036219</c:v>
                </c:pt>
                <c:pt idx="4">
                  <c:v>3063.9598361211151</c:v>
                </c:pt>
                <c:pt idx="5">
                  <c:v>696.33256368401965</c:v>
                </c:pt>
                <c:pt idx="6">
                  <c:v>-332.87573234565252</c:v>
                </c:pt>
                <c:pt idx="7">
                  <c:v>-468.9182320786756</c:v>
                </c:pt>
                <c:pt idx="8">
                  <c:v>-433.12240998911591</c:v>
                </c:pt>
                <c:pt idx="9">
                  <c:v>-259.52945824052176</c:v>
                </c:pt>
                <c:pt idx="10">
                  <c:v>22.764131560287552</c:v>
                </c:pt>
                <c:pt idx="11">
                  <c:v>231.72939378767654</c:v>
                </c:pt>
                <c:pt idx="12">
                  <c:v>225.35692557500295</c:v>
                </c:pt>
                <c:pt idx="13">
                  <c:v>196.55257586620365</c:v>
                </c:pt>
                <c:pt idx="14">
                  <c:v>51.641407031357815</c:v>
                </c:pt>
                <c:pt idx="15">
                  <c:v>102.85680886443758</c:v>
                </c:pt>
                <c:pt idx="16">
                  <c:v>71.439668353803597</c:v>
                </c:pt>
                <c:pt idx="17">
                  <c:v>45.472583057797337</c:v>
                </c:pt>
                <c:pt idx="18">
                  <c:v>91.753775530729314</c:v>
                </c:pt>
                <c:pt idx="19">
                  <c:v>40.410617759839269</c:v>
                </c:pt>
                <c:pt idx="20">
                  <c:v>2.3404991110067428</c:v>
                </c:pt>
                <c:pt idx="21">
                  <c:v>-1.9289112432200408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E1-CF47-A91F-6297E6F9CE69}"/>
            </c:ext>
          </c:extLst>
        </c:ser>
        <c:ser>
          <c:idx val="1"/>
          <c:order val="1"/>
          <c:tx>
            <c:strRef>
              <c:f>Fremtidsresultat!$B$34</c:f>
              <c:strCache>
                <c:ptCount val="1"/>
                <c:pt idx="0">
                  <c:v>Scenario 2 resultat til EK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Fremtidsresultat!$C$32:$X$32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Fremtidsresultat!$C$34:$X$34</c:f>
              <c:numCache>
                <c:formatCode>_("kr"\ * #\ ##0_);_("kr"\ * \(#\ ##0\);_("kr"\ * "-"??_);_(@_)</c:formatCode>
                <c:ptCount val="22"/>
                <c:pt idx="0">
                  <c:v>1056.2132463534435</c:v>
                </c:pt>
                <c:pt idx="1">
                  <c:v>1037.3557798396976</c:v>
                </c:pt>
                <c:pt idx="2">
                  <c:v>1074.4763747935883</c:v>
                </c:pt>
                <c:pt idx="3">
                  <c:v>588.18379205282872</c:v>
                </c:pt>
                <c:pt idx="4">
                  <c:v>543.08204894155733</c:v>
                </c:pt>
                <c:pt idx="5">
                  <c:v>535.5707108448388</c:v>
                </c:pt>
                <c:pt idx="6">
                  <c:v>464.70679915554354</c:v>
                </c:pt>
                <c:pt idx="7">
                  <c:v>452.78366376289728</c:v>
                </c:pt>
                <c:pt idx="8">
                  <c:v>455.4269201928339</c:v>
                </c:pt>
                <c:pt idx="9">
                  <c:v>383.89209628180527</c:v>
                </c:pt>
                <c:pt idx="10">
                  <c:v>366.35463042299125</c:v>
                </c:pt>
                <c:pt idx="11">
                  <c:v>252.44486977743662</c:v>
                </c:pt>
                <c:pt idx="12">
                  <c:v>244.28806844940641</c:v>
                </c:pt>
                <c:pt idx="13">
                  <c:v>213.6993856252505</c:v>
                </c:pt>
                <c:pt idx="14">
                  <c:v>67.003883675048101</c:v>
                </c:pt>
                <c:pt idx="15">
                  <c:v>116.05827988397128</c:v>
                </c:pt>
                <c:pt idx="16">
                  <c:v>82.566743856501319</c:v>
                </c:pt>
                <c:pt idx="17">
                  <c:v>54.248776711929807</c:v>
                </c:pt>
                <c:pt idx="18">
                  <c:v>95.843815518287869</c:v>
                </c:pt>
                <c:pt idx="19">
                  <c:v>42.380271383056041</c:v>
                </c:pt>
                <c:pt idx="20">
                  <c:v>3.9736205117400587</c:v>
                </c:pt>
                <c:pt idx="21">
                  <c:v>-1.9289112432200479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E1-CF47-A91F-6297E6F9C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693040"/>
        <c:axId val="1324373024"/>
      </c:lineChart>
      <c:catAx>
        <c:axId val="1324693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4373024"/>
        <c:crosses val="autoZero"/>
        <c:auto val="1"/>
        <c:lblAlgn val="ctr"/>
        <c:lblOffset val="100"/>
        <c:noMultiLvlLbl val="0"/>
      </c:catAx>
      <c:valAx>
        <c:axId val="132437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 NOK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\ * #\ ##0_);_(&quot;kr&quot;\ * \(#\ ##0\);_(&quot;kr&quot;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469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Kontantstrøm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2791447944006998"/>
          <c:y val="0.1902314814814815"/>
          <c:w val="0.81097440944881893"/>
          <c:h val="0.56101560221638958"/>
        </c:manualLayout>
      </c:layout>
      <c:lineChart>
        <c:grouping val="standard"/>
        <c:varyColors val="0"/>
        <c:ser>
          <c:idx val="0"/>
          <c:order val="0"/>
          <c:tx>
            <c:strRef>
              <c:f>Fremtidskontantstrøm!$B$31</c:f>
              <c:strCache>
                <c:ptCount val="1"/>
                <c:pt idx="0">
                  <c:v>Scenario 1 kontantstrøm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Fremtidskontantstrøm!$C$30:$X$30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Fremtidskontantstrøm!$C$31:$X$31</c:f>
              <c:numCache>
                <c:formatCode>0</c:formatCode>
                <c:ptCount val="22"/>
                <c:pt idx="0">
                  <c:v>2830.1669816349863</c:v>
                </c:pt>
                <c:pt idx="1">
                  <c:v>4245.1722489271033</c:v>
                </c:pt>
                <c:pt idx="2">
                  <c:v>4981.1749307825157</c:v>
                </c:pt>
                <c:pt idx="3">
                  <c:v>3630.1555714948281</c:v>
                </c:pt>
                <c:pt idx="4">
                  <c:v>3125.0755799769477</c:v>
                </c:pt>
                <c:pt idx="5">
                  <c:v>941.93883534627275</c:v>
                </c:pt>
                <c:pt idx="6">
                  <c:v>-88.161627241077895</c:v>
                </c:pt>
                <c:pt idx="7">
                  <c:v>-225.09629353177857</c:v>
                </c:pt>
                <c:pt idx="8">
                  <c:v>-190.19263799989756</c:v>
                </c:pt>
                <c:pt idx="9">
                  <c:v>-17.491852808981974</c:v>
                </c:pt>
                <c:pt idx="10">
                  <c:v>263.90957043415</c:v>
                </c:pt>
                <c:pt idx="11">
                  <c:v>471.98266610385986</c:v>
                </c:pt>
                <c:pt idx="12">
                  <c:v>464.71803133350772</c:v>
                </c:pt>
                <c:pt idx="13">
                  <c:v>435.0215150670308</c:v>
                </c:pt>
                <c:pt idx="14">
                  <c:v>289.2181796745067</c:v>
                </c:pt>
                <c:pt idx="15">
                  <c:v>391.15345003693636</c:v>
                </c:pt>
                <c:pt idx="16">
                  <c:v>344.27071441534878</c:v>
                </c:pt>
                <c:pt idx="17">
                  <c:v>356.02045705771712</c:v>
                </c:pt>
                <c:pt idx="18">
                  <c:v>707.37658689034015</c:v>
                </c:pt>
                <c:pt idx="19">
                  <c:v>308.04956397770792</c:v>
                </c:pt>
                <c:pt idx="20">
                  <c:v>43.246807735106231</c:v>
                </c:pt>
                <c:pt idx="21">
                  <c:v>201.94542887141995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5F-A64A-A199-1456AB6E008F}"/>
            </c:ext>
          </c:extLst>
        </c:ser>
        <c:ser>
          <c:idx val="1"/>
          <c:order val="1"/>
          <c:tx>
            <c:strRef>
              <c:f>Fremtidskontantstrøm!$B$32</c:f>
              <c:strCache>
                <c:ptCount val="1"/>
                <c:pt idx="0">
                  <c:v>Scenario 2 kontantstrøm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Fremtidskontantstrøm!$C$30:$X$30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Fremtidskontantstrøm!$C$32:$X$32</c:f>
              <c:numCache>
                <c:formatCode>0</c:formatCode>
                <c:ptCount val="22"/>
                <c:pt idx="0">
                  <c:v>941.16917342838633</c:v>
                </c:pt>
                <c:pt idx="1">
                  <c:v>870.21495307510349</c:v>
                </c:pt>
                <c:pt idx="2">
                  <c:v>1045.0186000253154</c:v>
                </c:pt>
                <c:pt idx="3">
                  <c:v>629.2197590398805</c:v>
                </c:pt>
                <c:pt idx="4">
                  <c:v>570.99198500013381</c:v>
                </c:pt>
                <c:pt idx="5">
                  <c:v>749.75550782519224</c:v>
                </c:pt>
                <c:pt idx="6">
                  <c:v>679.78376269357523</c:v>
                </c:pt>
                <c:pt idx="7">
                  <c:v>668.75279385860779</c:v>
                </c:pt>
                <c:pt idx="8">
                  <c:v>672.28821684622244</c:v>
                </c:pt>
                <c:pt idx="9">
                  <c:v>601.64555949287183</c:v>
                </c:pt>
                <c:pt idx="10">
                  <c:v>585.00026019173697</c:v>
                </c:pt>
                <c:pt idx="11">
                  <c:v>471.98266610385986</c:v>
                </c:pt>
                <c:pt idx="12">
                  <c:v>464.71803133350772</c:v>
                </c:pt>
                <c:pt idx="13">
                  <c:v>435.0215150670308</c:v>
                </c:pt>
                <c:pt idx="14">
                  <c:v>289.2181796745067</c:v>
                </c:pt>
                <c:pt idx="15">
                  <c:v>391.15345003693636</c:v>
                </c:pt>
                <c:pt idx="16">
                  <c:v>344.27071441534878</c:v>
                </c:pt>
                <c:pt idx="17">
                  <c:v>356.02045705771712</c:v>
                </c:pt>
                <c:pt idx="18">
                  <c:v>707.37658689034015</c:v>
                </c:pt>
                <c:pt idx="19">
                  <c:v>308.04956397770792</c:v>
                </c:pt>
                <c:pt idx="20">
                  <c:v>43.246807735106231</c:v>
                </c:pt>
                <c:pt idx="21">
                  <c:v>201.94542887141995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F-A64A-A199-1456AB6E0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235631"/>
        <c:axId val="1217189039"/>
      </c:lineChart>
      <c:catAx>
        <c:axId val="12172356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17189039"/>
        <c:crosses val="autoZero"/>
        <c:auto val="1"/>
        <c:lblAlgn val="ctr"/>
        <c:lblOffset val="100"/>
        <c:noMultiLvlLbl val="0"/>
      </c:catAx>
      <c:valAx>
        <c:axId val="1217189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 NOK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1723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Avdrag</a:t>
            </a:r>
            <a:r>
              <a:rPr lang="nb-NO" baseline="0"/>
              <a:t> og gjeldskostnader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Gjeld!$B$3</c:f>
              <c:strCache>
                <c:ptCount val="1"/>
                <c:pt idx="0">
                  <c:v>Gjeldsandel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Gjeld!$C$2:$X$2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Gjeld!$C$3:$X$3</c:f>
              <c:numCache>
                <c:formatCode>0.00%</c:formatCode>
                <c:ptCount val="22"/>
                <c:pt idx="0" formatCode="0%">
                  <c:v>0.61</c:v>
                </c:pt>
                <c:pt idx="1">
                  <c:v>0.57499999999999996</c:v>
                </c:pt>
                <c:pt idx="2">
                  <c:v>0.54999999999999993</c:v>
                </c:pt>
                <c:pt idx="3">
                  <c:v>0.52499999999999991</c:v>
                </c:pt>
                <c:pt idx="4">
                  <c:v>0.49999999999999989</c:v>
                </c:pt>
                <c:pt idx="5">
                  <c:v>0.49999999999999989</c:v>
                </c:pt>
                <c:pt idx="6">
                  <c:v>0.49999999999999989</c:v>
                </c:pt>
                <c:pt idx="7">
                  <c:v>0.49999999999999989</c:v>
                </c:pt>
                <c:pt idx="8">
                  <c:v>0.49999999999999989</c:v>
                </c:pt>
                <c:pt idx="9">
                  <c:v>0.49999999999999989</c:v>
                </c:pt>
                <c:pt idx="10">
                  <c:v>0.49999999999999989</c:v>
                </c:pt>
                <c:pt idx="11">
                  <c:v>0.49999999999999989</c:v>
                </c:pt>
                <c:pt idx="12">
                  <c:v>0.49999999999999989</c:v>
                </c:pt>
                <c:pt idx="13">
                  <c:v>0.49999999999999989</c:v>
                </c:pt>
                <c:pt idx="14">
                  <c:v>0.49999999999999989</c:v>
                </c:pt>
                <c:pt idx="15">
                  <c:v>0.49999999999999989</c:v>
                </c:pt>
                <c:pt idx="16">
                  <c:v>0.49999999999999989</c:v>
                </c:pt>
                <c:pt idx="17">
                  <c:v>0.49999999999999989</c:v>
                </c:pt>
                <c:pt idx="18">
                  <c:v>0.49999999999999989</c:v>
                </c:pt>
                <c:pt idx="19">
                  <c:v>0.49999999999999989</c:v>
                </c:pt>
                <c:pt idx="20">
                  <c:v>0.49999999999999989</c:v>
                </c:pt>
                <c:pt idx="21">
                  <c:v>0.49999999999999989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FE-B449-9922-A02F6542C90E}"/>
            </c:ext>
          </c:extLst>
        </c:ser>
        <c:ser>
          <c:idx val="3"/>
          <c:order val="1"/>
          <c:tx>
            <c:strRef>
              <c:f>Gjeld!$B$6</c:f>
              <c:strCache>
                <c:ptCount val="1"/>
                <c:pt idx="0">
                  <c:v>Gjeldskostnad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Gjeld!$C$2:$X$2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Gjeld!$C$6:$X$6</c:f>
              <c:numCache>
                <c:formatCode>_("kr"* #,##0.00_);_("kr"* \(#,##0.00\);_("kr"* "-"??_);_(@_)</c:formatCode>
                <c:ptCount val="22"/>
                <c:pt idx="0" formatCode="#,##0">
                  <c:v>385.11574726915853</c:v>
                </c:pt>
                <c:pt idx="1">
                  <c:v>340.63100762560333</c:v>
                </c:pt>
                <c:pt idx="2">
                  <c:v>304.14524772680755</c:v>
                </c:pt>
                <c:pt idx="3">
                  <c:v>274.95933322578992</c:v>
                </c:pt>
                <c:pt idx="4">
                  <c:v>245.1858324672572</c:v>
                </c:pt>
                <c:pt idx="5">
                  <c:v>219.55051149387592</c:v>
                </c:pt>
                <c:pt idx="6">
                  <c:v>207.75283891370839</c:v>
                </c:pt>
                <c:pt idx="7">
                  <c:v>195.95516633354089</c:v>
                </c:pt>
                <c:pt idx="8">
                  <c:v>184.15749375337342</c:v>
                </c:pt>
                <c:pt idx="9">
                  <c:v>172.35982117320592</c:v>
                </c:pt>
                <c:pt idx="10">
                  <c:v>160.56214859303842</c:v>
                </c:pt>
                <c:pt idx="11">
                  <c:v>148.76447601287094</c:v>
                </c:pt>
                <c:pt idx="12">
                  <c:v>136.96680343270344</c:v>
                </c:pt>
                <c:pt idx="13">
                  <c:v>125.16913085253594</c:v>
                </c:pt>
                <c:pt idx="14">
                  <c:v>113.37145827236846</c:v>
                </c:pt>
                <c:pt idx="15">
                  <c:v>101.57378569220099</c:v>
                </c:pt>
                <c:pt idx="16">
                  <c:v>87.285625831083962</c:v>
                </c:pt>
                <c:pt idx="17">
                  <c:v>73.570115594360317</c:v>
                </c:pt>
                <c:pt idx="18">
                  <c:v>58.026530102764021</c:v>
                </c:pt>
                <c:pt idx="19">
                  <c:v>27.042569684845457</c:v>
                </c:pt>
                <c:pt idx="20">
                  <c:v>13.022976675747131</c:v>
                </c:pt>
                <c:pt idx="21">
                  <c:v>10.797889364770116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FE-B449-9922-A02F6542C90E}"/>
            </c:ext>
          </c:extLst>
        </c:ser>
        <c:ser>
          <c:idx val="4"/>
          <c:order val="2"/>
          <c:tx>
            <c:strRef>
              <c:f>Gjeld!$B$7</c:f>
              <c:strCache>
                <c:ptCount val="1"/>
                <c:pt idx="0">
                  <c:v>Avdrag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Gjeld!$C$2:$X$2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Gjeld!$C$7:$X$7</c:f>
              <c:numCache>
                <c:formatCode>#,##0</c:formatCode>
                <c:ptCount val="22"/>
                <c:pt idx="0">
                  <c:v>866.85258638988398</c:v>
                </c:pt>
                <c:pt idx="1">
                  <c:v>710.98034040654511</c:v>
                </c:pt>
                <c:pt idx="2">
                  <c:v>568.73178699218261</c:v>
                </c:pt>
                <c:pt idx="3">
                  <c:v>580.18179594211415</c:v>
                </c:pt>
                <c:pt idx="4">
                  <c:v>499.54308975999265</c:v>
                </c:pt>
                <c:pt idx="5">
                  <c:v>229.89553432130378</c:v>
                </c:pt>
                <c:pt idx="6">
                  <c:v>229.89553432130378</c:v>
                </c:pt>
                <c:pt idx="7">
                  <c:v>229.89553432130333</c:v>
                </c:pt>
                <c:pt idx="8">
                  <c:v>229.89553432130378</c:v>
                </c:pt>
                <c:pt idx="9">
                  <c:v>229.89553432130378</c:v>
                </c:pt>
                <c:pt idx="10">
                  <c:v>229.89553432130288</c:v>
                </c:pt>
                <c:pt idx="11">
                  <c:v>229.89553432130378</c:v>
                </c:pt>
                <c:pt idx="12">
                  <c:v>229.89553432130378</c:v>
                </c:pt>
                <c:pt idx="13">
                  <c:v>229.89553432130333</c:v>
                </c:pt>
                <c:pt idx="14">
                  <c:v>229.89553432130333</c:v>
                </c:pt>
                <c:pt idx="15">
                  <c:v>278.42645432130348</c:v>
                </c:pt>
                <c:pt idx="16">
                  <c:v>267.26750831019626</c:v>
                </c:pt>
                <c:pt idx="17">
                  <c:v>302.89032583142443</c:v>
                </c:pt>
                <c:pt idx="18">
                  <c:v>603.76943734154565</c:v>
                </c:pt>
                <c:pt idx="19">
                  <c:v>273.19302208911733</c:v>
                </c:pt>
                <c:pt idx="20">
                  <c:v>43.359199265161408</c:v>
                </c:pt>
                <c:pt idx="21">
                  <c:v>210.41324279749708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FE-B449-9922-A02F6542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748880"/>
        <c:axId val="533139760"/>
      </c:lineChart>
      <c:catAx>
        <c:axId val="532748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3139760"/>
        <c:crosses val="autoZero"/>
        <c:auto val="1"/>
        <c:lblAlgn val="ctr"/>
        <c:lblOffset val="100"/>
        <c:noMultiLvlLbl val="0"/>
      </c:catAx>
      <c:valAx>
        <c:axId val="53313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 NOK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274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'Opex og G og A'!$B$9</c:f>
              <c:strCache>
                <c:ptCount val="1"/>
                <c:pt idx="0">
                  <c:v>G og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'Opex og G og A'!$C$8:$X$8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'Opex og G og A'!$C$9:$X$9</c:f>
              <c:numCache>
                <c:formatCode>_("kr"* #,##0.00_);_("kr"* \(#,##0.00\);_("kr"* "-"??_);_(@_)</c:formatCode>
                <c:ptCount val="22"/>
                <c:pt idx="0">
                  <c:v>53.268191115599997</c:v>
                </c:pt>
                <c:pt idx="1">
                  <c:v>54.333554937911998</c:v>
                </c:pt>
                <c:pt idx="2">
                  <c:v>55.420226036670236</c:v>
                </c:pt>
                <c:pt idx="3">
                  <c:v>56.528630557403631</c:v>
                </c:pt>
                <c:pt idx="4">
                  <c:v>57.65920316855172</c:v>
                </c:pt>
                <c:pt idx="5">
                  <c:v>58.812387231922749</c:v>
                </c:pt>
                <c:pt idx="6">
                  <c:v>59.988634976561201</c:v>
                </c:pt>
                <c:pt idx="7">
                  <c:v>61.188407676092424</c:v>
                </c:pt>
                <c:pt idx="8">
                  <c:v>62.412175829614277</c:v>
                </c:pt>
                <c:pt idx="9">
                  <c:v>63.66041934620656</c:v>
                </c:pt>
                <c:pt idx="10">
                  <c:v>64.933627733130677</c:v>
                </c:pt>
                <c:pt idx="11">
                  <c:v>66.232300287793308</c:v>
                </c:pt>
                <c:pt idx="12">
                  <c:v>67.55694629354916</c:v>
                </c:pt>
                <c:pt idx="13">
                  <c:v>68.908085219420158</c:v>
                </c:pt>
                <c:pt idx="14">
                  <c:v>70.286246923808534</c:v>
                </c:pt>
                <c:pt idx="15">
                  <c:v>66.571116729264375</c:v>
                </c:pt>
                <c:pt idx="16">
                  <c:v>62.679266828168934</c:v>
                </c:pt>
                <c:pt idx="17">
                  <c:v>53.277376803943582</c:v>
                </c:pt>
                <c:pt idx="18">
                  <c:v>54.342924340022456</c:v>
                </c:pt>
                <c:pt idx="19">
                  <c:v>16.628934848046875</c:v>
                </c:pt>
                <c:pt idx="20">
                  <c:v>11.307675696671874</c:v>
                </c:pt>
                <c:pt idx="21">
                  <c:v>11.53382921060531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D-6343-A398-0DDE633F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691088"/>
        <c:axId val="204692816"/>
      </c:lineChart>
      <c:catAx>
        <c:axId val="204691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4692816"/>
        <c:crosses val="autoZero"/>
        <c:auto val="1"/>
        <c:lblAlgn val="ctr"/>
        <c:lblOffset val="100"/>
        <c:noMultiLvlLbl val="0"/>
      </c:catAx>
      <c:valAx>
        <c:axId val="20469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 NOK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469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OPEX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'Opex og G og A'!$B$5</c:f>
              <c:strCache>
                <c:ptCount val="1"/>
                <c:pt idx="0">
                  <c:v>OPEX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'Opex og G og A'!$C$2:$X$2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'Opex og G og A'!$C$5:$X$5</c:f>
              <c:numCache>
                <c:formatCode>_("kr"* #,##0.00_);_("kr"* \(#,##0.00\);_("kr"* "-"??_);_(@_)</c:formatCode>
                <c:ptCount val="22"/>
                <c:pt idx="0">
                  <c:v>423.57527066400002</c:v>
                </c:pt>
                <c:pt idx="1">
                  <c:v>451.98848410415997</c:v>
                </c:pt>
                <c:pt idx="2">
                  <c:v>461.02825378624323</c:v>
                </c:pt>
                <c:pt idx="3">
                  <c:v>470.24881886196806</c:v>
                </c:pt>
                <c:pt idx="4">
                  <c:v>479.6537952392074</c:v>
                </c:pt>
                <c:pt idx="5">
                  <c:v>489.2468711439916</c:v>
                </c:pt>
                <c:pt idx="6">
                  <c:v>499.03180856687135</c:v>
                </c:pt>
                <c:pt idx="7">
                  <c:v>509.01244473820884</c:v>
                </c:pt>
                <c:pt idx="8">
                  <c:v>519.19269363297292</c:v>
                </c:pt>
                <c:pt idx="9">
                  <c:v>529.57654750563256</c:v>
                </c:pt>
                <c:pt idx="10">
                  <c:v>540.16807845574499</c:v>
                </c:pt>
                <c:pt idx="11">
                  <c:v>550.97144002485993</c:v>
                </c:pt>
                <c:pt idx="12">
                  <c:v>561.9908688253571</c:v>
                </c:pt>
                <c:pt idx="13">
                  <c:v>573.23068620186439</c:v>
                </c:pt>
                <c:pt idx="14">
                  <c:v>584.69529992590151</c:v>
                </c:pt>
                <c:pt idx="15">
                  <c:v>560.60997113534518</c:v>
                </c:pt>
                <c:pt idx="16">
                  <c:v>535.32735107319604</c:v>
                </c:pt>
                <c:pt idx="17">
                  <c:v>471.58446634555389</c:v>
                </c:pt>
                <c:pt idx="18">
                  <c:v>481.01615567246489</c:v>
                </c:pt>
                <c:pt idx="19">
                  <c:v>154.94223374780404</c:v>
                </c:pt>
                <c:pt idx="20">
                  <c:v>105.36071894850676</c:v>
                </c:pt>
                <c:pt idx="21">
                  <c:v>107.4679333274769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24-1441-BA50-AE5080B5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2895007"/>
        <c:axId val="1542896735"/>
      </c:lineChart>
      <c:catAx>
        <c:axId val="1542895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42896735"/>
        <c:crosses val="autoZero"/>
        <c:auto val="1"/>
        <c:lblAlgn val="ctr"/>
        <c:lblOffset val="100"/>
        <c:noMultiLvlLbl val="0"/>
      </c:catAx>
      <c:valAx>
        <c:axId val="1542896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 NOK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42895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Likviditetsgrad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'Likviditetsgrad oppdatert'!$B$43</c:f>
              <c:strCache>
                <c:ptCount val="1"/>
                <c:pt idx="0">
                  <c:v>Okeanis</c:v>
                </c:pt>
              </c:strCache>
            </c:strRef>
          </c:tx>
          <c:spPr>
            <a:ln w="31750" cap="rnd">
              <a:solidFill>
                <a:srgbClr val="8BD3C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'Likviditetsgrad oppdatert'!$C$41:$F$42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'Likviditetsgrad oppdatert'!$C$43:$F$43</c:f>
              <c:numCache>
                <c:formatCode>0.00</c:formatCode>
                <c:ptCount val="4"/>
                <c:pt idx="0">
                  <c:v>0.80482777709107467</c:v>
                </c:pt>
                <c:pt idx="1">
                  <c:v>0.41938852439183438</c:v>
                </c:pt>
                <c:pt idx="2">
                  <c:v>0.47152837543842746</c:v>
                </c:pt>
                <c:pt idx="3">
                  <c:v>0.81201216082617489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BA-4424-8278-3FC601CD3C69}"/>
            </c:ext>
          </c:extLst>
        </c:ser>
        <c:ser>
          <c:idx val="1"/>
          <c:order val="1"/>
          <c:tx>
            <c:strRef>
              <c:f>'Likviditetsgrad oppdatert'!$B$44</c:f>
              <c:strCache>
                <c:ptCount val="1"/>
                <c:pt idx="0">
                  <c:v>Bransje</c:v>
                </c:pt>
              </c:strCache>
            </c:strRef>
          </c:tx>
          <c:spPr>
            <a:ln w="31750" cap="rnd">
              <a:solidFill>
                <a:srgbClr val="FFEE6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'Likviditetsgrad oppdatert'!$C$41:$F$42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'Likviditetsgrad oppdatert'!$C$44:$F$44</c:f>
              <c:numCache>
                <c:formatCode>0.00</c:formatCode>
                <c:ptCount val="4"/>
                <c:pt idx="0">
                  <c:v>1.5031745185033447</c:v>
                </c:pt>
                <c:pt idx="1">
                  <c:v>1.2106004236620371</c:v>
                </c:pt>
                <c:pt idx="2">
                  <c:v>1.5394580330757404</c:v>
                </c:pt>
                <c:pt idx="3">
                  <c:v>1.306178775447508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A-4424-8278-3FC601CD3C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5256911"/>
        <c:axId val="1085257391"/>
      </c:lineChart>
      <c:catAx>
        <c:axId val="1085256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85257391"/>
        <c:crosses val="autoZero"/>
        <c:auto val="1"/>
        <c:lblAlgn val="ctr"/>
        <c:lblOffset val="100"/>
        <c:noMultiLvlLbl val="0"/>
      </c:catAx>
      <c:valAx>
        <c:axId val="10852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85256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Budsjettert TCE Scenario</a:t>
            </a:r>
            <a:r>
              <a:rPr lang="nb-NO" baseline="0"/>
              <a:t> 2 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'Estimert dagrate steady state'!$B$50</c:f>
              <c:strCache>
                <c:ptCount val="1"/>
                <c:pt idx="0">
                  <c:v>Estimert dagrate VLCC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'Estimert dagrate steady state'!$C$49:$X$49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'Estimert dagrate steady state'!$C$50:$X$50</c:f>
              <c:numCache>
                <c:formatCode>General</c:formatCode>
                <c:ptCount val="22"/>
                <c:pt idx="0">
                  <c:v>49500</c:v>
                </c:pt>
                <c:pt idx="1">
                  <c:v>49500</c:v>
                </c:pt>
                <c:pt idx="2">
                  <c:v>49500</c:v>
                </c:pt>
                <c:pt idx="3" formatCode="_(&quot;kr&quot;* #,##0.00_);_(&quot;kr&quot;* \(#,##0.00\);_(&quot;kr&quot;* &quot;-&quot;??_);_(@_)">
                  <c:v>42221.387443631254</c:v>
                </c:pt>
                <c:pt idx="4" formatCode="_(&quot;kr&quot;* #,##0.00_);_(&quot;kr&quot;* \(#,##0.00\);_(&quot;kr&quot;* &quot;-&quot;??_);_(@_)">
                  <c:v>41493.432487706581</c:v>
                </c:pt>
                <c:pt idx="5" formatCode="_(&quot;kr&quot;* #,##0.00_);_(&quot;kr&quot;* \(#,##0.00\);_(&quot;kr&quot;* &quot;-&quot;??_);_(@_)">
                  <c:v>40765.477531781908</c:v>
                </c:pt>
                <c:pt idx="6" formatCode="_(&quot;kr&quot;* #,##0.00_);_(&quot;kr&quot;* \(#,##0.00\);_(&quot;kr&quot;* &quot;-&quot;??_);_(@_)">
                  <c:v>40037.522575857234</c:v>
                </c:pt>
                <c:pt idx="7" formatCode="_(&quot;kr&quot;* #,##0.00_);_(&quot;kr&quot;* \(#,##0.00\);_(&quot;kr&quot;* &quot;-&quot;??_);_(@_)">
                  <c:v>39309.567619932553</c:v>
                </c:pt>
                <c:pt idx="8" formatCode="_(&quot;kr&quot;* #,##0.00_);_(&quot;kr&quot;* \(#,##0.00\);_(&quot;kr&quot;* &quot;-&quot;??_);_(@_)">
                  <c:v>38581.612664007873</c:v>
                </c:pt>
                <c:pt idx="9" formatCode="_(&quot;kr&quot;* #,##0.00_);_(&quot;kr&quot;* \(#,##0.00\);_(&quot;kr&quot;* &quot;-&quot;??_);_(@_)">
                  <c:v>37853.657708083199</c:v>
                </c:pt>
                <c:pt idx="10" formatCode="_(&quot;kr&quot;* #,##0.00_);_(&quot;kr&quot;* \(#,##0.00\);_(&quot;kr&quot;* &quot;-&quot;??_);_(@_)">
                  <c:v>37125.702752158519</c:v>
                </c:pt>
                <c:pt idx="11" formatCode="_(&quot;kr&quot;* #,##0.00_);_(&quot;kr&quot;* \(#,##0.00\);_(&quot;kr&quot;* &quot;-&quot;??_);_(@_)">
                  <c:v>36397.747796233845</c:v>
                </c:pt>
                <c:pt idx="12" formatCode="_(&quot;kr&quot;* #,##0.00_);_(&quot;kr&quot;* \(#,##0.00\);_(&quot;kr&quot;* &quot;-&quot;??_);_(@_)">
                  <c:v>35669.792840309165</c:v>
                </c:pt>
                <c:pt idx="13" formatCode="_(&quot;kr&quot;* #,##0.00_);_(&quot;kr&quot;* \(#,##0.00\);_(&quot;kr&quot;* &quot;-&quot;??_);_(@_)">
                  <c:v>34941.837884384484</c:v>
                </c:pt>
                <c:pt idx="14" formatCode="_(&quot;kr&quot;* #,##0.00_);_(&quot;kr&quot;* \(#,##0.00\);_(&quot;kr&quot;* &quot;-&quot;??_);_(@_)">
                  <c:v>34213.882928459811</c:v>
                </c:pt>
                <c:pt idx="15" formatCode="_(&quot;kr&quot;* #,##0.00_);_(&quot;kr&quot;* \(#,##0.00\);_(&quot;kr&quot;* &quot;-&quot;??_);_(@_)">
                  <c:v>33485.927972535137</c:v>
                </c:pt>
                <c:pt idx="16" formatCode="_(&quot;kr&quot;* #,##0.00_);_(&quot;kr&quot;* \(#,##0.00\);_(&quot;kr&quot;* &quot;-&quot;??_);_(@_)">
                  <c:v>32757.973016610453</c:v>
                </c:pt>
                <c:pt idx="17" formatCode="_(&quot;kr&quot;* #,##0.00_);_(&quot;kr&quot;* \(#,##0.00\);_(&quot;kr&quot;* &quot;-&quot;??_);_(@_)">
                  <c:v>32030.018060685783</c:v>
                </c:pt>
                <c:pt idx="18" formatCode="_(&quot;kr&quot;* #,##0.00_);_(&quot;kr&quot;* \(#,##0.00\);_(&quot;kr&quot;* &quot;-&quot;??_);_(@_)">
                  <c:v>31302.063104761102</c:v>
                </c:pt>
                <c:pt idx="19" formatCode="_(&quot;kr&quot;* #,##0.00_);_(&quot;kr&quot;* \(#,##0.00\);_(&quot;kr&quot;* &quot;-&quot;??_);_(@_)">
                  <c:v>30574.108148836425</c:v>
                </c:pt>
                <c:pt idx="20" formatCode="_(&quot;kr&quot;* #,##0.00_);_(&quot;kr&quot;* \(#,##0.00\);_(&quot;kr&quot;* &quot;-&quot;??_);_(@_)">
                  <c:v>29846.153192911752</c:v>
                </c:pt>
                <c:pt idx="21" formatCode="_(&quot;kr&quot;* #,##0.00_);_(&quot;kr&quot;* \(#,##0.00\);_(&quot;kr&quot;* &quot;-&quot;??_);_(@_)">
                  <c:v>29118.198236987075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7-CB47-9EA8-62313CE90ED0}"/>
            </c:ext>
          </c:extLst>
        </c:ser>
        <c:ser>
          <c:idx val="1"/>
          <c:order val="1"/>
          <c:tx>
            <c:strRef>
              <c:f>'Estimert dagrate steady state'!$B$51</c:f>
              <c:strCache>
                <c:ptCount val="1"/>
                <c:pt idx="0">
                  <c:v>Estimert dagrate Suez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'Estimert dagrate steady state'!$C$49:$X$49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'Estimert dagrate steady state'!$C$51:$X$51</c:f>
              <c:numCache>
                <c:formatCode>General</c:formatCode>
                <c:ptCount val="22"/>
                <c:pt idx="0">
                  <c:v>43000</c:v>
                </c:pt>
                <c:pt idx="1">
                  <c:v>43000</c:v>
                </c:pt>
                <c:pt idx="2">
                  <c:v>43000</c:v>
                </c:pt>
                <c:pt idx="3" formatCode="_(&quot;kr&quot;* #,##0.00_);_(&quot;kr&quot;* \(#,##0.00\);_(&quot;kr&quot;* &quot;-&quot;??_);_(@_)">
                  <c:v>32394.561979158821</c:v>
                </c:pt>
                <c:pt idx="4" formatCode="_(&quot;kr&quot;* #,##0.00_);_(&quot;kr&quot;* \(#,##0.00\);_(&quot;kr&quot;* &quot;-&quot;??_);_(@_)">
                  <c:v>31836.035048483667</c:v>
                </c:pt>
                <c:pt idx="5" formatCode="_(&quot;kr&quot;* #,##0.00_);_(&quot;kr&quot;* \(#,##0.00\);_(&quot;kr&quot;* &quot;-&quot;??_);_(@_)">
                  <c:v>31277.50811780852</c:v>
                </c:pt>
                <c:pt idx="6" formatCode="_(&quot;kr&quot;* #,##0.00_);_(&quot;kr&quot;* \(#,##0.00\);_(&quot;kr&quot;* &quot;-&quot;??_);_(@_)">
                  <c:v>30718.98118713337</c:v>
                </c:pt>
                <c:pt idx="7" formatCode="_(&quot;kr&quot;* #,##0.00_);_(&quot;kr&quot;* \(#,##0.00\);_(&quot;kr&quot;* &quot;-&quot;??_);_(@_)">
                  <c:v>30160.454256458219</c:v>
                </c:pt>
                <c:pt idx="8" formatCode="_(&quot;kr&quot;* #,##0.00_);_(&quot;kr&quot;* \(#,##0.00\);_(&quot;kr&quot;* &quot;-&quot;??_);_(@_)">
                  <c:v>29601.927325783065</c:v>
                </c:pt>
                <c:pt idx="9" formatCode="_(&quot;kr&quot;* #,##0.00_);_(&quot;kr&quot;* \(#,##0.00\);_(&quot;kr&quot;* &quot;-&quot;??_);_(@_)">
                  <c:v>29043.400395107914</c:v>
                </c:pt>
                <c:pt idx="10" formatCode="_(&quot;kr&quot;* #,##0.00_);_(&quot;kr&quot;* \(#,##0.00\);_(&quot;kr&quot;* &quot;-&quot;??_);_(@_)">
                  <c:v>28484.87346443276</c:v>
                </c:pt>
                <c:pt idx="11" formatCode="_(&quot;kr&quot;* #,##0.00_);_(&quot;kr&quot;* \(#,##0.00\);_(&quot;kr&quot;* &quot;-&quot;??_);_(@_)">
                  <c:v>27926.346533757609</c:v>
                </c:pt>
                <c:pt idx="12" formatCode="_(&quot;kr&quot;* #,##0.00_);_(&quot;kr&quot;* \(#,##0.00\);_(&quot;kr&quot;* &quot;-&quot;??_);_(@_)">
                  <c:v>27367.819603082455</c:v>
                </c:pt>
                <c:pt idx="13" formatCode="_(&quot;kr&quot;* #,##0.00_);_(&quot;kr&quot;* \(#,##0.00\);_(&quot;kr&quot;* &quot;-&quot;??_);_(@_)">
                  <c:v>26809.292672407304</c:v>
                </c:pt>
                <c:pt idx="14" formatCode="_(&quot;kr&quot;* #,##0.00_);_(&quot;kr&quot;* \(#,##0.00\);_(&quot;kr&quot;* &quot;-&quot;??_);_(@_)">
                  <c:v>26250.76574173215</c:v>
                </c:pt>
                <c:pt idx="15" formatCode="_(&quot;kr&quot;* #,##0.00_);_(&quot;kr&quot;* \(#,##0.00\);_(&quot;kr&quot;* &quot;-&quot;??_);_(@_)">
                  <c:v>25692.238811056999</c:v>
                </c:pt>
                <c:pt idx="16" formatCode="_(&quot;kr&quot;* #,##0.00_);_(&quot;kr&quot;* \(#,##0.00\);_(&quot;kr&quot;* &quot;-&quot;??_);_(@_)">
                  <c:v>25133.711880381848</c:v>
                </c:pt>
                <c:pt idx="17" formatCode="_(&quot;kr&quot;* #,##0.00_);_(&quot;kr&quot;* \(#,##0.00\);_(&quot;kr&quot;* &quot;-&quot;??_);_(@_)">
                  <c:v>24575.184949706694</c:v>
                </c:pt>
                <c:pt idx="18" formatCode="_(&quot;kr&quot;* #,##0.00_);_(&quot;kr&quot;* \(#,##0.00\);_(&quot;kr&quot;* &quot;-&quot;??_);_(@_)">
                  <c:v>24016.658019031544</c:v>
                </c:pt>
                <c:pt idx="19" formatCode="_(&quot;kr&quot;* #,##0.00_);_(&quot;kr&quot;* \(#,##0.00\);_(&quot;kr&quot;* &quot;-&quot;??_);_(@_)">
                  <c:v>23458.131088356389</c:v>
                </c:pt>
                <c:pt idx="20" formatCode="_(&quot;kr&quot;* #,##0.00_);_(&quot;kr&quot;* \(#,##0.00\);_(&quot;kr&quot;* &quot;-&quot;??_);_(@_)">
                  <c:v>22899.604157681242</c:v>
                </c:pt>
                <c:pt idx="21" formatCode="_(&quot;kr&quot;* #,##0.00_);_(&quot;kr&quot;* \(#,##0.00\);_(&quot;kr&quot;* &quot;-&quot;??_);_(@_)">
                  <c:v>22341.077227006088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7-CB47-9EA8-62313CE90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6525567"/>
        <c:axId val="1216382207"/>
      </c:lineChart>
      <c:catAx>
        <c:axId val="1216525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16382207"/>
        <c:crosses val="autoZero"/>
        <c:auto val="1"/>
        <c:lblAlgn val="ctr"/>
        <c:lblOffset val="100"/>
        <c:noMultiLvlLbl val="0"/>
      </c:catAx>
      <c:valAx>
        <c:axId val="121638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16525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Budsjettert</a:t>
            </a:r>
            <a:r>
              <a:rPr lang="nb-NO" baseline="0"/>
              <a:t> TCE scenario 2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'Estimert dagrate steady state'!$B$50</c:f>
              <c:strCache>
                <c:ptCount val="1"/>
                <c:pt idx="0">
                  <c:v>Estimert dagrate VLCC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'Estimert dagrate steady state'!$C$49:$X$49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'Estimert dagrate steady state'!$C$50:$X$50</c:f>
              <c:numCache>
                <c:formatCode>General</c:formatCode>
                <c:ptCount val="22"/>
                <c:pt idx="0">
                  <c:v>49500</c:v>
                </c:pt>
                <c:pt idx="1">
                  <c:v>49500</c:v>
                </c:pt>
                <c:pt idx="2">
                  <c:v>49500</c:v>
                </c:pt>
                <c:pt idx="3" formatCode="_(&quot;kr&quot;* #,##0.00_);_(&quot;kr&quot;* \(#,##0.00\);_(&quot;kr&quot;* &quot;-&quot;??_);_(@_)">
                  <c:v>42221.387443631254</c:v>
                </c:pt>
                <c:pt idx="4" formatCode="_(&quot;kr&quot;* #,##0.00_);_(&quot;kr&quot;* \(#,##0.00\);_(&quot;kr&quot;* &quot;-&quot;??_);_(@_)">
                  <c:v>41493.432487706581</c:v>
                </c:pt>
                <c:pt idx="5" formatCode="_(&quot;kr&quot;* #,##0.00_);_(&quot;kr&quot;* \(#,##0.00\);_(&quot;kr&quot;* &quot;-&quot;??_);_(@_)">
                  <c:v>40765.477531781908</c:v>
                </c:pt>
                <c:pt idx="6" formatCode="_(&quot;kr&quot;* #,##0.00_);_(&quot;kr&quot;* \(#,##0.00\);_(&quot;kr&quot;* &quot;-&quot;??_);_(@_)">
                  <c:v>40037.522575857234</c:v>
                </c:pt>
                <c:pt idx="7" formatCode="_(&quot;kr&quot;* #,##0.00_);_(&quot;kr&quot;* \(#,##0.00\);_(&quot;kr&quot;* &quot;-&quot;??_);_(@_)">
                  <c:v>39309.567619932553</c:v>
                </c:pt>
                <c:pt idx="8" formatCode="_(&quot;kr&quot;* #,##0.00_);_(&quot;kr&quot;* \(#,##0.00\);_(&quot;kr&quot;* &quot;-&quot;??_);_(@_)">
                  <c:v>38581.612664007873</c:v>
                </c:pt>
                <c:pt idx="9" formatCode="_(&quot;kr&quot;* #,##0.00_);_(&quot;kr&quot;* \(#,##0.00\);_(&quot;kr&quot;* &quot;-&quot;??_);_(@_)">
                  <c:v>37853.657708083199</c:v>
                </c:pt>
                <c:pt idx="10" formatCode="_(&quot;kr&quot;* #,##0.00_);_(&quot;kr&quot;* \(#,##0.00\);_(&quot;kr&quot;* &quot;-&quot;??_);_(@_)">
                  <c:v>37125.702752158519</c:v>
                </c:pt>
                <c:pt idx="11" formatCode="_(&quot;kr&quot;* #,##0.00_);_(&quot;kr&quot;* \(#,##0.00\);_(&quot;kr&quot;* &quot;-&quot;??_);_(@_)">
                  <c:v>36397.747796233845</c:v>
                </c:pt>
                <c:pt idx="12" formatCode="_(&quot;kr&quot;* #,##0.00_);_(&quot;kr&quot;* \(#,##0.00\);_(&quot;kr&quot;* &quot;-&quot;??_);_(@_)">
                  <c:v>35669.792840309165</c:v>
                </c:pt>
                <c:pt idx="13" formatCode="_(&quot;kr&quot;* #,##0.00_);_(&quot;kr&quot;* \(#,##0.00\);_(&quot;kr&quot;* &quot;-&quot;??_);_(@_)">
                  <c:v>34941.837884384484</c:v>
                </c:pt>
                <c:pt idx="14" formatCode="_(&quot;kr&quot;* #,##0.00_);_(&quot;kr&quot;* \(#,##0.00\);_(&quot;kr&quot;* &quot;-&quot;??_);_(@_)">
                  <c:v>34213.882928459811</c:v>
                </c:pt>
                <c:pt idx="15" formatCode="_(&quot;kr&quot;* #,##0.00_);_(&quot;kr&quot;* \(#,##0.00\);_(&quot;kr&quot;* &quot;-&quot;??_);_(@_)">
                  <c:v>33485.927972535137</c:v>
                </c:pt>
                <c:pt idx="16" formatCode="_(&quot;kr&quot;* #,##0.00_);_(&quot;kr&quot;* \(#,##0.00\);_(&quot;kr&quot;* &quot;-&quot;??_);_(@_)">
                  <c:v>32757.973016610453</c:v>
                </c:pt>
                <c:pt idx="17" formatCode="_(&quot;kr&quot;* #,##0.00_);_(&quot;kr&quot;* \(#,##0.00\);_(&quot;kr&quot;* &quot;-&quot;??_);_(@_)">
                  <c:v>32030.018060685783</c:v>
                </c:pt>
                <c:pt idx="18" formatCode="_(&quot;kr&quot;* #,##0.00_);_(&quot;kr&quot;* \(#,##0.00\);_(&quot;kr&quot;* &quot;-&quot;??_);_(@_)">
                  <c:v>31302.063104761102</c:v>
                </c:pt>
                <c:pt idx="19" formatCode="_(&quot;kr&quot;* #,##0.00_);_(&quot;kr&quot;* \(#,##0.00\);_(&quot;kr&quot;* &quot;-&quot;??_);_(@_)">
                  <c:v>30574.108148836425</c:v>
                </c:pt>
                <c:pt idx="20" formatCode="_(&quot;kr&quot;* #,##0.00_);_(&quot;kr&quot;* \(#,##0.00\);_(&quot;kr&quot;* &quot;-&quot;??_);_(@_)">
                  <c:v>29846.153192911752</c:v>
                </c:pt>
                <c:pt idx="21" formatCode="_(&quot;kr&quot;* #,##0.00_);_(&quot;kr&quot;* \(#,##0.00\);_(&quot;kr&quot;* &quot;-&quot;??_);_(@_)">
                  <c:v>29118.198236987075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46-6946-90EE-96E824F746FC}"/>
            </c:ext>
          </c:extLst>
        </c:ser>
        <c:ser>
          <c:idx val="1"/>
          <c:order val="1"/>
          <c:tx>
            <c:strRef>
              <c:f>'Estimert dagrate steady state'!$B$51</c:f>
              <c:strCache>
                <c:ptCount val="1"/>
                <c:pt idx="0">
                  <c:v>Estimert dagrate Suez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'Estimert dagrate steady state'!$C$49:$X$49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'Estimert dagrate steady state'!$C$51:$X$51</c:f>
              <c:numCache>
                <c:formatCode>General</c:formatCode>
                <c:ptCount val="22"/>
                <c:pt idx="0">
                  <c:v>43000</c:v>
                </c:pt>
                <c:pt idx="1">
                  <c:v>43000</c:v>
                </c:pt>
                <c:pt idx="2">
                  <c:v>43000</c:v>
                </c:pt>
                <c:pt idx="3" formatCode="_(&quot;kr&quot;* #,##0.00_);_(&quot;kr&quot;* \(#,##0.00\);_(&quot;kr&quot;* &quot;-&quot;??_);_(@_)">
                  <c:v>32394.561979158821</c:v>
                </c:pt>
                <c:pt idx="4" formatCode="_(&quot;kr&quot;* #,##0.00_);_(&quot;kr&quot;* \(#,##0.00\);_(&quot;kr&quot;* &quot;-&quot;??_);_(@_)">
                  <c:v>31836.035048483667</c:v>
                </c:pt>
                <c:pt idx="5" formatCode="_(&quot;kr&quot;* #,##0.00_);_(&quot;kr&quot;* \(#,##0.00\);_(&quot;kr&quot;* &quot;-&quot;??_);_(@_)">
                  <c:v>31277.50811780852</c:v>
                </c:pt>
                <c:pt idx="6" formatCode="_(&quot;kr&quot;* #,##0.00_);_(&quot;kr&quot;* \(#,##0.00\);_(&quot;kr&quot;* &quot;-&quot;??_);_(@_)">
                  <c:v>30718.98118713337</c:v>
                </c:pt>
                <c:pt idx="7" formatCode="_(&quot;kr&quot;* #,##0.00_);_(&quot;kr&quot;* \(#,##0.00\);_(&quot;kr&quot;* &quot;-&quot;??_);_(@_)">
                  <c:v>30160.454256458219</c:v>
                </c:pt>
                <c:pt idx="8" formatCode="_(&quot;kr&quot;* #,##0.00_);_(&quot;kr&quot;* \(#,##0.00\);_(&quot;kr&quot;* &quot;-&quot;??_);_(@_)">
                  <c:v>29601.927325783065</c:v>
                </c:pt>
                <c:pt idx="9" formatCode="_(&quot;kr&quot;* #,##0.00_);_(&quot;kr&quot;* \(#,##0.00\);_(&quot;kr&quot;* &quot;-&quot;??_);_(@_)">
                  <c:v>29043.400395107914</c:v>
                </c:pt>
                <c:pt idx="10" formatCode="_(&quot;kr&quot;* #,##0.00_);_(&quot;kr&quot;* \(#,##0.00\);_(&quot;kr&quot;* &quot;-&quot;??_);_(@_)">
                  <c:v>28484.87346443276</c:v>
                </c:pt>
                <c:pt idx="11" formatCode="_(&quot;kr&quot;* #,##0.00_);_(&quot;kr&quot;* \(#,##0.00\);_(&quot;kr&quot;* &quot;-&quot;??_);_(@_)">
                  <c:v>27926.346533757609</c:v>
                </c:pt>
                <c:pt idx="12" formatCode="_(&quot;kr&quot;* #,##0.00_);_(&quot;kr&quot;* \(#,##0.00\);_(&quot;kr&quot;* &quot;-&quot;??_);_(@_)">
                  <c:v>27367.819603082455</c:v>
                </c:pt>
                <c:pt idx="13" formatCode="_(&quot;kr&quot;* #,##0.00_);_(&quot;kr&quot;* \(#,##0.00\);_(&quot;kr&quot;* &quot;-&quot;??_);_(@_)">
                  <c:v>26809.292672407304</c:v>
                </c:pt>
                <c:pt idx="14" formatCode="_(&quot;kr&quot;* #,##0.00_);_(&quot;kr&quot;* \(#,##0.00\);_(&quot;kr&quot;* &quot;-&quot;??_);_(@_)">
                  <c:v>26250.76574173215</c:v>
                </c:pt>
                <c:pt idx="15" formatCode="_(&quot;kr&quot;* #,##0.00_);_(&quot;kr&quot;* \(#,##0.00\);_(&quot;kr&quot;* &quot;-&quot;??_);_(@_)">
                  <c:v>25692.238811056999</c:v>
                </c:pt>
                <c:pt idx="16" formatCode="_(&quot;kr&quot;* #,##0.00_);_(&quot;kr&quot;* \(#,##0.00\);_(&quot;kr&quot;* &quot;-&quot;??_);_(@_)">
                  <c:v>25133.711880381848</c:v>
                </c:pt>
                <c:pt idx="17" formatCode="_(&quot;kr&quot;* #,##0.00_);_(&quot;kr&quot;* \(#,##0.00\);_(&quot;kr&quot;* &quot;-&quot;??_);_(@_)">
                  <c:v>24575.184949706694</c:v>
                </c:pt>
                <c:pt idx="18" formatCode="_(&quot;kr&quot;* #,##0.00_);_(&quot;kr&quot;* \(#,##0.00\);_(&quot;kr&quot;* &quot;-&quot;??_);_(@_)">
                  <c:v>24016.658019031544</c:v>
                </c:pt>
                <c:pt idx="19" formatCode="_(&quot;kr&quot;* #,##0.00_);_(&quot;kr&quot;* \(#,##0.00\);_(&quot;kr&quot;* &quot;-&quot;??_);_(@_)">
                  <c:v>23458.131088356389</c:v>
                </c:pt>
                <c:pt idx="20" formatCode="_(&quot;kr&quot;* #,##0.00_);_(&quot;kr&quot;* \(#,##0.00\);_(&quot;kr&quot;* &quot;-&quot;??_);_(@_)">
                  <c:v>22899.604157681242</c:v>
                </c:pt>
                <c:pt idx="21" formatCode="_(&quot;kr&quot;* #,##0.00_);_(&quot;kr&quot;* \(#,##0.00\);_(&quot;kr&quot;* &quot;-&quot;??_);_(@_)">
                  <c:v>22341.077227006088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6-6946-90EE-96E824F74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670016"/>
        <c:axId val="288671744"/>
      </c:lineChart>
      <c:catAx>
        <c:axId val="28867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8671744"/>
        <c:crosses val="autoZero"/>
        <c:auto val="1"/>
        <c:lblAlgn val="ctr"/>
        <c:lblOffset val="100"/>
        <c:noMultiLvlLbl val="0"/>
      </c:catAx>
      <c:valAx>
        <c:axId val="28867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867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'Kladd TCE'!$S$41</c:f>
              <c:strCache>
                <c:ptCount val="1"/>
                <c:pt idx="0">
                  <c:v>Skrap verdi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'Kladd TCE'!$T$40:$Y$40</c:f>
              <c:numCache>
                <c:formatCode>General</c:formatCode>
                <c:ptCount val="6"/>
                <c:pt idx="0">
                  <c:v>2039</c:v>
                </c:pt>
                <c:pt idx="1">
                  <c:v>2040</c:v>
                </c:pt>
                <c:pt idx="2">
                  <c:v>2041</c:v>
                </c:pt>
                <c:pt idx="3">
                  <c:v>2042</c:v>
                </c:pt>
                <c:pt idx="4">
                  <c:v>2043</c:v>
                </c:pt>
                <c:pt idx="5">
                  <c:v>2044</c:v>
                </c:pt>
              </c:numCache>
            </c:numRef>
          </c:cat>
          <c:val>
            <c:numRef>
              <c:f>'Kladd TCE'!$T$41:$Y$41</c:f>
              <c:numCache>
                <c:formatCode>General</c:formatCode>
                <c:ptCount val="6"/>
                <c:pt idx="0">
                  <c:v>90.712000000000003</c:v>
                </c:pt>
                <c:pt idx="1">
                  <c:v>90.712000000000003</c:v>
                </c:pt>
                <c:pt idx="2">
                  <c:v>181.42400000000001</c:v>
                </c:pt>
                <c:pt idx="3">
                  <c:v>788.8</c:v>
                </c:pt>
                <c:pt idx="4">
                  <c:v>248.47200000000001</c:v>
                </c:pt>
                <c:pt idx="5">
                  <c:v>315.52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C-E54D-AA57-233D2E126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843440"/>
        <c:axId val="684087056"/>
      </c:barChart>
      <c:catAx>
        <c:axId val="22084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087056"/>
        <c:crosses val="autoZero"/>
        <c:auto val="1"/>
        <c:lblAlgn val="ctr"/>
        <c:lblOffset val="100"/>
        <c:noMultiLvlLbl val="0"/>
      </c:catAx>
      <c:valAx>
        <c:axId val="68408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NOK Million</a:t>
                </a:r>
              </a:p>
            </c:rich>
          </c:tx>
          <c:layout>
            <c:manualLayout>
              <c:xMode val="edge"/>
              <c:yMode val="edge"/>
              <c:x val="1.4457832011091548E-2"/>
              <c:y val="0.416342254908342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2084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renter</a:t>
            </a:r>
            <a:r>
              <a:rPr lang="nb-NO" baseline="0"/>
              <a:t> og avdrags effekt på kontantstrøm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'Kladd TCE'!$C$54</c:f>
              <c:strCache>
                <c:ptCount val="1"/>
                <c:pt idx="0">
                  <c:v>avdrag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'Kladd TCE'!$D$53:$O$53</c:f>
              <c:numCache>
                <c:formatCode>General</c:formatCode>
                <c:ptCount val="1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</c:numCache>
            </c:numRef>
          </c:cat>
          <c:val>
            <c:numRef>
              <c:f>'Kladd TCE'!$D$54:$O$54</c:f>
              <c:numCache>
                <c:formatCode>"kr"\ #\ ##0.00</c:formatCode>
                <c:ptCount val="12"/>
                <c:pt idx="0">
                  <c:v>485.74238266666669</c:v>
                </c:pt>
                <c:pt idx="1">
                  <c:v>485.74238266666669</c:v>
                </c:pt>
                <c:pt idx="2">
                  <c:v>485.74238266666669</c:v>
                </c:pt>
                <c:pt idx="3">
                  <c:v>485.74238266666669</c:v>
                </c:pt>
                <c:pt idx="4">
                  <c:v>485.74238266666669</c:v>
                </c:pt>
                <c:pt idx="5">
                  <c:v>485.74238266666669</c:v>
                </c:pt>
                <c:pt idx="6">
                  <c:v>485.74238266666669</c:v>
                </c:pt>
                <c:pt idx="7">
                  <c:v>485.74238266666669</c:v>
                </c:pt>
                <c:pt idx="8">
                  <c:v>485.74238266666669</c:v>
                </c:pt>
                <c:pt idx="9">
                  <c:v>485.74238266666669</c:v>
                </c:pt>
                <c:pt idx="10">
                  <c:v>485.74238266666669</c:v>
                </c:pt>
                <c:pt idx="11">
                  <c:v>485.74238266666669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F1-8B44-B490-B4ECA7D1D40E}"/>
            </c:ext>
          </c:extLst>
        </c:ser>
        <c:ser>
          <c:idx val="1"/>
          <c:order val="1"/>
          <c:tx>
            <c:strRef>
              <c:f>'Kladd TCE'!$C$55</c:f>
              <c:strCache>
                <c:ptCount val="1"/>
                <c:pt idx="0">
                  <c:v>rentekostnad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'Kladd TCE'!$D$53:$O$53</c:f>
              <c:numCache>
                <c:formatCode>General</c:formatCode>
                <c:ptCount val="1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</c:numCache>
            </c:numRef>
          </c:cat>
          <c:val>
            <c:numRef>
              <c:f>'Kladd TCE'!$D$55:$O$55</c:f>
              <c:numCache>
                <c:formatCode>"kr"\ #\ 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F1-8B44-B490-B4ECA7D1D40E}"/>
            </c:ext>
          </c:extLst>
        </c:ser>
        <c:ser>
          <c:idx val="2"/>
          <c:order val="2"/>
          <c:tx>
            <c:strRef>
              <c:f>'Kladd TCE'!$C$56</c:f>
              <c:strCache>
                <c:ptCount val="1"/>
                <c:pt idx="0">
                  <c:v>effekt på kontantstrøm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'Kladd TCE'!$D$53:$O$53</c:f>
              <c:numCache>
                <c:formatCode>General</c:formatCode>
                <c:ptCount val="1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</c:numCache>
            </c:numRef>
          </c:cat>
          <c:val>
            <c:numRef>
              <c:f>'Kladd TCE'!$D$56:$O$56</c:f>
              <c:numCache>
                <c:formatCode>"kr"\ #\ ##0.00</c:formatCode>
                <c:ptCount val="12"/>
                <c:pt idx="0">
                  <c:v>485.74238266666669</c:v>
                </c:pt>
                <c:pt idx="1">
                  <c:v>485.74238266666669</c:v>
                </c:pt>
                <c:pt idx="2">
                  <c:v>485.74238266666669</c:v>
                </c:pt>
                <c:pt idx="3">
                  <c:v>485.74238266666669</c:v>
                </c:pt>
                <c:pt idx="4">
                  <c:v>485.74238266666669</c:v>
                </c:pt>
                <c:pt idx="5">
                  <c:v>485.74238266666669</c:v>
                </c:pt>
                <c:pt idx="6">
                  <c:v>485.74238266666669</c:v>
                </c:pt>
                <c:pt idx="7">
                  <c:v>485.74238266666669</c:v>
                </c:pt>
                <c:pt idx="8">
                  <c:v>485.74238266666669</c:v>
                </c:pt>
                <c:pt idx="9">
                  <c:v>485.74238266666669</c:v>
                </c:pt>
                <c:pt idx="10">
                  <c:v>485.74238266666669</c:v>
                </c:pt>
                <c:pt idx="11">
                  <c:v>485.74238266666669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F1-8B44-B490-B4ECA7D1D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706816"/>
        <c:axId val="580907808"/>
      </c:lineChart>
      <c:catAx>
        <c:axId val="580706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0907808"/>
        <c:crosses val="autoZero"/>
        <c:auto val="1"/>
        <c:lblAlgn val="ctr"/>
        <c:lblOffset val="100"/>
        <c:noMultiLvlLbl val="0"/>
      </c:catAx>
      <c:valAx>
        <c:axId val="58090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Nok millioner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&quot;kr&quot;\ #\ 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070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'Kladd TCE'!$C$59</c:f>
              <c:strCache>
                <c:ptCount val="1"/>
                <c:pt idx="0">
                  <c:v>G and 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'Kladd TCE'!$D$58:$Y$58</c:f>
              <c:numCache>
                <c:formatCode>General</c:formatCode>
                <c:ptCount val="2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</c:numCache>
            </c:numRef>
          </c:cat>
          <c:val>
            <c:numRef>
              <c:f>'Kladd TCE'!$D$59:$Y$59</c:f>
              <c:numCache>
                <c:formatCode>General</c:formatCode>
                <c:ptCount val="22"/>
                <c:pt idx="0">
                  <c:v>52.257999999999996</c:v>
                </c:pt>
                <c:pt idx="1">
                  <c:v>53.303159999999991</c:v>
                </c:pt>
                <c:pt idx="2">
                  <c:v>54.3692232</c:v>
                </c:pt>
                <c:pt idx="3">
                  <c:v>55.456607663999989</c:v>
                </c:pt>
                <c:pt idx="4">
                  <c:v>56.56573981727999</c:v>
                </c:pt>
                <c:pt idx="5">
                  <c:v>57.697054613625596</c:v>
                </c:pt>
                <c:pt idx="6">
                  <c:v>58.850995705898107</c:v>
                </c:pt>
                <c:pt idx="7">
                  <c:v>60.028015620016063</c:v>
                </c:pt>
                <c:pt idx="8">
                  <c:v>61.228575932416383</c:v>
                </c:pt>
                <c:pt idx="9">
                  <c:v>62.453147451064709</c:v>
                </c:pt>
                <c:pt idx="10">
                  <c:v>63.70221040008601</c:v>
                </c:pt>
                <c:pt idx="11">
                  <c:v>64.976254608087729</c:v>
                </c:pt>
                <c:pt idx="12">
                  <c:v>66.275779700249487</c:v>
                </c:pt>
                <c:pt idx="13">
                  <c:v>67.60129529425447</c:v>
                </c:pt>
                <c:pt idx="14">
                  <c:v>68.95332120013957</c:v>
                </c:pt>
                <c:pt idx="15">
                  <c:v>65.30864565098932</c:v>
                </c:pt>
                <c:pt idx="16">
                  <c:v>61.490601751393029</c:v>
                </c:pt>
                <c:pt idx="17">
                  <c:v>52.267011488684076</c:v>
                </c:pt>
                <c:pt idx="18">
                  <c:v>53.312351718457748</c:v>
                </c:pt>
                <c:pt idx="19">
                  <c:v>16.313579625848071</c:v>
                </c:pt>
                <c:pt idx="20">
                  <c:v>11.093234145576689</c:v>
                </c:pt>
                <c:pt idx="21">
                  <c:v>11.315098828488221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D1-E84C-B324-2BE715C7A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6736"/>
        <c:axId val="896881904"/>
      </c:lineChart>
      <c:catAx>
        <c:axId val="714916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96881904"/>
        <c:crosses val="autoZero"/>
        <c:auto val="1"/>
        <c:lblAlgn val="ctr"/>
        <c:lblOffset val="100"/>
        <c:noMultiLvlLbl val="0"/>
      </c:catAx>
      <c:valAx>
        <c:axId val="89688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NOK millioner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491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'Kladd TCE'!$C$62</c:f>
              <c:strCache>
                <c:ptCount val="1"/>
                <c:pt idx="0">
                  <c:v>OPEX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'Kladd TCE'!$D$61:$Y$61</c:f>
              <c:numCache>
                <c:formatCode>General</c:formatCode>
                <c:ptCount val="2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</c:numCache>
            </c:numRef>
          </c:cat>
          <c:val>
            <c:numRef>
              <c:f>'Kladd TCE'!$D$62:$Y$62</c:f>
              <c:numCache>
                <c:formatCode>_("kr"\ * #\ ##0_);_("kr"\ * \(#\ ##0\);_("kr"\ * "-"??_);_(@_)</c:formatCode>
                <c:ptCount val="22"/>
                <c:pt idx="0">
                  <c:v>415.26987320000001</c:v>
                </c:pt>
                <c:pt idx="1">
                  <c:v>423.57527066399996</c:v>
                </c:pt>
                <c:pt idx="2">
                  <c:v>432.04677607727996</c:v>
                </c:pt>
                <c:pt idx="3">
                  <c:v>440.68771159882556</c:v>
                </c:pt>
                <c:pt idx="4">
                  <c:v>449.50146583080209</c:v>
                </c:pt>
                <c:pt idx="5">
                  <c:v>458.49149514741816</c:v>
                </c:pt>
                <c:pt idx="6">
                  <c:v>467.66132505036654</c:v>
                </c:pt>
                <c:pt idx="7">
                  <c:v>477.01455155137376</c:v>
                </c:pt>
                <c:pt idx="8">
                  <c:v>486.55484258240125</c:v>
                </c:pt>
                <c:pt idx="9">
                  <c:v>496.28593943404928</c:v>
                </c:pt>
                <c:pt idx="10">
                  <c:v>506.21165822273036</c:v>
                </c:pt>
                <c:pt idx="11">
                  <c:v>516.3358913871848</c:v>
                </c:pt>
                <c:pt idx="12">
                  <c:v>526.66260921492858</c:v>
                </c:pt>
                <c:pt idx="13">
                  <c:v>537.19586139922717</c:v>
                </c:pt>
                <c:pt idx="14">
                  <c:v>547.93977862721169</c:v>
                </c:pt>
                <c:pt idx="15">
                  <c:v>518.97724747120185</c:v>
                </c:pt>
                <c:pt idx="16">
                  <c:v>488.63703915750085</c:v>
                </c:pt>
                <c:pt idx="17">
                  <c:v>415.34148328387585</c:v>
                </c:pt>
                <c:pt idx="18">
                  <c:v>423.64831294955326</c:v>
                </c:pt>
                <c:pt idx="19">
                  <c:v>129.6363837625633</c:v>
                </c:pt>
                <c:pt idx="20">
                  <c:v>88.152740958543049</c:v>
                </c:pt>
                <c:pt idx="21">
                  <c:v>89.915795777713896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8E-7045-A96E-EF399B650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743744"/>
        <c:axId val="659280640"/>
      </c:lineChart>
      <c:catAx>
        <c:axId val="658743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9280640"/>
        <c:crosses val="autoZero"/>
        <c:auto val="1"/>
        <c:lblAlgn val="ctr"/>
        <c:lblOffset val="100"/>
        <c:noMultiLvlLbl val="0"/>
      </c:catAx>
      <c:valAx>
        <c:axId val="65928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NOK</a:t>
                </a:r>
                <a:r>
                  <a:rPr lang="nb-NO" baseline="0"/>
                  <a:t> millioner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\ * #\ ##0_);_(&quot;kr&quot;\ * \(#\ ##0\);_(&quot;kr&quot;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874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Budsjettert</a:t>
            </a:r>
            <a:r>
              <a:rPr lang="nb-NO" baseline="0"/>
              <a:t> TCE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'Kladd TCE'!$C$6</c:f>
              <c:strCache>
                <c:ptCount val="1"/>
                <c:pt idx="0">
                  <c:v>Suez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'Kladd TCE'!$D$5:$Y$5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E2024</c:v>
                </c:pt>
                <c:pt idx="3">
                  <c:v>E2025</c:v>
                </c:pt>
                <c:pt idx="4">
                  <c:v>E2026</c:v>
                </c:pt>
                <c:pt idx="5">
                  <c:v>E2027</c:v>
                </c:pt>
                <c:pt idx="6">
                  <c:v>E2028</c:v>
                </c:pt>
                <c:pt idx="7">
                  <c:v>E2029</c:v>
                </c:pt>
                <c:pt idx="8">
                  <c:v>E2030</c:v>
                </c:pt>
                <c:pt idx="9">
                  <c:v>E2031</c:v>
                </c:pt>
                <c:pt idx="10">
                  <c:v>E2032</c:v>
                </c:pt>
                <c:pt idx="11">
                  <c:v>E2033</c:v>
                </c:pt>
                <c:pt idx="12">
                  <c:v>E2034</c:v>
                </c:pt>
                <c:pt idx="13">
                  <c:v>E2035</c:v>
                </c:pt>
                <c:pt idx="14">
                  <c:v>E2036</c:v>
                </c:pt>
                <c:pt idx="15">
                  <c:v>E2037</c:v>
                </c:pt>
                <c:pt idx="16">
                  <c:v>E2038</c:v>
                </c:pt>
                <c:pt idx="17">
                  <c:v>E2039</c:v>
                </c:pt>
                <c:pt idx="18">
                  <c:v>E2040</c:v>
                </c:pt>
                <c:pt idx="19">
                  <c:v>E2041</c:v>
                </c:pt>
                <c:pt idx="20">
                  <c:v>E2042</c:v>
                </c:pt>
                <c:pt idx="21">
                  <c:v>E2043</c:v>
                </c:pt>
              </c:strCache>
            </c:strRef>
          </c:cat>
          <c:val>
            <c:numRef>
              <c:f>'Kladd TCE'!$D$6:$Y$6</c:f>
              <c:numCache>
                <c:formatCode>General</c:formatCode>
                <c:ptCount val="22"/>
                <c:pt idx="0">
                  <c:v>89602.9</c:v>
                </c:pt>
                <c:pt idx="1">
                  <c:v>110857.2</c:v>
                </c:pt>
                <c:pt idx="2">
                  <c:v>118120.36</c:v>
                </c:pt>
                <c:pt idx="3">
                  <c:v>85584.799999999988</c:v>
                </c:pt>
                <c:pt idx="4">
                  <c:v>85000</c:v>
                </c:pt>
                <c:pt idx="5">
                  <c:v>35000</c:v>
                </c:pt>
                <c:pt idx="6">
                  <c:v>20000</c:v>
                </c:pt>
                <c:pt idx="7">
                  <c:v>15000</c:v>
                </c:pt>
                <c:pt idx="8">
                  <c:v>15000</c:v>
                </c:pt>
                <c:pt idx="9">
                  <c:v>20000</c:v>
                </c:pt>
                <c:pt idx="10">
                  <c:v>25000</c:v>
                </c:pt>
                <c:pt idx="11" formatCode="0">
                  <c:v>28569</c:v>
                </c:pt>
                <c:pt idx="12" formatCode="0">
                  <c:v>28008</c:v>
                </c:pt>
                <c:pt idx="13" formatCode="0">
                  <c:v>27448</c:v>
                </c:pt>
                <c:pt idx="14" formatCode="0">
                  <c:v>26888</c:v>
                </c:pt>
                <c:pt idx="15" formatCode="0">
                  <c:v>26328</c:v>
                </c:pt>
                <c:pt idx="16" formatCode="0">
                  <c:v>25768</c:v>
                </c:pt>
                <c:pt idx="17" formatCode="0">
                  <c:v>25208</c:v>
                </c:pt>
                <c:pt idx="18" formatCode="0">
                  <c:v>24647</c:v>
                </c:pt>
                <c:pt idx="19" formatCode="0">
                  <c:v>24087</c:v>
                </c:pt>
                <c:pt idx="20" formatCode="0">
                  <c:v>23527</c:v>
                </c:pt>
                <c:pt idx="21" formatCode="0">
                  <c:v>22967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B0-5D42-8DEE-000E7B1C7C10}"/>
            </c:ext>
          </c:extLst>
        </c:ser>
        <c:ser>
          <c:idx val="1"/>
          <c:order val="1"/>
          <c:tx>
            <c:strRef>
              <c:f>'Kladd TCE'!$C$7</c:f>
              <c:strCache>
                <c:ptCount val="1"/>
                <c:pt idx="0">
                  <c:v>VLCC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'Kladd TCE'!$D$5:$Y$5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E2024</c:v>
                </c:pt>
                <c:pt idx="3">
                  <c:v>E2025</c:v>
                </c:pt>
                <c:pt idx="4">
                  <c:v>E2026</c:v>
                </c:pt>
                <c:pt idx="5">
                  <c:v>E2027</c:v>
                </c:pt>
                <c:pt idx="6">
                  <c:v>E2028</c:v>
                </c:pt>
                <c:pt idx="7">
                  <c:v>E2029</c:v>
                </c:pt>
                <c:pt idx="8">
                  <c:v>E2030</c:v>
                </c:pt>
                <c:pt idx="9">
                  <c:v>E2031</c:v>
                </c:pt>
                <c:pt idx="10">
                  <c:v>E2032</c:v>
                </c:pt>
                <c:pt idx="11">
                  <c:v>E2033</c:v>
                </c:pt>
                <c:pt idx="12">
                  <c:v>E2034</c:v>
                </c:pt>
                <c:pt idx="13">
                  <c:v>E2035</c:v>
                </c:pt>
                <c:pt idx="14">
                  <c:v>E2036</c:v>
                </c:pt>
                <c:pt idx="15">
                  <c:v>E2037</c:v>
                </c:pt>
                <c:pt idx="16">
                  <c:v>E2038</c:v>
                </c:pt>
                <c:pt idx="17">
                  <c:v>E2039</c:v>
                </c:pt>
                <c:pt idx="18">
                  <c:v>E2040</c:v>
                </c:pt>
                <c:pt idx="19">
                  <c:v>E2041</c:v>
                </c:pt>
                <c:pt idx="20">
                  <c:v>E2042</c:v>
                </c:pt>
                <c:pt idx="21">
                  <c:v>E2043</c:v>
                </c:pt>
              </c:strCache>
            </c:strRef>
          </c:cat>
          <c:val>
            <c:numRef>
              <c:f>'Kladd TCE'!$D$7:$Y$7</c:f>
              <c:numCache>
                <c:formatCode>General</c:formatCode>
                <c:ptCount val="22"/>
                <c:pt idx="0">
                  <c:v>87519.14</c:v>
                </c:pt>
                <c:pt idx="1">
                  <c:v>125906.4</c:v>
                </c:pt>
                <c:pt idx="2">
                  <c:v>140976.95999999999</c:v>
                </c:pt>
                <c:pt idx="3">
                  <c:v>112045.56</c:v>
                </c:pt>
                <c:pt idx="4">
                  <c:v>95000</c:v>
                </c:pt>
                <c:pt idx="5">
                  <c:v>45000</c:v>
                </c:pt>
                <c:pt idx="6">
                  <c:v>20000</c:v>
                </c:pt>
                <c:pt idx="7">
                  <c:v>18000</c:v>
                </c:pt>
                <c:pt idx="8">
                  <c:v>18000</c:v>
                </c:pt>
                <c:pt idx="9">
                  <c:v>22000</c:v>
                </c:pt>
                <c:pt idx="10">
                  <c:v>28000</c:v>
                </c:pt>
                <c:pt idx="11" formatCode="0">
                  <c:v>37246</c:v>
                </c:pt>
                <c:pt idx="12" formatCode="0">
                  <c:v>36515</c:v>
                </c:pt>
                <c:pt idx="13" formatCode="0">
                  <c:v>35785</c:v>
                </c:pt>
                <c:pt idx="14" formatCode="0">
                  <c:v>35055</c:v>
                </c:pt>
                <c:pt idx="15" formatCode="0">
                  <c:v>34325</c:v>
                </c:pt>
                <c:pt idx="16" formatCode="0">
                  <c:v>33594</c:v>
                </c:pt>
                <c:pt idx="17" formatCode="0">
                  <c:v>32864</c:v>
                </c:pt>
                <c:pt idx="18" formatCode="0">
                  <c:v>32134</c:v>
                </c:pt>
                <c:pt idx="19" formatCode="0">
                  <c:v>31403</c:v>
                </c:pt>
                <c:pt idx="20" formatCode="0">
                  <c:v>30673</c:v>
                </c:pt>
                <c:pt idx="21" formatCode="0">
                  <c:v>29943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0-5D42-8DEE-000E7B1C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121232"/>
        <c:axId val="714895552"/>
      </c:lineChart>
      <c:catAx>
        <c:axId val="715121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4895552"/>
        <c:crosses val="autoZero"/>
        <c:auto val="1"/>
        <c:lblAlgn val="ctr"/>
        <c:lblOffset val="100"/>
        <c:noMultiLvlLbl val="0"/>
      </c:catAx>
      <c:valAx>
        <c:axId val="71489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USD</a:t>
                </a:r>
                <a:r>
                  <a:rPr lang="nb-NO" baseline="0"/>
                  <a:t> TCE rater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512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Totale</a:t>
            </a:r>
            <a:r>
              <a:rPr lang="en-US" baseline="0"/>
              <a:t> TCE inntekter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'Kladd TCE'!$C$68</c:f>
              <c:strCache>
                <c:ptCount val="1"/>
                <c:pt idx="0">
                  <c:v>TCE inntekt 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'Kladd TCE'!$D$67:$Y$67</c:f>
              <c:numCache>
                <c:formatCode>General</c:formatCode>
                <c:ptCount val="2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</c:numCache>
            </c:numRef>
          </c:cat>
          <c:val>
            <c:numRef>
              <c:f>'Kladd TCE'!$D$68:$Y$68</c:f>
              <c:numCache>
                <c:formatCode>_("kr"* #,##0.00_);_("kr"* \(#,##0.00\);_("kr"* "-"??_);_(@_)</c:formatCode>
                <c:ptCount val="22"/>
                <c:pt idx="0">
                  <c:v>4231.8817082065998</c:v>
                </c:pt>
                <c:pt idx="1">
                  <c:v>5717.8411958519991</c:v>
                </c:pt>
                <c:pt idx="2">
                  <c:v>6279.0402307571994</c:v>
                </c:pt>
                <c:pt idx="3">
                  <c:v>4820.2933000223993</c:v>
                </c:pt>
                <c:pt idx="4">
                  <c:v>4342.0728499999996</c:v>
                </c:pt>
                <c:pt idx="5">
                  <c:v>1948.8043500000001</c:v>
                </c:pt>
                <c:pt idx="6">
                  <c:v>957.30740000000003</c:v>
                </c:pt>
                <c:pt idx="7">
                  <c:v>800.03547000000003</c:v>
                </c:pt>
                <c:pt idx="8">
                  <c:v>800.03547000000003</c:v>
                </c:pt>
                <c:pt idx="9">
                  <c:v>1012.01068</c:v>
                </c:pt>
                <c:pt idx="10">
                  <c:v>1278.6891700000001</c:v>
                </c:pt>
                <c:pt idx="11">
                  <c:v>0</c:v>
                </c:pt>
                <c:pt idx="12">
                  <c:v>12676.133243720231</c:v>
                </c:pt>
                <c:pt idx="13">
                  <c:v>12676.133243720231</c:v>
                </c:pt>
                <c:pt idx="14">
                  <c:v>12676.133243720231</c:v>
                </c:pt>
                <c:pt idx="15">
                  <c:v>12676.133180946805</c:v>
                </c:pt>
                <c:pt idx="16">
                  <c:v>12676.133118173379</c:v>
                </c:pt>
                <c:pt idx="17">
                  <c:v>12676.132992626532</c:v>
                </c:pt>
                <c:pt idx="18">
                  <c:v>12676.132992626532</c:v>
                </c:pt>
                <c:pt idx="19">
                  <c:v>4753.5498251548825</c:v>
                </c:pt>
                <c:pt idx="20">
                  <c:v>3169.0332167699212</c:v>
                </c:pt>
                <c:pt idx="21">
                  <c:v>3169.0332167699212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93-024D-9800-E9710A744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919760"/>
        <c:axId val="597672288"/>
      </c:lineChart>
      <c:catAx>
        <c:axId val="704919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97672288"/>
        <c:crosses val="autoZero"/>
        <c:auto val="1"/>
        <c:lblAlgn val="ctr"/>
        <c:lblOffset val="100"/>
        <c:noMultiLvlLbl val="0"/>
      </c:catAx>
      <c:valAx>
        <c:axId val="59767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NOK millioner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491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'Kladd TCE'!$C$71</c:f>
              <c:strCache>
                <c:ptCount val="1"/>
                <c:pt idx="0">
                  <c:v>ARPU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'Kladd TCE'!$D$70:$Y$70</c:f>
              <c:numCache>
                <c:formatCode>General</c:formatCode>
                <c:ptCount val="2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</c:numCache>
            </c:numRef>
          </c:cat>
          <c:val>
            <c:numRef>
              <c:f>'Kladd TCE'!$D$71:$Y$71</c:f>
              <c:numCache>
                <c:formatCode>_("kr"* #,##0.00_);_("kr"* \(#,##0.00\);_("kr"* "-"??_);_(@_)</c:formatCode>
                <c:ptCount val="22"/>
                <c:pt idx="0">
                  <c:v>302.2772648719</c:v>
                </c:pt>
                <c:pt idx="1">
                  <c:v>408.4172282751428</c:v>
                </c:pt>
                <c:pt idx="2">
                  <c:v>448.50287362551427</c:v>
                </c:pt>
                <c:pt idx="3">
                  <c:v>344.30666428731422</c:v>
                </c:pt>
                <c:pt idx="4">
                  <c:v>310.14806071428569</c:v>
                </c:pt>
                <c:pt idx="5">
                  <c:v>139.20031071428573</c:v>
                </c:pt>
                <c:pt idx="6">
                  <c:v>68.379100000000008</c:v>
                </c:pt>
                <c:pt idx="7">
                  <c:v>57.145390714285718</c:v>
                </c:pt>
                <c:pt idx="8">
                  <c:v>57.145390714285718</c:v>
                </c:pt>
                <c:pt idx="9">
                  <c:v>72.286477142857137</c:v>
                </c:pt>
                <c:pt idx="10">
                  <c:v>91.334940714285722</c:v>
                </c:pt>
                <c:pt idx="11">
                  <c:v>0</c:v>
                </c:pt>
                <c:pt idx="12">
                  <c:v>905.4380888371594</c:v>
                </c:pt>
                <c:pt idx="13">
                  <c:v>905.4380888371594</c:v>
                </c:pt>
                <c:pt idx="14">
                  <c:v>905.4380888371594</c:v>
                </c:pt>
                <c:pt idx="15">
                  <c:v>975.08716776513882</c:v>
                </c:pt>
                <c:pt idx="16">
                  <c:v>1056.3444265144483</c:v>
                </c:pt>
                <c:pt idx="17">
                  <c:v>1267.6132992626531</c:v>
                </c:pt>
                <c:pt idx="18">
                  <c:v>1267.6132992626531</c:v>
                </c:pt>
                <c:pt idx="19">
                  <c:v>1584.5166083849608</c:v>
                </c:pt>
                <c:pt idx="20">
                  <c:v>1584.5166083849606</c:v>
                </c:pt>
                <c:pt idx="21">
                  <c:v>1584.5166083849606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1-B446-B2F6-A9A82A31D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0654640"/>
        <c:axId val="897578400"/>
      </c:lineChart>
      <c:catAx>
        <c:axId val="780654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97578400"/>
        <c:crosses val="autoZero"/>
        <c:auto val="1"/>
        <c:lblAlgn val="ctr"/>
        <c:lblOffset val="100"/>
        <c:noMultiLvlLbl val="0"/>
      </c:catAx>
      <c:valAx>
        <c:axId val="89757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ARPU M NOK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8065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'Kladd TCE'!$C$92</c:f>
              <c:strCache>
                <c:ptCount val="1"/>
                <c:pt idx="0">
                  <c:v>Kontantstrøm scenario 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'Kladd TCE'!$D$85:$Y$85</c:f>
              <c:numCache>
                <c:formatCode>General</c:formatCode>
                <c:ptCount val="2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</c:numCache>
            </c:numRef>
          </c:cat>
          <c:val>
            <c:numRef>
              <c:f>'Kladd TCE'!$D$92:$Y$92</c:f>
              <c:numCache>
                <c:formatCode>_("kr"* #,##0.00_);_("kr"* \(#,##0.00\);_("kr"* "-"??_);_(@_)</c:formatCode>
                <c:ptCount val="22"/>
                <c:pt idx="0">
                  <c:v>3278.6114523399333</c:v>
                </c:pt>
                <c:pt idx="1">
                  <c:v>4755.2203825213328</c:v>
                </c:pt>
                <c:pt idx="2">
                  <c:v>5306.8818488132529</c:v>
                </c:pt>
                <c:pt idx="3">
                  <c:v>3838.4065980929076</c:v>
                </c:pt>
                <c:pt idx="4">
                  <c:v>3350.2632616852507</c:v>
                </c:pt>
                <c:pt idx="5">
                  <c:v>946.87341757228978</c:v>
                </c:pt>
                <c:pt idx="6">
                  <c:v>-54.947303422931306</c:v>
                </c:pt>
                <c:pt idx="7">
                  <c:v>-222.74947983805646</c:v>
                </c:pt>
                <c:pt idx="8">
                  <c:v>-233.49033118148429</c:v>
                </c:pt>
                <c:pt idx="9">
                  <c:v>-32.470789551780697</c:v>
                </c:pt>
                <c:pt idx="10">
                  <c:v>223.03291871051704</c:v>
                </c:pt>
                <c:pt idx="11">
                  <c:v>-1067.0545286619392</c:v>
                </c:pt>
                <c:pt idx="12">
                  <c:v>11597.452472138386</c:v>
                </c:pt>
                <c:pt idx="13">
                  <c:v>11585.593704360082</c:v>
                </c:pt>
                <c:pt idx="14">
                  <c:v>11573.497761226214</c:v>
                </c:pt>
                <c:pt idx="15">
                  <c:v>12091.847287824612</c:v>
                </c:pt>
                <c:pt idx="16">
                  <c:v>12216.717477264485</c:v>
                </c:pt>
                <c:pt idx="17">
                  <c:v>12299.236497853972</c:v>
                </c:pt>
                <c:pt idx="18">
                  <c:v>12380.596327958521</c:v>
                </c:pt>
                <c:pt idx="19">
                  <c:v>5396.3998617664711</c:v>
                </c:pt>
                <c:pt idx="20">
                  <c:v>3318.2592416658017</c:v>
                </c:pt>
                <c:pt idx="21">
                  <c:v>3383.322322163719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64-074E-B99D-20FB1F7E3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0273504"/>
        <c:axId val="597298432"/>
      </c:lineChart>
      <c:catAx>
        <c:axId val="1810273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97298432"/>
        <c:crosses val="autoZero"/>
        <c:auto val="1"/>
        <c:lblAlgn val="ctr"/>
        <c:lblOffset val="100"/>
        <c:noMultiLvlLbl val="0"/>
      </c:catAx>
      <c:valAx>
        <c:axId val="59729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NOK</a:t>
                </a:r>
                <a:r>
                  <a:rPr lang="nb-NO" baseline="0"/>
                  <a:t> millioner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102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Likviditetsgrad 2 gjennomsnitt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'Likviditetsgrad oppdatert'!$C$47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BD3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CA4-445C-9119-61DD0B66A98C}"/>
              </c:ext>
            </c:extLst>
          </c:dPt>
          <c:dPt>
            <c:idx val="1"/>
            <c:invertIfNegative val="0"/>
            <c:bubble3D val="0"/>
            <c:spPr>
              <a:solidFill>
                <a:srgbClr val="FFEE6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CA4-445C-9119-61DD0B66A9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'Likviditetsgrad oppdatert'!$B$48:$B$49</c:f>
              <c:strCache>
                <c:ptCount val="2"/>
                <c:pt idx="0">
                  <c:v>Okeanis</c:v>
                </c:pt>
                <c:pt idx="1">
                  <c:v>Bransje</c:v>
                </c:pt>
              </c:strCache>
            </c:strRef>
          </c:cat>
          <c:val>
            <c:numRef>
              <c:f>'Likviditetsgrad oppdatert'!$C$48:$C$49</c:f>
              <c:numCache>
                <c:formatCode>0.00</c:formatCode>
                <c:ptCount val="2"/>
                <c:pt idx="0">
                  <c:v>0.79752145555478893</c:v>
                </c:pt>
                <c:pt idx="1">
                  <c:v>1.5296379091792169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4-445C-9119-61DD0B66A98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2693871"/>
        <c:axId val="1012694351"/>
      </c:barChart>
      <c:catAx>
        <c:axId val="101269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12694351"/>
        <c:crosses val="autoZero"/>
        <c:auto val="1"/>
        <c:lblAlgn val="ctr"/>
        <c:lblOffset val="100"/>
        <c:noMultiLvlLbl val="0"/>
      </c:catAx>
      <c:valAx>
        <c:axId val="1012694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1269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Kontantstrøm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'Kladd TCE'!$C$92</c:f>
              <c:strCache>
                <c:ptCount val="1"/>
                <c:pt idx="0">
                  <c:v>Kontantstrøm scenario 1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'Kladd TCE'!$D$85:$Y$85</c:f>
              <c:numCache>
                <c:formatCode>General</c:formatCode>
                <c:ptCount val="2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</c:numCache>
            </c:numRef>
          </c:cat>
          <c:val>
            <c:numRef>
              <c:f>'Kladd TCE'!$D$92:$Y$92</c:f>
              <c:numCache>
                <c:formatCode>_("kr"* #,##0.00_);_("kr"* \(#,##0.00\);_("kr"* "-"??_);_(@_)</c:formatCode>
                <c:ptCount val="22"/>
                <c:pt idx="0">
                  <c:v>3278.6114523399333</c:v>
                </c:pt>
                <c:pt idx="1">
                  <c:v>4755.2203825213328</c:v>
                </c:pt>
                <c:pt idx="2">
                  <c:v>5306.8818488132529</c:v>
                </c:pt>
                <c:pt idx="3">
                  <c:v>3838.4065980929076</c:v>
                </c:pt>
                <c:pt idx="4">
                  <c:v>3350.2632616852507</c:v>
                </c:pt>
                <c:pt idx="5">
                  <c:v>946.87341757228978</c:v>
                </c:pt>
                <c:pt idx="6">
                  <c:v>-54.947303422931306</c:v>
                </c:pt>
                <c:pt idx="7">
                  <c:v>-222.74947983805646</c:v>
                </c:pt>
                <c:pt idx="8">
                  <c:v>-233.49033118148429</c:v>
                </c:pt>
                <c:pt idx="9">
                  <c:v>-32.470789551780697</c:v>
                </c:pt>
                <c:pt idx="10">
                  <c:v>223.03291871051704</c:v>
                </c:pt>
                <c:pt idx="11">
                  <c:v>-1067.0545286619392</c:v>
                </c:pt>
                <c:pt idx="12">
                  <c:v>11597.452472138386</c:v>
                </c:pt>
                <c:pt idx="13">
                  <c:v>11585.593704360082</c:v>
                </c:pt>
                <c:pt idx="14">
                  <c:v>11573.497761226214</c:v>
                </c:pt>
                <c:pt idx="15">
                  <c:v>12091.847287824612</c:v>
                </c:pt>
                <c:pt idx="16">
                  <c:v>12216.717477264485</c:v>
                </c:pt>
                <c:pt idx="17">
                  <c:v>12299.236497853972</c:v>
                </c:pt>
                <c:pt idx="18">
                  <c:v>12380.596327958521</c:v>
                </c:pt>
                <c:pt idx="19">
                  <c:v>5396.3998617664711</c:v>
                </c:pt>
                <c:pt idx="20">
                  <c:v>3318.2592416658017</c:v>
                </c:pt>
                <c:pt idx="21">
                  <c:v>3383.322322163719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12-C24B-A5F4-2A5DF0EDAE14}"/>
            </c:ext>
          </c:extLst>
        </c:ser>
        <c:ser>
          <c:idx val="7"/>
          <c:order val="1"/>
          <c:tx>
            <c:strRef>
              <c:f>'Kladd TCE'!$C$93</c:f>
              <c:strCache>
                <c:ptCount val="1"/>
                <c:pt idx="0">
                  <c:v>Kontantstrøm scenario 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'Kladd TCE'!$D$85:$Y$85</c:f>
              <c:numCache>
                <c:formatCode>General</c:formatCode>
                <c:ptCount val="2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</c:numCache>
            </c:numRef>
          </c:cat>
          <c:val>
            <c:numRef>
              <c:f>'Kladd TCE'!$D$93:$Y$93</c:f>
              <c:numCache>
                <c:formatCode>_("kr"* #,##0.00_);_("kr"* \(#,##0.00\);_("kr"*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2-C24B-A5F4-2A5DF0ED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279760"/>
        <c:axId val="745532384"/>
      </c:lineChart>
      <c:catAx>
        <c:axId val="1755279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45532384"/>
        <c:crosses val="autoZero"/>
        <c:auto val="1"/>
        <c:lblAlgn val="ctr"/>
        <c:lblOffset val="100"/>
        <c:noMultiLvlLbl val="0"/>
      </c:catAx>
      <c:valAx>
        <c:axId val="7455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NOK millioner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5527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Tørrdokking M USD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'Kladd TCE'!$C$108</c:f>
              <c:strCache>
                <c:ptCount val="1"/>
                <c:pt idx="0">
                  <c:v>Tørrdokk M USD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'Kladd TCE'!$D$106:$Y$106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'Kladd TCE'!$D$108:$Y$108</c:f>
              <c:numCache>
                <c:formatCode>General</c:formatCode>
                <c:ptCount val="22"/>
                <c:pt idx="0">
                  <c:v>3</c:v>
                </c:pt>
                <c:pt idx="1">
                  <c:v>6</c:v>
                </c:pt>
                <c:pt idx="2">
                  <c:v>4.5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8</c:v>
                </c:pt>
                <c:pt idx="7">
                  <c:v>6</c:v>
                </c:pt>
                <c:pt idx="8">
                  <c:v>2.5</c:v>
                </c:pt>
                <c:pt idx="9">
                  <c:v>6.5</c:v>
                </c:pt>
                <c:pt idx="10">
                  <c:v>5</c:v>
                </c:pt>
                <c:pt idx="11">
                  <c:v>13.25</c:v>
                </c:pt>
                <c:pt idx="12">
                  <c:v>10.75</c:v>
                </c:pt>
                <c:pt idx="13">
                  <c:v>10.5</c:v>
                </c:pt>
                <c:pt idx="14">
                  <c:v>22</c:v>
                </c:pt>
                <c:pt idx="15">
                  <c:v>17.75</c:v>
                </c:pt>
                <c:pt idx="16">
                  <c:v>16</c:v>
                </c:pt>
                <c:pt idx="17">
                  <c:v>18.5</c:v>
                </c:pt>
                <c:pt idx="1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D6-1148-B77F-F6EFDD1A8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9785007"/>
        <c:axId val="1449786735"/>
      </c:lineChart>
      <c:catAx>
        <c:axId val="1449785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49786735"/>
        <c:crosses val="autoZero"/>
        <c:auto val="1"/>
        <c:lblAlgn val="ctr"/>
        <c:lblOffset val="100"/>
        <c:noMultiLvlLbl val="0"/>
      </c:catAx>
      <c:valAx>
        <c:axId val="1449786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Millioner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49785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Rentesats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'Kladd TCE'!$C$20</c:f>
              <c:strCache>
                <c:ptCount val="1"/>
                <c:pt idx="0">
                  <c:v>gjeldsandel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'Kladd TCE'!$D$19:$S$19</c:f>
              <c:numCache>
                <c:formatCode>General</c:formatCode>
                <c:ptCount val="1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</c:numCache>
            </c:numRef>
          </c:cat>
          <c:val>
            <c:numRef>
              <c:f>'Kladd TCE'!$D$20:$S$20</c:f>
              <c:numCache>
                <c:formatCode>0.00%</c:formatCode>
                <c:ptCount val="16"/>
                <c:pt idx="0">
                  <c:v>0.6</c:v>
                </c:pt>
                <c:pt idx="1">
                  <c:v>0.57499999999999996</c:v>
                </c:pt>
                <c:pt idx="2">
                  <c:v>0.54999999999999993</c:v>
                </c:pt>
                <c:pt idx="3">
                  <c:v>0.52499999999999991</c:v>
                </c:pt>
                <c:pt idx="4">
                  <c:v>0.49999999999999989</c:v>
                </c:pt>
                <c:pt idx="5">
                  <c:v>0.49999999999999989</c:v>
                </c:pt>
                <c:pt idx="6">
                  <c:v>0.49999999999999989</c:v>
                </c:pt>
                <c:pt idx="7">
                  <c:v>0.49999999999999989</c:v>
                </c:pt>
                <c:pt idx="8">
                  <c:v>0.49999999999999989</c:v>
                </c:pt>
                <c:pt idx="9">
                  <c:v>0.49999999999999989</c:v>
                </c:pt>
                <c:pt idx="10">
                  <c:v>0.49999999999999989</c:v>
                </c:pt>
                <c:pt idx="11">
                  <c:v>0.49999999999999989</c:v>
                </c:pt>
                <c:pt idx="12">
                  <c:v>0.49999999999999989</c:v>
                </c:pt>
                <c:pt idx="13">
                  <c:v>0.49999999999999989</c:v>
                </c:pt>
                <c:pt idx="14">
                  <c:v>0.49999999999999989</c:v>
                </c:pt>
                <c:pt idx="15">
                  <c:v>0.49999999999999989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D0-C446-B855-AC18159DC541}"/>
            </c:ext>
          </c:extLst>
        </c:ser>
        <c:ser>
          <c:idx val="1"/>
          <c:order val="1"/>
          <c:tx>
            <c:strRef>
              <c:f>'Kladd TCE'!$C$21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'Kladd TCE'!$D$19:$S$19</c:f>
              <c:numCache>
                <c:formatCode>General</c:formatCode>
                <c:ptCount val="1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</c:numCache>
            </c:numRef>
          </c:cat>
          <c:val>
            <c:numRef>
              <c:f>'Kladd TCE'!$D$21:$S$21</c:f>
              <c:numCache>
                <c:formatCode>0.00%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D0-C446-B855-AC18159DC541}"/>
            </c:ext>
          </c:extLst>
        </c:ser>
        <c:ser>
          <c:idx val="2"/>
          <c:order val="2"/>
          <c:tx>
            <c:strRef>
              <c:f>'Kladd TCE'!$C$22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'Kladd TCE'!$D$19:$S$19</c:f>
              <c:numCache>
                <c:formatCode>General</c:formatCode>
                <c:ptCount val="1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</c:numCache>
            </c:numRef>
          </c:cat>
          <c:val>
            <c:numRef>
              <c:f>'Kladd TCE'!$D$22:$S$22</c:f>
              <c:numCache>
                <c:formatCode>0.00%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D0-C446-B855-AC18159DC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9075887"/>
        <c:axId val="347450640"/>
      </c:lineChart>
      <c:catAx>
        <c:axId val="13690758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7450640"/>
        <c:crosses val="autoZero"/>
        <c:auto val="1"/>
        <c:lblAlgn val="ctr"/>
        <c:lblOffset val="100"/>
        <c:noMultiLvlLbl val="0"/>
      </c:catAx>
      <c:valAx>
        <c:axId val="34745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Rente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69075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Budsjettert TCE scenario 1</a:t>
            </a:r>
            <a:r>
              <a:rPr lang="nb-NO" baseline="0"/>
              <a:t> 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'Kladd TCE'!$C$6</c:f>
              <c:strCache>
                <c:ptCount val="1"/>
                <c:pt idx="0">
                  <c:v>Suez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'Kladd TCE'!$D$5:$Z$5</c:f>
              <c:strCache>
                <c:ptCount val="23"/>
                <c:pt idx="0">
                  <c:v>E2023</c:v>
                </c:pt>
                <c:pt idx="1">
                  <c:v>E2024</c:v>
                </c:pt>
                <c:pt idx="2">
                  <c:v>E2024</c:v>
                </c:pt>
                <c:pt idx="3">
                  <c:v>E2025</c:v>
                </c:pt>
                <c:pt idx="4">
                  <c:v>E2026</c:v>
                </c:pt>
                <c:pt idx="5">
                  <c:v>E2027</c:v>
                </c:pt>
                <c:pt idx="6">
                  <c:v>E2028</c:v>
                </c:pt>
                <c:pt idx="7">
                  <c:v>E2029</c:v>
                </c:pt>
                <c:pt idx="8">
                  <c:v>E2030</c:v>
                </c:pt>
                <c:pt idx="9">
                  <c:v>E2031</c:v>
                </c:pt>
                <c:pt idx="10">
                  <c:v>E2032</c:v>
                </c:pt>
                <c:pt idx="11">
                  <c:v>E2033</c:v>
                </c:pt>
                <c:pt idx="12">
                  <c:v>E2034</c:v>
                </c:pt>
                <c:pt idx="13">
                  <c:v>E2035</c:v>
                </c:pt>
                <c:pt idx="14">
                  <c:v>E2036</c:v>
                </c:pt>
                <c:pt idx="15">
                  <c:v>E2037</c:v>
                </c:pt>
                <c:pt idx="16">
                  <c:v>E2038</c:v>
                </c:pt>
                <c:pt idx="17">
                  <c:v>E2039</c:v>
                </c:pt>
                <c:pt idx="18">
                  <c:v>E2040</c:v>
                </c:pt>
                <c:pt idx="19">
                  <c:v>E2041</c:v>
                </c:pt>
                <c:pt idx="20">
                  <c:v>E2042</c:v>
                </c:pt>
                <c:pt idx="21">
                  <c:v>E2043</c:v>
                </c:pt>
                <c:pt idx="22">
                  <c:v>E2044</c:v>
                </c:pt>
              </c:strCache>
            </c:strRef>
          </c:cat>
          <c:val>
            <c:numRef>
              <c:f>'Kladd TCE'!$D$6:$Z$6</c:f>
              <c:numCache>
                <c:formatCode>General</c:formatCode>
                <c:ptCount val="23"/>
                <c:pt idx="0">
                  <c:v>89602.9</c:v>
                </c:pt>
                <c:pt idx="1">
                  <c:v>110857.2</c:v>
                </c:pt>
                <c:pt idx="2">
                  <c:v>118120.36</c:v>
                </c:pt>
                <c:pt idx="3">
                  <c:v>85584.799999999988</c:v>
                </c:pt>
                <c:pt idx="4">
                  <c:v>85000</c:v>
                </c:pt>
                <c:pt idx="5">
                  <c:v>35000</c:v>
                </c:pt>
                <c:pt idx="6">
                  <c:v>20000</c:v>
                </c:pt>
                <c:pt idx="7">
                  <c:v>15000</c:v>
                </c:pt>
                <c:pt idx="8">
                  <c:v>15000</c:v>
                </c:pt>
                <c:pt idx="9">
                  <c:v>20000</c:v>
                </c:pt>
                <c:pt idx="10">
                  <c:v>25000</c:v>
                </c:pt>
                <c:pt idx="11" formatCode="0">
                  <c:v>28569</c:v>
                </c:pt>
                <c:pt idx="12" formatCode="0">
                  <c:v>28008</c:v>
                </c:pt>
                <c:pt idx="13" formatCode="0">
                  <c:v>27448</c:v>
                </c:pt>
                <c:pt idx="14" formatCode="0">
                  <c:v>26888</c:v>
                </c:pt>
                <c:pt idx="15" formatCode="0">
                  <c:v>26328</c:v>
                </c:pt>
                <c:pt idx="16" formatCode="0">
                  <c:v>25768</c:v>
                </c:pt>
                <c:pt idx="17" formatCode="0">
                  <c:v>25208</c:v>
                </c:pt>
                <c:pt idx="18" formatCode="0">
                  <c:v>24647</c:v>
                </c:pt>
                <c:pt idx="19" formatCode="0">
                  <c:v>24087</c:v>
                </c:pt>
                <c:pt idx="20" formatCode="0">
                  <c:v>23527</c:v>
                </c:pt>
                <c:pt idx="21" formatCode="0">
                  <c:v>22967</c:v>
                </c:pt>
                <c:pt idx="22" formatCode="0">
                  <c:v>22407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D-694F-BCFA-A31BAB97FD09}"/>
            </c:ext>
          </c:extLst>
        </c:ser>
        <c:ser>
          <c:idx val="1"/>
          <c:order val="1"/>
          <c:tx>
            <c:strRef>
              <c:f>'Kladd TCE'!$C$7</c:f>
              <c:strCache>
                <c:ptCount val="1"/>
                <c:pt idx="0">
                  <c:v>VLCC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'Kladd TCE'!$D$5:$Z$5</c:f>
              <c:strCache>
                <c:ptCount val="23"/>
                <c:pt idx="0">
                  <c:v>E2023</c:v>
                </c:pt>
                <c:pt idx="1">
                  <c:v>E2024</c:v>
                </c:pt>
                <c:pt idx="2">
                  <c:v>E2024</c:v>
                </c:pt>
                <c:pt idx="3">
                  <c:v>E2025</c:v>
                </c:pt>
                <c:pt idx="4">
                  <c:v>E2026</c:v>
                </c:pt>
                <c:pt idx="5">
                  <c:v>E2027</c:v>
                </c:pt>
                <c:pt idx="6">
                  <c:v>E2028</c:v>
                </c:pt>
                <c:pt idx="7">
                  <c:v>E2029</c:v>
                </c:pt>
                <c:pt idx="8">
                  <c:v>E2030</c:v>
                </c:pt>
                <c:pt idx="9">
                  <c:v>E2031</c:v>
                </c:pt>
                <c:pt idx="10">
                  <c:v>E2032</c:v>
                </c:pt>
                <c:pt idx="11">
                  <c:v>E2033</c:v>
                </c:pt>
                <c:pt idx="12">
                  <c:v>E2034</c:v>
                </c:pt>
                <c:pt idx="13">
                  <c:v>E2035</c:v>
                </c:pt>
                <c:pt idx="14">
                  <c:v>E2036</c:v>
                </c:pt>
                <c:pt idx="15">
                  <c:v>E2037</c:v>
                </c:pt>
                <c:pt idx="16">
                  <c:v>E2038</c:v>
                </c:pt>
                <c:pt idx="17">
                  <c:v>E2039</c:v>
                </c:pt>
                <c:pt idx="18">
                  <c:v>E2040</c:v>
                </c:pt>
                <c:pt idx="19">
                  <c:v>E2041</c:v>
                </c:pt>
                <c:pt idx="20">
                  <c:v>E2042</c:v>
                </c:pt>
                <c:pt idx="21">
                  <c:v>E2043</c:v>
                </c:pt>
                <c:pt idx="22">
                  <c:v>E2044</c:v>
                </c:pt>
              </c:strCache>
            </c:strRef>
          </c:cat>
          <c:val>
            <c:numRef>
              <c:f>'Kladd TCE'!$D$7:$Z$7</c:f>
              <c:numCache>
                <c:formatCode>General</c:formatCode>
                <c:ptCount val="23"/>
                <c:pt idx="0">
                  <c:v>87519.14</c:v>
                </c:pt>
                <c:pt idx="1">
                  <c:v>125906.4</c:v>
                </c:pt>
                <c:pt idx="2">
                  <c:v>140976.95999999999</c:v>
                </c:pt>
                <c:pt idx="3">
                  <c:v>112045.56</c:v>
                </c:pt>
                <c:pt idx="4">
                  <c:v>95000</c:v>
                </c:pt>
                <c:pt idx="5">
                  <c:v>45000</c:v>
                </c:pt>
                <c:pt idx="6">
                  <c:v>20000</c:v>
                </c:pt>
                <c:pt idx="7">
                  <c:v>18000</c:v>
                </c:pt>
                <c:pt idx="8">
                  <c:v>18000</c:v>
                </c:pt>
                <c:pt idx="9">
                  <c:v>22000</c:v>
                </c:pt>
                <c:pt idx="10">
                  <c:v>28000</c:v>
                </c:pt>
                <c:pt idx="11" formatCode="0">
                  <c:v>37246</c:v>
                </c:pt>
                <c:pt idx="12" formatCode="0">
                  <c:v>36515</c:v>
                </c:pt>
                <c:pt idx="13" formatCode="0">
                  <c:v>35785</c:v>
                </c:pt>
                <c:pt idx="14" formatCode="0">
                  <c:v>35055</c:v>
                </c:pt>
                <c:pt idx="15" formatCode="0">
                  <c:v>34325</c:v>
                </c:pt>
                <c:pt idx="16" formatCode="0">
                  <c:v>33594</c:v>
                </c:pt>
                <c:pt idx="17" formatCode="0">
                  <c:v>32864</c:v>
                </c:pt>
                <c:pt idx="18" formatCode="0">
                  <c:v>32134</c:v>
                </c:pt>
                <c:pt idx="19" formatCode="0">
                  <c:v>31403</c:v>
                </c:pt>
                <c:pt idx="20" formatCode="0">
                  <c:v>30673</c:v>
                </c:pt>
                <c:pt idx="21" formatCode="0">
                  <c:v>29943</c:v>
                </c:pt>
                <c:pt idx="22" formatCode="0">
                  <c:v>29212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D-694F-BCFA-A31BAB97F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897983"/>
        <c:axId val="584899711"/>
      </c:lineChart>
      <c:catAx>
        <c:axId val="5848979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4899711"/>
        <c:crosses val="autoZero"/>
        <c:auto val="1"/>
        <c:lblAlgn val="ctr"/>
        <c:lblOffset val="100"/>
        <c:noMultiLvlLbl val="0"/>
      </c:catAx>
      <c:valAx>
        <c:axId val="584899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489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Kostnader knyttet til tørrdokking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'Kladd TCE'!$C$117</c:f>
              <c:strCache>
                <c:ptCount val="1"/>
                <c:pt idx="0">
                  <c:v>Tørrdokk M USD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'Kladd TCE'!$D$116:$Y$116</c:f>
              <c:strCache>
                <c:ptCount val="22"/>
                <c:pt idx="0">
                  <c:v>E2023</c:v>
                </c:pt>
                <c:pt idx="1">
                  <c:v>E2024</c:v>
                </c:pt>
                <c:pt idx="2">
                  <c:v>E2025</c:v>
                </c:pt>
                <c:pt idx="3">
                  <c:v>E2026</c:v>
                </c:pt>
                <c:pt idx="4">
                  <c:v>E2027</c:v>
                </c:pt>
                <c:pt idx="5">
                  <c:v>E2028</c:v>
                </c:pt>
                <c:pt idx="6">
                  <c:v>E2029</c:v>
                </c:pt>
                <c:pt idx="7">
                  <c:v>E2030</c:v>
                </c:pt>
                <c:pt idx="8">
                  <c:v>E2031</c:v>
                </c:pt>
                <c:pt idx="9">
                  <c:v>E2032</c:v>
                </c:pt>
                <c:pt idx="10">
                  <c:v>E2033</c:v>
                </c:pt>
                <c:pt idx="11">
                  <c:v>E2034</c:v>
                </c:pt>
                <c:pt idx="12">
                  <c:v>E2035</c:v>
                </c:pt>
                <c:pt idx="13">
                  <c:v>E2036</c:v>
                </c:pt>
                <c:pt idx="14">
                  <c:v>E2037</c:v>
                </c:pt>
                <c:pt idx="15">
                  <c:v>E2038</c:v>
                </c:pt>
                <c:pt idx="16">
                  <c:v>E2039</c:v>
                </c:pt>
                <c:pt idx="17">
                  <c:v>E2040</c:v>
                </c:pt>
                <c:pt idx="18">
                  <c:v>E2041</c:v>
                </c:pt>
                <c:pt idx="19">
                  <c:v>E2042</c:v>
                </c:pt>
                <c:pt idx="20">
                  <c:v>E2043</c:v>
                </c:pt>
                <c:pt idx="21">
                  <c:v>E2044</c:v>
                </c:pt>
              </c:strCache>
            </c:strRef>
          </c:cat>
          <c:val>
            <c:numRef>
              <c:f>'Kladd TCE'!$D$117:$Y$117</c:f>
              <c:numCache>
                <c:formatCode>General</c:formatCode>
                <c:ptCount val="22"/>
                <c:pt idx="0">
                  <c:v>29.58</c:v>
                </c:pt>
                <c:pt idx="1">
                  <c:v>59.16</c:v>
                </c:pt>
                <c:pt idx="2">
                  <c:v>44.37</c:v>
                </c:pt>
                <c:pt idx="3">
                  <c:v>19.72</c:v>
                </c:pt>
                <c:pt idx="4">
                  <c:v>49.3</c:v>
                </c:pt>
                <c:pt idx="5">
                  <c:v>39.44</c:v>
                </c:pt>
                <c:pt idx="6">
                  <c:v>78.88</c:v>
                </c:pt>
                <c:pt idx="7">
                  <c:v>59.16</c:v>
                </c:pt>
                <c:pt idx="8">
                  <c:v>24.65</c:v>
                </c:pt>
                <c:pt idx="9">
                  <c:v>64.09</c:v>
                </c:pt>
                <c:pt idx="10">
                  <c:v>49.3</c:v>
                </c:pt>
                <c:pt idx="11">
                  <c:v>130.64499999999998</c:v>
                </c:pt>
                <c:pt idx="12">
                  <c:v>105.99499999999999</c:v>
                </c:pt>
                <c:pt idx="13">
                  <c:v>103.53</c:v>
                </c:pt>
                <c:pt idx="14">
                  <c:v>216.92</c:v>
                </c:pt>
                <c:pt idx="15">
                  <c:v>175.01499999999999</c:v>
                </c:pt>
                <c:pt idx="16">
                  <c:v>157.76</c:v>
                </c:pt>
                <c:pt idx="17">
                  <c:v>182.41</c:v>
                </c:pt>
                <c:pt idx="18">
                  <c:v>0</c:v>
                </c:pt>
                <c:pt idx="19">
                  <c:v>78.88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F-2741-861B-CADBB8E62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9251103"/>
        <c:axId val="1929253263"/>
      </c:lineChart>
      <c:catAx>
        <c:axId val="1929251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29253263"/>
        <c:crosses val="autoZero"/>
        <c:auto val="1"/>
        <c:lblAlgn val="ctr"/>
        <c:lblOffset val="100"/>
        <c:noMultiLvlLbl val="0"/>
      </c:catAx>
      <c:valAx>
        <c:axId val="192925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 NOK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2925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b="1"/>
              <a:t>Egenkapitalprosent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'Egenkapitalprosent '!$B$38</c:f>
              <c:strCache>
                <c:ptCount val="1"/>
                <c:pt idx="0">
                  <c:v>Okeanis</c:v>
                </c:pt>
              </c:strCache>
            </c:strRef>
          </c:tx>
          <c:spPr>
            <a:solidFill>
              <a:srgbClr val="8BD3C7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'Egenkapitalprosent '!$C$36:$G$37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'Egenkapitalprosent '!$C$38:$H$38</c:f>
              <c:numCache>
                <c:formatCode>0.00%</c:formatCode>
                <c:ptCount val="6"/>
                <c:pt idx="0">
                  <c:v>0.47325379862511807</c:v>
                </c:pt>
                <c:pt idx="1">
                  <c:v>0.30760163505715049</c:v>
                </c:pt>
                <c:pt idx="2">
                  <c:v>0.31532845745243282</c:v>
                </c:pt>
                <c:pt idx="3">
                  <c:v>0.37533738860484711</c:v>
                </c:pt>
                <c:pt idx="4">
                  <c:v>0.3568186847141207</c:v>
                </c:pt>
                <c:pt idx="5">
                  <c:v>0.36566799289073382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5-424C-B123-FB6F6A8717D3}"/>
            </c:ext>
          </c:extLst>
        </c:ser>
        <c:ser>
          <c:idx val="1"/>
          <c:order val="1"/>
          <c:tx>
            <c:strRef>
              <c:f>'Egenkapitalprosent '!$B$39</c:f>
              <c:strCache>
                <c:ptCount val="1"/>
                <c:pt idx="0">
                  <c:v>Bransje</c:v>
                </c:pt>
              </c:strCache>
            </c:strRef>
          </c:tx>
          <c:spPr>
            <a:solidFill>
              <a:srgbClr val="FFEE65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'Egenkapitalprosent '!$C$36:$G$37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'Egenkapitalprosent '!$C$39:$H$39</c:f>
              <c:numCache>
                <c:formatCode>0.00%</c:formatCode>
                <c:ptCount val="6"/>
                <c:pt idx="0">
                  <c:v>0.48468711381340485</c:v>
                </c:pt>
                <c:pt idx="1">
                  <c:v>0.47178363393817085</c:v>
                </c:pt>
                <c:pt idx="2">
                  <c:v>0.53060207046837515</c:v>
                </c:pt>
                <c:pt idx="3">
                  <c:v>0.50634033359344743</c:v>
                </c:pt>
                <c:pt idx="4">
                  <c:v>0.54009210976469357</c:v>
                </c:pt>
                <c:pt idx="5">
                  <c:v>0.50670105231561835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5-424C-B123-FB6F6A8717D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61489823"/>
        <c:axId val="261485983"/>
      </c:barChart>
      <c:catAx>
        <c:axId val="26148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1485983"/>
        <c:crosses val="autoZero"/>
        <c:auto val="1"/>
        <c:lblAlgn val="ctr"/>
        <c:lblOffset val="100"/>
        <c:noMultiLvlLbl val="0"/>
      </c:catAx>
      <c:valAx>
        <c:axId val="261485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1489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Egenkapitalprosent gjennomsnitt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'Egenkapitalprosent '!$C$42</c:f>
              <c:strCache>
                <c:ptCount val="1"/>
              </c:strCache>
            </c:strRef>
          </c:tx>
          <c:spPr>
            <a:solidFill>
              <a:srgbClr val="8BD3C7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EE6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68-4012-8DED-3279FABD9E9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'Egenkapitalprosent '!$B$43:$B$44</c:f>
              <c:strCache>
                <c:ptCount val="2"/>
                <c:pt idx="0">
                  <c:v>Okeanis</c:v>
                </c:pt>
                <c:pt idx="1">
                  <c:v>Bransje</c:v>
                </c:pt>
              </c:strCache>
            </c:strRef>
          </c:cat>
          <c:val>
            <c:numRef>
              <c:f>'Egenkapitalprosent '!$C$43:$C$44</c:f>
              <c:numCache>
                <c:formatCode>0.00%</c:formatCode>
                <c:ptCount val="2"/>
                <c:pt idx="0">
                  <c:v>0.36566799289073382</c:v>
                </c:pt>
                <c:pt idx="1">
                  <c:v>0.50670105231561835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8-4012-8DED-3279FABD9E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75075727"/>
        <c:axId val="1275078127"/>
      </c:barChart>
      <c:catAx>
        <c:axId val="1275075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5078127"/>
        <c:crosses val="autoZero"/>
        <c:auto val="1"/>
        <c:lblAlgn val="ctr"/>
        <c:lblOffset val="100"/>
        <c:noMultiLvlLbl val="0"/>
      </c:catAx>
      <c:valAx>
        <c:axId val="127507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5075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nb-NO" b="1"/>
              <a:t>Egenkapitalprosent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'Egenkapitalprosent '!$B$38</c:f>
              <c:strCache>
                <c:ptCount val="1"/>
                <c:pt idx="0">
                  <c:v>Okeanis</c:v>
                </c:pt>
              </c:strCache>
            </c:strRef>
          </c:tx>
          <c:spPr>
            <a:ln w="31750" cap="rnd">
              <a:solidFill>
                <a:srgbClr val="8BD3C7"/>
              </a:solidFill>
              <a:round/>
            </a:ln>
            <a:effectLst/>
          </c:spPr>
          <c:marker>
            <c:symbol val="none"/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'Egenkapitalprosent '!$C$36:$F$37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'Egenkapitalprosent '!$C$38:$F$38</c:f>
              <c:numCache>
                <c:formatCode>0.00%</c:formatCode>
                <c:ptCount val="4"/>
                <c:pt idx="0">
                  <c:v>0.47325379862511807</c:v>
                </c:pt>
                <c:pt idx="1">
                  <c:v>0.30760163505715049</c:v>
                </c:pt>
                <c:pt idx="2">
                  <c:v>0.31532845745243282</c:v>
                </c:pt>
                <c:pt idx="3">
                  <c:v>0.37533738860484711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97-41C4-A3F8-E0EB8BCDFB8C}"/>
            </c:ext>
          </c:extLst>
        </c:ser>
        <c:ser>
          <c:idx val="1"/>
          <c:order val="1"/>
          <c:tx>
            <c:strRef>
              <c:f>'Egenkapitalprosent '!$B$39</c:f>
              <c:strCache>
                <c:ptCount val="1"/>
                <c:pt idx="0">
                  <c:v>Bransje</c:v>
                </c:pt>
              </c:strCache>
            </c:strRef>
          </c:tx>
          <c:spPr>
            <a:ln w="31750" cap="rnd">
              <a:solidFill>
                <a:srgbClr val="FFEE65"/>
              </a:solidFill>
              <a:round/>
            </a:ln>
            <a:effectLst/>
          </c:spPr>
          <c:marker>
            <c:symbol val="none"/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'Egenkapitalprosent '!$C$36:$F$37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'Egenkapitalprosent '!$C$39:$F$39</c:f>
              <c:numCache>
                <c:formatCode>0.00%</c:formatCode>
                <c:ptCount val="4"/>
                <c:pt idx="0">
                  <c:v>0.48468711381340485</c:v>
                </c:pt>
                <c:pt idx="1">
                  <c:v>0.47178363393817085</c:v>
                </c:pt>
                <c:pt idx="2">
                  <c:v>0.53060207046837515</c:v>
                </c:pt>
                <c:pt idx="3">
                  <c:v>0.50634033359344743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97-41C4-A3F8-E0EB8BCDFB8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25763071"/>
        <c:axId val="1025763551"/>
      </c:lineChart>
      <c:catAx>
        <c:axId val="10257630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5763551"/>
        <c:crosses val="autoZero"/>
        <c:auto val="1"/>
        <c:lblAlgn val="ctr"/>
        <c:lblOffset val="100"/>
        <c:noMultiLvlLbl val="0"/>
      </c:catAx>
      <c:valAx>
        <c:axId val="1025763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5763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b="1"/>
              <a:t>Finansieringsgrad</a:t>
            </a:r>
            <a:endParaRPr lang="nb-NO" b="1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'Finansieringsgrad oppdatert'!$B$43</c:f>
              <c:strCache>
                <c:ptCount val="1"/>
                <c:pt idx="0">
                  <c:v>Okeanis</c:v>
                </c:pt>
              </c:strCache>
            </c:strRef>
          </c:tx>
          <c:spPr>
            <a:solidFill>
              <a:srgbClr val="8BD3C7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'Finansieringsgrad oppdatert'!$C$41:$G$42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'Finansieringsgrad oppdatert'!$C$43:$H$43</c:f>
              <c:numCache>
                <c:formatCode>_(* #,##0.00_);_(* \(#,##0.00\);_(* "-"??_);_(@_)</c:formatCode>
                <c:ptCount val="6"/>
                <c:pt idx="0">
                  <c:v>1.0063270448269153</c:v>
                </c:pt>
                <c:pt idx="1">
                  <c:v>1.0419705657042644</c:v>
                </c:pt>
                <c:pt idx="2">
                  <c:v>1.0416297811363524</c:v>
                </c:pt>
                <c:pt idx="3">
                  <c:v>0.99880170680114733</c:v>
                </c:pt>
                <c:pt idx="4">
                  <c:v>0.94354406573606175</c:v>
                </c:pt>
                <c:pt idx="5">
                  <c:v>1.0064546328409483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2-43CC-A588-5B5D330F61F5}"/>
            </c:ext>
          </c:extLst>
        </c:ser>
        <c:ser>
          <c:idx val="1"/>
          <c:order val="1"/>
          <c:tx>
            <c:strRef>
              <c:f>'Finansieringsgrad oppdatert'!$B$44</c:f>
              <c:strCache>
                <c:ptCount val="1"/>
                <c:pt idx="0">
                  <c:v>Bransje</c:v>
                </c:pt>
              </c:strCache>
            </c:strRef>
          </c:tx>
          <c:spPr>
            <a:solidFill>
              <a:srgbClr val="FFEE65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'Finansieringsgrad oppdatert'!$C$41:$G$42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'Finansieringsgrad oppdatert'!$C$44:$H$44</c:f>
              <c:numCache>
                <c:formatCode>_(* #,##0.00_);_(* \(#,##0.00\);_(* "-"??_);_(@_)</c:formatCode>
                <c:ptCount val="6"/>
                <c:pt idx="0">
                  <c:v>0.95972166302943318</c:v>
                </c:pt>
                <c:pt idx="1">
                  <c:v>0.98634238518088502</c:v>
                </c:pt>
                <c:pt idx="2">
                  <c:v>0.9688037302568292</c:v>
                </c:pt>
                <c:pt idx="3">
                  <c:v>0.96775250304856308</c:v>
                </c:pt>
                <c:pt idx="4">
                  <c:v>0.90683782132107404</c:v>
                </c:pt>
                <c:pt idx="5">
                  <c:v>0.95789162056735688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A2-43CC-A588-5B5D330F61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96485311"/>
        <c:axId val="896486271"/>
      </c:barChart>
      <c:catAx>
        <c:axId val="896485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96486271"/>
        <c:crosses val="autoZero"/>
        <c:auto val="1"/>
        <c:lblAlgn val="ctr"/>
        <c:lblOffset val="100"/>
        <c:noMultiLvlLbl val="0"/>
      </c:catAx>
      <c:valAx>
        <c:axId val="896486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9648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b="1"/>
              <a:t>Finansieringsgrad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'Finansieringsgrad oppdatert'!$B$43</c:f>
              <c:strCache>
                <c:ptCount val="1"/>
                <c:pt idx="0">
                  <c:v>Okeanis</c:v>
                </c:pt>
              </c:strCache>
            </c:strRef>
          </c:tx>
          <c:spPr>
            <a:ln w="28575" cap="rnd">
              <a:solidFill>
                <a:srgbClr val="8BD3C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'Finansieringsgrad oppdatert'!$C$41:$F$42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'Finansieringsgrad oppdatert'!$C$43:$F$43</c:f>
              <c:numCache>
                <c:formatCode>_(* #,##0.00_);_(* \(#,##0.00\);_(* "-"??_);_(@_)</c:formatCode>
                <c:ptCount val="4"/>
                <c:pt idx="0">
                  <c:v>1.0063270448269153</c:v>
                </c:pt>
                <c:pt idx="1">
                  <c:v>1.0419705657042644</c:v>
                </c:pt>
                <c:pt idx="2">
                  <c:v>1.0416297811363524</c:v>
                </c:pt>
                <c:pt idx="3">
                  <c:v>0.99880170680114733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18-404B-90AC-6DB85D279BCA}"/>
            </c:ext>
          </c:extLst>
        </c:ser>
        <c:ser>
          <c:idx val="1"/>
          <c:order val="1"/>
          <c:tx>
            <c:strRef>
              <c:f>'Finansieringsgrad oppdatert'!$B$44</c:f>
              <c:strCache>
                <c:ptCount val="1"/>
                <c:pt idx="0">
                  <c:v>Bransje</c:v>
                </c:pt>
              </c:strCache>
            </c:strRef>
          </c:tx>
          <c:spPr>
            <a:ln w="28575" cap="rnd">
              <a:solidFill>
                <a:srgbClr val="FFEE6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'Finansieringsgrad oppdatert'!$C$41:$F$42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'Finansieringsgrad oppdatert'!$C$44:$F$44</c:f>
              <c:numCache>
                <c:formatCode>_(* #,##0.00_);_(* \(#,##0.00\);_(* "-"??_);_(@_)</c:formatCode>
                <c:ptCount val="4"/>
                <c:pt idx="0">
                  <c:v>0.95972166302943318</c:v>
                </c:pt>
                <c:pt idx="1">
                  <c:v>0.98634238518088502</c:v>
                </c:pt>
                <c:pt idx="2">
                  <c:v>0.9688037302568292</c:v>
                </c:pt>
                <c:pt idx="3">
                  <c:v>0.96775250304856308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8-404B-90AC-6DB85D279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14593503"/>
        <c:axId val="1114605503"/>
      </c:lineChart>
      <c:catAx>
        <c:axId val="111459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4605503"/>
        <c:crosses val="autoZero"/>
        <c:auto val="1"/>
        <c:lblAlgn val="ctr"/>
        <c:lblOffset val="100"/>
        <c:noMultiLvlLbl val="0"/>
      </c:catAx>
      <c:valAx>
        <c:axId val="111460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4593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Finansieringsgrad gjennomsnitt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'Finansieringsgrad oppdatert'!$C$47</c:f>
              <c:strCache>
                <c:ptCount val="1"/>
              </c:strCache>
            </c:strRef>
          </c:tx>
          <c:spPr>
            <a:solidFill>
              <a:srgbClr val="8BD3C7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EE6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74C-4337-A166-A890C349B3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'Finansieringsgrad oppdatert'!$B$48:$B$49</c:f>
              <c:strCache>
                <c:ptCount val="2"/>
                <c:pt idx="0">
                  <c:v>Okeanis</c:v>
                </c:pt>
                <c:pt idx="1">
                  <c:v>Bransje</c:v>
                </c:pt>
              </c:strCache>
            </c:strRef>
          </c:cat>
          <c:val>
            <c:numRef>
              <c:f>'Finansieringsgrad oppdatert'!$C$48:$C$49</c:f>
              <c:numCache>
                <c:formatCode>_(* #,##0.00_);_(* \(#,##0.00\);_(* "-"??_);_(@_)</c:formatCode>
                <c:ptCount val="2"/>
                <c:pt idx="0">
                  <c:v>1.0064546328409483</c:v>
                </c:pt>
                <c:pt idx="1">
                  <c:v>0.95789162056735688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C-4337-A166-A890C349B3E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3678671"/>
        <c:axId val="583678191"/>
      </c:barChart>
      <c:catAx>
        <c:axId val="583678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3678191"/>
        <c:crosses val="autoZero"/>
        <c:auto val="1"/>
        <c:lblAlgn val="ctr"/>
        <c:lblOffset val="100"/>
        <c:noMultiLvlLbl val="0"/>
      </c:catAx>
      <c:valAx>
        <c:axId val="583678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3678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13" Type="http://schemas.openxmlformats.org/officeDocument/2006/relationships/chart" Target="../charts/chart34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573263</xdr:colOff>
      <xdr:row>22</xdr:row>
      <xdr:rowOff>11545</xdr:rowOff>
    </xdr:from>
    <xdr:to>
      <xdr:col>13</xdr:col>
      <xdr:colOff>594591</xdr:colOff>
      <xdr:row>37</xdr:row>
      <xdr:rowOff>1763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3FC315F-5456-6AC2-6E85-B8A8D1EA8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4536</xdr:colOff>
      <xdr:row>22</xdr:row>
      <xdr:rowOff>11792</xdr:rowOff>
    </xdr:from>
    <xdr:to>
      <xdr:col>20</xdr:col>
      <xdr:colOff>4536</xdr:colOff>
      <xdr:row>37</xdr:row>
      <xdr:rowOff>33564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EBFBEF8-C171-0CD5-CC0E-4216BD74ED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159254</xdr:colOff>
      <xdr:row>22</xdr:row>
      <xdr:rowOff>7504</xdr:rowOff>
    </xdr:from>
    <xdr:to>
      <xdr:col>26</xdr:col>
      <xdr:colOff>80818</xdr:colOff>
      <xdr:row>37</xdr:row>
      <xdr:rowOff>40409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B7844F08-71B0-506B-A2C6-F7F280498A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788458</xdr:colOff>
      <xdr:row>131</xdr:row>
      <xdr:rowOff>191206</xdr:rowOff>
    </xdr:from>
    <xdr:to>
      <xdr:col>15</xdr:col>
      <xdr:colOff>945091</xdr:colOff>
      <xdr:row>153</xdr:row>
      <xdr:rowOff>191205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9959BCF-7226-D14E-B44F-848EDD5A8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92780</xdr:colOff>
      <xdr:row>141</xdr:row>
      <xdr:rowOff>147813</xdr:rowOff>
    </xdr:from>
    <xdr:to>
      <xdr:col>10</xdr:col>
      <xdr:colOff>99130</xdr:colOff>
      <xdr:row>158</xdr:row>
      <xdr:rowOff>62794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EE0751A-CB09-FC41-B7BE-506E53965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1610431</xdr:colOff>
      <xdr:row>139</xdr:row>
      <xdr:rowOff>22930</xdr:rowOff>
    </xdr:from>
    <xdr:to>
      <xdr:col>7</xdr:col>
      <xdr:colOff>86784</xdr:colOff>
      <xdr:row>159</xdr:row>
      <xdr:rowOff>89254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CF8C2D8-D1C7-B345-B4EA-1D019B8D8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534105</xdr:colOff>
      <xdr:row>142</xdr:row>
      <xdr:rowOff>166513</xdr:rowOff>
    </xdr:from>
    <xdr:to>
      <xdr:col>18</xdr:col>
      <xdr:colOff>611566</xdr:colOff>
      <xdr:row>156</xdr:row>
      <xdr:rowOff>143935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974D8C0-1DFB-EC44-83B2-AD8752464C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63500</xdr:colOff>
      <xdr:row>137</xdr:row>
      <xdr:rowOff>126998</xdr:rowOff>
    </xdr:from>
    <xdr:to>
      <xdr:col>7</xdr:col>
      <xdr:colOff>437445</xdr:colOff>
      <xdr:row>160</xdr:row>
      <xdr:rowOff>165099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1407D90-BA5C-F741-B37D-D5730E941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123472</xdr:colOff>
      <xdr:row>143</xdr:row>
      <xdr:rowOff>46567</xdr:rowOff>
    </xdr:from>
    <xdr:to>
      <xdr:col>4</xdr:col>
      <xdr:colOff>476250</xdr:colOff>
      <xdr:row>157</xdr:row>
      <xdr:rowOff>39864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65D85077-5111-6246-8BDA-C5E14C078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910166</xdr:colOff>
      <xdr:row>57</xdr:row>
      <xdr:rowOff>95955</xdr:rowOff>
    </xdr:from>
    <xdr:to>
      <xdr:col>21</xdr:col>
      <xdr:colOff>515055</xdr:colOff>
      <xdr:row>71</xdr:row>
      <xdr:rowOff>73378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5EF7204-8683-F34C-9078-07115D39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453319</xdr:colOff>
      <xdr:row>140</xdr:row>
      <xdr:rowOff>59973</xdr:rowOff>
    </xdr:from>
    <xdr:to>
      <xdr:col>11</xdr:col>
      <xdr:colOff>770819</xdr:colOff>
      <xdr:row>167</xdr:row>
      <xdr:rowOff>106011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EFC4858F-FB42-B945-A694-D29D55725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1169457</xdr:colOff>
      <xdr:row>136</xdr:row>
      <xdr:rowOff>162278</xdr:rowOff>
    </xdr:from>
    <xdr:to>
      <xdr:col>20</xdr:col>
      <xdr:colOff>1255888</xdr:colOff>
      <xdr:row>169</xdr:row>
      <xdr:rowOff>146404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2706BD55-C371-3240-902E-CB41E0684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1083921</xdr:colOff>
      <xdr:row>132</xdr:row>
      <xdr:rowOff>20554</xdr:rowOff>
    </xdr:from>
    <xdr:to>
      <xdr:col>22</xdr:col>
      <xdr:colOff>1168587</xdr:colOff>
      <xdr:row>145</xdr:row>
      <xdr:rowOff>196893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78F2C93B-3F61-604A-8BF7-55381F554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797532</xdr:colOff>
      <xdr:row>28</xdr:row>
      <xdr:rowOff>36551</xdr:rowOff>
    </xdr:from>
    <xdr:to>
      <xdr:col>32</xdr:col>
      <xdr:colOff>374199</xdr:colOff>
      <xdr:row>42</xdr:row>
      <xdr:rowOff>13974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D4AA0B3B-9DAC-424B-A53E-8372FA29B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152161</xdr:colOff>
      <xdr:row>5</xdr:row>
      <xdr:rowOff>12650</xdr:rowOff>
    </xdr:from>
    <xdr:to>
      <xdr:col>32</xdr:col>
      <xdr:colOff>572774</xdr:colOff>
      <xdr:row>18</xdr:row>
      <xdr:rowOff>168586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DC4BC578-F236-6E6E-9399-389EC65EF7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1294481</xdr:colOff>
      <xdr:row>121</xdr:row>
      <xdr:rowOff>36112</xdr:rowOff>
    </xdr:from>
    <xdr:to>
      <xdr:col>6</xdr:col>
      <xdr:colOff>1169011</xdr:colOff>
      <xdr:row>134</xdr:row>
      <xdr:rowOff>193408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F4C6AD5A-6FA5-6E54-CE05-6319449EDB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683683</xdr:colOff>
      <xdr:row>23</xdr:row>
      <xdr:rowOff>156104</xdr:rowOff>
    </xdr:from>
    <xdr:to>
      <xdr:col>14</xdr:col>
      <xdr:colOff>684389</xdr:colOff>
      <xdr:row>38</xdr:row>
      <xdr:rowOff>137054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D103A6D-BC19-80FC-2570-82A31524C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62112</xdr:colOff>
      <xdr:row>23</xdr:row>
      <xdr:rowOff>155424</xdr:rowOff>
    </xdr:from>
    <xdr:to>
      <xdr:col>27</xdr:col>
      <xdr:colOff>67152</xdr:colOff>
      <xdr:row>38</xdr:row>
      <xdr:rowOff>146957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6172B3D-2319-3FDA-C6C1-58B9EAE434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733651</xdr:colOff>
      <xdr:row>23</xdr:row>
      <xdr:rowOff>160338</xdr:rowOff>
    </xdr:from>
    <xdr:to>
      <xdr:col>20</xdr:col>
      <xdr:colOff>733651</xdr:colOff>
      <xdr:row>38</xdr:row>
      <xdr:rowOff>182109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C0FA020-5772-30B2-6C14-B48795C334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369975</xdr:colOff>
      <xdr:row>24</xdr:row>
      <xdr:rowOff>164307</xdr:rowOff>
    </xdr:from>
    <xdr:to>
      <xdr:col>13</xdr:col>
      <xdr:colOff>369975</xdr:colOff>
      <xdr:row>39</xdr:row>
      <xdr:rowOff>169069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DDA2956-B613-CEEF-3D30-E70B4524F9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567531</xdr:colOff>
      <xdr:row>26</xdr:row>
      <xdr:rowOff>100806</xdr:rowOff>
    </xdr:from>
    <xdr:to>
      <xdr:col>19</xdr:col>
      <xdr:colOff>567531</xdr:colOff>
      <xdr:row>41</xdr:row>
      <xdr:rowOff>105568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571C11B-754E-8EEF-497D-154C5E84A0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691884</xdr:colOff>
      <xdr:row>26</xdr:row>
      <xdr:rowOff>95515</xdr:rowOff>
    </xdr:from>
    <xdr:to>
      <xdr:col>25</xdr:col>
      <xdr:colOff>689239</xdr:colOff>
      <xdr:row>41</xdr:row>
      <xdr:rowOff>100278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0C01D14-8671-2A94-FFE6-A099A8BF5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47</xdr:row>
      <xdr:rowOff>139700</xdr:rowOff>
    </xdr:from>
    <xdr:to>
      <xdr:col>3</xdr:col>
      <xdr:colOff>1022350</xdr:colOff>
      <xdr:row>61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C044895-6141-664A-A928-21A4E0336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419100</xdr:colOff>
      <xdr:row>14</xdr:row>
      <xdr:rowOff>152400</xdr:rowOff>
    </xdr:from>
    <xdr:to>
      <xdr:col>20</xdr:col>
      <xdr:colOff>838200</xdr:colOff>
      <xdr:row>28</xdr:row>
      <xdr:rowOff>50800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B9C7920-2DE4-611F-2BC4-7772507B9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1193800</xdr:colOff>
      <xdr:row>19</xdr:row>
      <xdr:rowOff>63500</xdr:rowOff>
    </xdr:from>
    <xdr:to>
      <xdr:col>25</xdr:col>
      <xdr:colOff>101600</xdr:colOff>
      <xdr:row>32</xdr:row>
      <xdr:rowOff>165100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65FC396-D8B0-C754-F913-324A39C76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609600</xdr:colOff>
      <xdr:row>38</xdr:row>
      <xdr:rowOff>50800</xdr:rowOff>
    </xdr:from>
    <xdr:to>
      <xdr:col>16</xdr:col>
      <xdr:colOff>38100</xdr:colOff>
      <xdr:row>52</xdr:row>
      <xdr:rowOff>127000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796978A-04FB-E509-3030-CF503BECDD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977900</xdr:colOff>
      <xdr:row>40</xdr:row>
      <xdr:rowOff>38100</xdr:rowOff>
    </xdr:from>
    <xdr:to>
      <xdr:col>6</xdr:col>
      <xdr:colOff>190500</xdr:colOff>
      <xdr:row>54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15F6809-E4AA-5EB0-2885-A18161467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809625</xdr:colOff>
      <xdr:row>51</xdr:row>
      <xdr:rowOff>44450</xdr:rowOff>
    </xdr:from>
    <xdr:to>
      <xdr:col>11</xdr:col>
      <xdr:colOff>9525</xdr:colOff>
      <xdr:row>65</xdr:row>
      <xdr:rowOff>120650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B8CD65C-96C8-93BE-470E-046482AB9C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436327</xdr:colOff>
      <xdr:row>58</xdr:row>
      <xdr:rowOff>175034</xdr:rowOff>
    </xdr:from>
    <xdr:to>
      <xdr:col>4</xdr:col>
      <xdr:colOff>544466</xdr:colOff>
      <xdr:row>73</xdr:row>
      <xdr:rowOff>89026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BEFFEB3-2638-95E3-DC3C-5E1EA888F3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730250</xdr:colOff>
      <xdr:row>20</xdr:row>
      <xdr:rowOff>127000</xdr:rowOff>
    </xdr:from>
    <xdr:to>
      <xdr:col>8</xdr:col>
      <xdr:colOff>247650</xdr:colOff>
      <xdr:row>35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F66144D-1407-9737-A0F7-EF111A18FC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107950</xdr:colOff>
      <xdr:row>12</xdr:row>
      <xdr:rowOff>165100</xdr:rowOff>
    </xdr:from>
    <xdr:to>
      <xdr:col>18</xdr:col>
      <xdr:colOff>552450</xdr:colOff>
      <xdr:row>26</xdr:row>
      <xdr:rowOff>63500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424E6B4-AE21-3D04-8B8E-A69464E29B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742950</xdr:colOff>
      <xdr:row>14</xdr:row>
      <xdr:rowOff>0</xdr:rowOff>
    </xdr:from>
    <xdr:to>
      <xdr:col>8</xdr:col>
      <xdr:colOff>692150</xdr:colOff>
      <xdr:row>27</xdr:row>
      <xdr:rowOff>101600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DEE4EB2-9943-8309-AADE-B18CA7420E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43745</xdr:colOff>
      <xdr:row>47</xdr:row>
      <xdr:rowOff>35278</xdr:rowOff>
    </xdr:from>
    <xdr:to>
      <xdr:col>49</xdr:col>
      <xdr:colOff>49390</xdr:colOff>
      <xdr:row>60</xdr:row>
      <xdr:rowOff>136878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F63D44F-67EE-3B05-E044-D7FF880A32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1030112</xdr:colOff>
      <xdr:row>69</xdr:row>
      <xdr:rowOff>166512</xdr:rowOff>
    </xdr:from>
    <xdr:to>
      <xdr:col>18</xdr:col>
      <xdr:colOff>56445</xdr:colOff>
      <xdr:row>83</xdr:row>
      <xdr:rowOff>143934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6C2CEBA-6841-525D-7A8E-06DE13A878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5EFC-9F3E-4FC4-95B6-F6583C1084C1}">
  <dimension ref="B2:J49"/>
  <sheetViews>
    <sheetView zoomScale="80" zoomScaleNormal="80" workbookViewId="0">
      <selection activeCell="J44" sqref="J44"/>
    </sheetView>
  </sheetViews>
  <sheetFormatPr baseColWidth="10" defaultRowHeight="15" x14ac:dyDescent="0.2"/>
  <cols>
    <col min="2" max="2" width="14.6640625" bestFit="1" customWidth="1"/>
    <col min="3" max="4" width="12.5" bestFit="1" customWidth="1"/>
    <col min="5" max="5" width="15" customWidth="1"/>
    <col min="6" max="6" width="12.5" bestFit="1" customWidth="1"/>
    <col min="7" max="7" width="14.1640625" bestFit="1" customWidth="1"/>
    <col min="8" max="8" width="12.1640625" bestFit="1" customWidth="1"/>
    <col min="9" max="9" width="19.33203125" customWidth="1"/>
  </cols>
  <sheetData>
    <row r="2" spans="2:10" x14ac:dyDescent="0.2">
      <c r="B2" s="98" t="s">
        <v>5</v>
      </c>
      <c r="C2" s="98"/>
      <c r="D2" s="98"/>
      <c r="E2" s="98"/>
      <c r="F2" s="98"/>
      <c r="G2" s="98"/>
    </row>
    <row r="3" spans="2:10" x14ac:dyDescent="0.2">
      <c r="B3" s="19" t="s">
        <v>0</v>
      </c>
      <c r="C3" s="19">
        <v>2018</v>
      </c>
      <c r="D3" s="19">
        <v>2019</v>
      </c>
      <c r="E3" s="19">
        <v>2020</v>
      </c>
      <c r="F3" s="19">
        <v>2021</v>
      </c>
      <c r="G3" s="19">
        <v>2022</v>
      </c>
      <c r="I3" t="s">
        <v>118</v>
      </c>
      <c r="J3">
        <v>9.86</v>
      </c>
    </row>
    <row r="4" spans="2:10" x14ac:dyDescent="0.2">
      <c r="B4" s="1" t="s">
        <v>2</v>
      </c>
      <c r="C4" s="3">
        <f>30314209*J3</f>
        <v>298898100.74000001</v>
      </c>
      <c r="D4" s="3">
        <f>42372464*J3</f>
        <v>417792495.03999996</v>
      </c>
      <c r="E4" s="3">
        <f>53912471*J3</f>
        <v>531576964.05999994</v>
      </c>
      <c r="F4" s="3">
        <f>62565352*J3</f>
        <v>616894370.71999991</v>
      </c>
      <c r="G4" s="3">
        <f>154416984*J3</f>
        <v>1522551462.24</v>
      </c>
    </row>
    <row r="5" spans="2:10" x14ac:dyDescent="0.2">
      <c r="B5" s="1" t="s">
        <v>4</v>
      </c>
      <c r="C5" s="3">
        <f>2687170*J3</f>
        <v>26495496.199999999</v>
      </c>
      <c r="D5" s="3">
        <f>6552457*J3</f>
        <v>64607226.019999996</v>
      </c>
      <c r="E5" s="3">
        <f>5767484*J3</f>
        <v>56867392.239999995</v>
      </c>
      <c r="F5" s="3">
        <f>12630531*J3</f>
        <v>124537035.66</v>
      </c>
      <c r="G5" s="3">
        <f>17010531*J3</f>
        <v>167723835.66</v>
      </c>
    </row>
    <row r="6" spans="2:10" x14ac:dyDescent="0.2">
      <c r="B6" s="1" t="s">
        <v>3</v>
      </c>
      <c r="C6" s="3">
        <f>34326647*J3</f>
        <v>338460739.41999996</v>
      </c>
      <c r="D6" s="3">
        <f>85410079*J3</f>
        <v>842143378.93999994</v>
      </c>
      <c r="E6" s="3">
        <f>102104114*J3</f>
        <v>1006746564.04</v>
      </c>
      <c r="F6" s="3">
        <f>61495164*J3</f>
        <v>606342317.03999996</v>
      </c>
      <c r="G6" s="3">
        <f>92851581*J3</f>
        <v>915516588.65999997</v>
      </c>
    </row>
    <row r="7" spans="2:10" x14ac:dyDescent="0.2">
      <c r="B7" s="1" t="s">
        <v>1</v>
      </c>
      <c r="C7" s="2">
        <f>(C4-C5)/C6</f>
        <v>0.80482777709107467</v>
      </c>
      <c r="D7" s="2">
        <f>(D4-D5)/D6</f>
        <v>0.41938852439183438</v>
      </c>
      <c r="E7" s="2">
        <f>(E4-E5)/E6</f>
        <v>0.47152837543842746</v>
      </c>
      <c r="F7" s="2">
        <f>(F4-F5)/F6</f>
        <v>0.81201216082617489</v>
      </c>
      <c r="G7" s="2">
        <f>(G4-G5)/G6</f>
        <v>1.4798504400264332</v>
      </c>
    </row>
    <row r="10" spans="2:10" x14ac:dyDescent="0.2">
      <c r="B10" s="98" t="s">
        <v>17</v>
      </c>
      <c r="C10" s="98"/>
      <c r="D10" s="98"/>
      <c r="E10" s="98"/>
      <c r="F10" s="98"/>
      <c r="G10" s="98"/>
    </row>
    <row r="11" spans="2:10" x14ac:dyDescent="0.2">
      <c r="B11" s="19" t="s">
        <v>0</v>
      </c>
      <c r="C11" s="19">
        <v>2018</v>
      </c>
      <c r="D11" s="19">
        <v>2019</v>
      </c>
      <c r="E11" s="19">
        <v>2020</v>
      </c>
      <c r="F11" s="19">
        <v>2021</v>
      </c>
      <c r="G11" s="19">
        <v>2022</v>
      </c>
    </row>
    <row r="12" spans="2:10" x14ac:dyDescent="0.2">
      <c r="B12" s="1" t="s">
        <v>2</v>
      </c>
      <c r="C12" s="3">
        <f>193323000*J3</f>
        <v>1906164780</v>
      </c>
      <c r="D12" s="3">
        <f>218286000*J3</f>
        <v>2152299960</v>
      </c>
      <c r="E12" s="3">
        <f>118279000*J3</f>
        <v>1166230940</v>
      </c>
      <c r="F12" s="3">
        <f>131972000*J3</f>
        <v>1301243920</v>
      </c>
      <c r="G12" s="3">
        <f>235589000*J3</f>
        <v>2322907540</v>
      </c>
    </row>
    <row r="13" spans="2:10" x14ac:dyDescent="0.2">
      <c r="B13" s="1" t="s">
        <v>4</v>
      </c>
      <c r="C13" s="3">
        <f>32212000*J3</f>
        <v>317610320</v>
      </c>
      <c r="D13" s="3">
        <f>34085000*J3</f>
        <v>336078100</v>
      </c>
      <c r="E13" s="3">
        <f>11854000*J3</f>
        <v>116880440</v>
      </c>
      <c r="F13" s="3">
        <f>33396000*J3</f>
        <v>329284560</v>
      </c>
      <c r="G13" s="3">
        <f>33069000*J3</f>
        <v>326060340</v>
      </c>
    </row>
    <row r="14" spans="2:10" x14ac:dyDescent="0.2">
      <c r="B14" s="1" t="s">
        <v>3</v>
      </c>
      <c r="C14" s="3">
        <f>123699000*J3</f>
        <v>1219672140</v>
      </c>
      <c r="D14" s="3">
        <f>130239000*J3</f>
        <v>1284156540</v>
      </c>
      <c r="E14" s="3">
        <f>47929000*J3</f>
        <v>472579940</v>
      </c>
      <c r="F14" s="3">
        <f>41944000*J3</f>
        <v>413567840</v>
      </c>
      <c r="G14" s="3">
        <f>64374000*J3</f>
        <v>634727640</v>
      </c>
    </row>
    <row r="15" spans="2:10" x14ac:dyDescent="0.2">
      <c r="B15" s="1" t="s">
        <v>1</v>
      </c>
      <c r="C15" s="2">
        <f>(C12-C13)/C14</f>
        <v>1.3024438354392518</v>
      </c>
      <c r="D15" s="2">
        <f>(D12-D13)/D14</f>
        <v>1.4143305768625374</v>
      </c>
      <c r="E15" s="2">
        <f>(E12-E13)/E14</f>
        <v>2.2204719480898829</v>
      </c>
      <c r="F15" s="2">
        <f>(F12-F13)/F14</f>
        <v>2.3501811939729165</v>
      </c>
      <c r="G15" s="2">
        <f>(G12-G13)/G14</f>
        <v>3.1459906173299781</v>
      </c>
    </row>
    <row r="18" spans="2:7" x14ac:dyDescent="0.2">
      <c r="B18" s="98" t="s">
        <v>18</v>
      </c>
      <c r="C18" s="98"/>
      <c r="D18" s="98"/>
      <c r="E18" s="98"/>
      <c r="F18" s="98"/>
      <c r="G18" s="98"/>
    </row>
    <row r="19" spans="2:7" x14ac:dyDescent="0.2">
      <c r="B19" s="19" t="s">
        <v>0</v>
      </c>
      <c r="C19" s="19">
        <v>2018</v>
      </c>
      <c r="D19" s="19">
        <v>2019</v>
      </c>
      <c r="E19" s="19">
        <v>2020</v>
      </c>
      <c r="F19" s="19">
        <v>2021</v>
      </c>
      <c r="G19" s="19">
        <v>2022</v>
      </c>
    </row>
    <row r="20" spans="2:7" x14ac:dyDescent="0.2">
      <c r="B20" s="1" t="s">
        <v>2</v>
      </c>
      <c r="C20" s="3">
        <f>521141000*J3</f>
        <v>5138450260</v>
      </c>
      <c r="D20" s="3">
        <f>802249000*J3</f>
        <v>7910175140</v>
      </c>
      <c r="E20" s="3">
        <f>451873000*J3</f>
        <v>4455467780</v>
      </c>
      <c r="F20" s="3">
        <f>459407000*J3</f>
        <v>4529753020</v>
      </c>
      <c r="G20" s="3">
        <f>607059000*J3</f>
        <v>5985601740</v>
      </c>
    </row>
    <row r="21" spans="2:7" x14ac:dyDescent="0.2">
      <c r="B21" s="1" t="s">
        <v>4</v>
      </c>
      <c r="C21" s="3">
        <f>22261000*J3</f>
        <v>219493460</v>
      </c>
      <c r="D21" s="3">
        <f>183382000*J3</f>
        <v>1808146520</v>
      </c>
      <c r="E21" s="3">
        <f>75780000*J3</f>
        <v>747190800</v>
      </c>
      <c r="F21" s="3">
        <f>69035000*J3</f>
        <v>680685100</v>
      </c>
      <c r="G21" s="3">
        <f>41643000*J3</f>
        <v>410599980</v>
      </c>
    </row>
    <row r="22" spans="2:7" x14ac:dyDescent="0.2">
      <c r="B22" s="1" t="s">
        <v>3</v>
      </c>
      <c r="C22" s="3">
        <f>287122000*J3</f>
        <v>2831022920</v>
      </c>
      <c r="D22" s="3">
        <f>316050000*J3</f>
        <v>3116253000</v>
      </c>
      <c r="E22" s="3">
        <f>203594000*J3</f>
        <v>2007436840</v>
      </c>
      <c r="F22" s="3">
        <f>321033000*J3</f>
        <v>3165385380</v>
      </c>
      <c r="G22" s="3">
        <f>254338000*J3</f>
        <v>2507772680</v>
      </c>
    </row>
    <row r="23" spans="2:7" x14ac:dyDescent="0.2">
      <c r="B23" s="1" t="s">
        <v>1</v>
      </c>
      <c r="C23" s="2">
        <f>(C20-C21)/C22</f>
        <v>1.7375192426912602</v>
      </c>
      <c r="D23" s="2">
        <f>(D20-D21)/D22</f>
        <v>1.9581300427147603</v>
      </c>
      <c r="E23" s="2">
        <f>(E20-E21)/E22</f>
        <v>1.8472695659007632</v>
      </c>
      <c r="F23" s="2">
        <f>(F20-F21)/F22</f>
        <v>1.2159871415088168</v>
      </c>
      <c r="G23" s="2">
        <f>(G20-G21)/G22</f>
        <v>2.2230889603598363</v>
      </c>
    </row>
    <row r="26" spans="2:7" x14ac:dyDescent="0.2">
      <c r="B26" s="98" t="s">
        <v>23</v>
      </c>
      <c r="C26" s="98"/>
      <c r="D26" s="98"/>
      <c r="E26" s="98"/>
      <c r="F26" s="98"/>
      <c r="G26" s="98"/>
    </row>
    <row r="27" spans="2:7" x14ac:dyDescent="0.2">
      <c r="B27" s="19" t="s">
        <v>0</v>
      </c>
      <c r="C27" s="19">
        <v>2018</v>
      </c>
      <c r="D27" s="19">
        <v>2019</v>
      </c>
      <c r="E27" s="19">
        <v>2020</v>
      </c>
      <c r="F27" s="19">
        <v>2021</v>
      </c>
      <c r="G27" s="19">
        <v>2022</v>
      </c>
    </row>
    <row r="28" spans="2:7" x14ac:dyDescent="0.2">
      <c r="B28" s="1" t="s">
        <v>2</v>
      </c>
      <c r="C28" s="3">
        <f>112945000*J3</f>
        <v>1113637700</v>
      </c>
      <c r="D28" s="3">
        <f>129372000*J3</f>
        <v>1275607920</v>
      </c>
      <c r="E28" s="3">
        <f>99522000*J3</f>
        <v>981286920</v>
      </c>
      <c r="F28" s="3">
        <f>107108000*J3</f>
        <v>1056084879.9999999</v>
      </c>
      <c r="G28" s="3">
        <f>142662000*J3</f>
        <v>1406647320</v>
      </c>
    </row>
    <row r="29" spans="2:7" x14ac:dyDescent="0.2">
      <c r="B29" s="1" t="s">
        <v>4</v>
      </c>
      <c r="C29" s="3">
        <f>20291000*J3</f>
        <v>200069260</v>
      </c>
      <c r="D29" s="3">
        <f>22475000*J3</f>
        <v>221603500</v>
      </c>
      <c r="E29" s="3">
        <f>19408000*J3</f>
        <v>191362880</v>
      </c>
      <c r="F29" s="3">
        <f>20873000*J3</f>
        <v>205807780</v>
      </c>
      <c r="G29" s="3">
        <f>25430000*J3</f>
        <v>250739800</v>
      </c>
    </row>
    <row r="30" spans="2:7" x14ac:dyDescent="0.2">
      <c r="B30" s="1" t="s">
        <v>3</v>
      </c>
      <c r="C30" s="3">
        <f>36290000*J3</f>
        <v>357819400</v>
      </c>
      <c r="D30" s="3">
        <f>59028000*J3</f>
        <v>582016080</v>
      </c>
      <c r="E30" s="3">
        <f>39679000*J3</f>
        <v>391234940</v>
      </c>
      <c r="F30" s="3">
        <f>67645000*J3</f>
        <v>666979700</v>
      </c>
      <c r="G30" s="3">
        <f>72414000*J3</f>
        <v>714002040</v>
      </c>
    </row>
    <row r="31" spans="2:7" x14ac:dyDescent="0.2">
      <c r="B31" s="1" t="s">
        <v>1</v>
      </c>
      <c r="C31" s="2">
        <f>(C28-C29)/C30</f>
        <v>2.5531551391567926</v>
      </c>
      <c r="D31" s="2">
        <f>(D28-D29)/D30</f>
        <v>1.8109541234668294</v>
      </c>
      <c r="E31" s="2">
        <f>(E28-E29)/E30</f>
        <v>2.0190528995186372</v>
      </c>
      <c r="F31" s="2">
        <f>(F28-F29)/F30</f>
        <v>1.2748170596496413</v>
      </c>
      <c r="G31" s="2">
        <f>(G28-G29)/G30</f>
        <v>1.6189134697710388</v>
      </c>
    </row>
    <row r="34" spans="2:8" x14ac:dyDescent="0.2">
      <c r="B34" s="98" t="s">
        <v>19</v>
      </c>
      <c r="C34" s="98"/>
      <c r="D34" s="98"/>
      <c r="E34" s="98"/>
      <c r="F34" s="98"/>
      <c r="G34" s="98"/>
    </row>
    <row r="35" spans="2:8" x14ac:dyDescent="0.2">
      <c r="B35" s="19" t="s">
        <v>0</v>
      </c>
      <c r="C35" s="19">
        <v>2018</v>
      </c>
      <c r="D35" s="19">
        <v>2019</v>
      </c>
      <c r="E35" s="19">
        <v>2020</v>
      </c>
      <c r="F35" s="19">
        <v>2021</v>
      </c>
      <c r="G35" s="19">
        <v>2022</v>
      </c>
    </row>
    <row r="36" spans="2:8" x14ac:dyDescent="0.2">
      <c r="B36" s="1" t="s">
        <v>2</v>
      </c>
      <c r="C36" s="3">
        <f>308245000*J3</f>
        <v>3039295700</v>
      </c>
      <c r="D36" s="3">
        <f>448488000*J3</f>
        <v>4422091680</v>
      </c>
      <c r="E36" s="3">
        <f>378319000*J3</f>
        <v>3730225340</v>
      </c>
      <c r="F36" s="3">
        <f>332745000*J3</f>
        <v>3280865700</v>
      </c>
      <c r="G36" s="3">
        <f>881050000*J3</f>
        <v>8687153000</v>
      </c>
    </row>
    <row r="37" spans="2:8" x14ac:dyDescent="0.2">
      <c r="B37" s="1" t="s">
        <v>4</v>
      </c>
      <c r="C37" s="3">
        <f>68765000*J3</f>
        <v>678022900</v>
      </c>
      <c r="D37" s="3">
        <f>66664000*J3</f>
        <v>657307040</v>
      </c>
      <c r="E37" s="3">
        <f>57858000*J3</f>
        <v>570479880</v>
      </c>
      <c r="F37" s="3">
        <f>80787000*J3</f>
        <v>796559820</v>
      </c>
      <c r="G37" s="3">
        <f>107114000*J3</f>
        <v>1056144039.9999999</v>
      </c>
    </row>
    <row r="38" spans="2:8" x14ac:dyDescent="0.2">
      <c r="B38" s="1" t="s">
        <v>3</v>
      </c>
      <c r="C38" s="3">
        <f>214218000*J3</f>
        <v>2112189479.9999998</v>
      </c>
      <c r="D38" s="3">
        <f>848123000*J3</f>
        <v>8362492779.999999</v>
      </c>
      <c r="E38" s="3">
        <f>281361000*J3</f>
        <v>2774219460</v>
      </c>
      <c r="F38" s="3">
        <f>287002000*J3</f>
        <v>2829839720</v>
      </c>
      <c r="G38" s="3">
        <f>391659000*J3</f>
        <v>3861757740</v>
      </c>
    </row>
    <row r="39" spans="2:8" x14ac:dyDescent="0.2">
      <c r="B39" s="1" t="s">
        <v>1</v>
      </c>
      <c r="C39" s="2">
        <f>(C36-C37)/C38</f>
        <v>1.1179265981383453</v>
      </c>
      <c r="D39" s="2">
        <f>(D36-D37)/D38</f>
        <v>0.45019885087422468</v>
      </c>
      <c r="E39" s="2">
        <f>(E36-E37)/E38</f>
        <v>1.1389673764309909</v>
      </c>
      <c r="F39" s="2">
        <f>(F36-F37)/F38</f>
        <v>0.87789632127999107</v>
      </c>
      <c r="G39" s="2">
        <f>(G36-G37)/G38</f>
        <v>1.9760454885499887</v>
      </c>
    </row>
    <row r="41" spans="2:8" x14ac:dyDescent="0.2">
      <c r="B41" s="98" t="s">
        <v>1</v>
      </c>
      <c r="C41" s="98"/>
      <c r="D41" s="98"/>
      <c r="E41" s="98"/>
      <c r="F41" s="98"/>
      <c r="G41" s="98"/>
      <c r="H41" s="98"/>
    </row>
    <row r="42" spans="2:8" x14ac:dyDescent="0.2">
      <c r="B42" s="19" t="s">
        <v>0</v>
      </c>
      <c r="C42" s="19">
        <v>2018</v>
      </c>
      <c r="D42" s="19">
        <v>2019</v>
      </c>
      <c r="E42" s="19">
        <v>2020</v>
      </c>
      <c r="F42" s="19">
        <v>2021</v>
      </c>
      <c r="G42" s="19">
        <v>2022</v>
      </c>
      <c r="H42" s="19" t="s">
        <v>25</v>
      </c>
    </row>
    <row r="43" spans="2:8" x14ac:dyDescent="0.2">
      <c r="B43" s="1" t="s">
        <v>15</v>
      </c>
      <c r="C43" s="2">
        <f>C7</f>
        <v>0.80482777709107467</v>
      </c>
      <c r="D43" s="2">
        <f>D7</f>
        <v>0.41938852439183438</v>
      </c>
      <c r="E43" s="2">
        <f>E7</f>
        <v>0.47152837543842746</v>
      </c>
      <c r="F43" s="2">
        <f>F7</f>
        <v>0.81201216082617489</v>
      </c>
      <c r="G43" s="2">
        <f>G7</f>
        <v>1.4798504400264332</v>
      </c>
      <c r="H43" s="2">
        <f>AVERAGE(C43:G43)</f>
        <v>0.79752145555478893</v>
      </c>
    </row>
    <row r="44" spans="2:8" x14ac:dyDescent="0.2">
      <c r="B44" s="1" t="s">
        <v>16</v>
      </c>
      <c r="C44" s="2">
        <f>(C7+C15+C23+C31+C39)/5</f>
        <v>1.5031745185033447</v>
      </c>
      <c r="D44" s="2">
        <f>(D7+D15+D23+D31+D39)/5</f>
        <v>1.2106004236620371</v>
      </c>
      <c r="E44" s="2">
        <f>(E7+E15+E23+E31+E39)/5</f>
        <v>1.5394580330757404</v>
      </c>
      <c r="F44" s="2">
        <f>(F7+F15+F23+F31+F39)/5</f>
        <v>1.306178775447508</v>
      </c>
      <c r="G44" s="2">
        <f>(G7+G15+G23+G31+G39)/5</f>
        <v>2.0887777952074549</v>
      </c>
      <c r="H44" s="2">
        <f>AVERAGE(C44:G44)</f>
        <v>1.5296379091792169</v>
      </c>
    </row>
    <row r="47" spans="2:8" x14ac:dyDescent="0.2">
      <c r="B47" s="97" t="s">
        <v>170</v>
      </c>
      <c r="C47" s="97"/>
    </row>
    <row r="48" spans="2:8" x14ac:dyDescent="0.2">
      <c r="B48" s="1" t="s">
        <v>15</v>
      </c>
      <c r="C48" s="2">
        <f>H43</f>
        <v>0.79752145555478893</v>
      </c>
    </row>
    <row r="49" spans="2:3" x14ac:dyDescent="0.2">
      <c r="B49" s="1" t="s">
        <v>16</v>
      </c>
      <c r="C49" s="2">
        <f>H44</f>
        <v>1.5296379091792169</v>
      </c>
    </row>
  </sheetData>
  <mergeCells count="7">
    <mergeCell ref="B47:C47"/>
    <mergeCell ref="B2:G2"/>
    <mergeCell ref="B10:G10"/>
    <mergeCell ref="B18:G18"/>
    <mergeCell ref="B26:G26"/>
    <mergeCell ref="B34:G34"/>
    <mergeCell ref="B41:H4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66B6E-C5EB-42B6-8F3D-907D1293027E}">
  <dimension ref="A1:I209"/>
  <sheetViews>
    <sheetView zoomScale="98" zoomScaleNormal="98" workbookViewId="0">
      <selection activeCell="I3" sqref="I3"/>
    </sheetView>
  </sheetViews>
  <sheetFormatPr baseColWidth="10" defaultRowHeight="15" x14ac:dyDescent="0.2"/>
  <cols>
    <col min="1" max="1" width="55.6640625" bestFit="1" customWidth="1"/>
    <col min="2" max="6" width="13.33203125" bestFit="1" customWidth="1"/>
    <col min="7" max="7" width="11.33203125" bestFit="1" customWidth="1"/>
  </cols>
  <sheetData>
    <row r="1" spans="1:9" x14ac:dyDescent="0.2">
      <c r="A1" s="98" t="s">
        <v>124</v>
      </c>
      <c r="B1" s="98"/>
      <c r="C1" s="98"/>
      <c r="D1" s="98"/>
      <c r="E1" s="98"/>
      <c r="F1" s="98"/>
      <c r="G1" s="18"/>
    </row>
    <row r="2" spans="1:9" x14ac:dyDescent="0.2">
      <c r="A2" s="16" t="s">
        <v>123</v>
      </c>
      <c r="B2" s="16">
        <v>2018</v>
      </c>
      <c r="C2" s="16">
        <v>2019</v>
      </c>
      <c r="D2" s="16">
        <v>2020</v>
      </c>
      <c r="E2" s="16">
        <v>2021</v>
      </c>
      <c r="F2" s="16">
        <v>2022</v>
      </c>
      <c r="H2" t="s">
        <v>119</v>
      </c>
      <c r="I2">
        <v>9.86</v>
      </c>
    </row>
    <row r="3" spans="1:9" x14ac:dyDescent="0.2">
      <c r="A3" s="6" t="s">
        <v>125</v>
      </c>
      <c r="B3" s="6">
        <f>-3018755*I2</f>
        <v>-29764924.299999997</v>
      </c>
      <c r="C3" s="6">
        <f>11384356*I2</f>
        <v>112249750.16</v>
      </c>
      <c r="D3" s="6">
        <f>101318942*I2</f>
        <v>999004768.11999989</v>
      </c>
      <c r="E3" s="6">
        <f>-902899*I2</f>
        <v>-8902584.1399999987</v>
      </c>
      <c r="F3" s="6">
        <f>84559995*I2</f>
        <v>833761550.69999993</v>
      </c>
      <c r="G3" s="6"/>
    </row>
    <row r="4" spans="1:9" x14ac:dyDescent="0.2">
      <c r="A4" s="6"/>
      <c r="B4" s="6"/>
      <c r="C4" s="6"/>
      <c r="D4" s="6"/>
      <c r="E4" s="6"/>
      <c r="F4" s="6"/>
      <c r="G4" s="6"/>
    </row>
    <row r="5" spans="1:9" x14ac:dyDescent="0.2">
      <c r="A5" s="13" t="s">
        <v>135</v>
      </c>
      <c r="B5" s="6"/>
      <c r="C5" s="6"/>
      <c r="D5" s="6"/>
      <c r="E5" s="6"/>
      <c r="F5" s="6"/>
      <c r="G5" s="6"/>
    </row>
    <row r="6" spans="1:9" x14ac:dyDescent="0.2">
      <c r="A6" s="6" t="s">
        <v>126</v>
      </c>
      <c r="B6" s="6">
        <f>7324727*I2</f>
        <v>72221808.219999999</v>
      </c>
      <c r="C6" s="6">
        <f>24585920*I2</f>
        <v>242417171.19999999</v>
      </c>
      <c r="D6" s="6">
        <f>41619641*I2</f>
        <v>410369660.25999999</v>
      </c>
      <c r="E6" s="6">
        <f>38666266*I2</f>
        <v>381249382.75999999</v>
      </c>
      <c r="F6" s="6">
        <f>37962924*I2</f>
        <v>374314430.63999999</v>
      </c>
      <c r="G6" s="6"/>
    </row>
    <row r="7" spans="1:9" x14ac:dyDescent="0.2">
      <c r="A7" s="6" t="s">
        <v>127</v>
      </c>
      <c r="B7" s="6">
        <f>6939757*I2</f>
        <v>68426004.019999996</v>
      </c>
      <c r="C7" s="6">
        <f>28237030*I2</f>
        <v>278417115.80000001</v>
      </c>
      <c r="D7" s="6">
        <f>34373842*I2</f>
        <v>338926082.12</v>
      </c>
      <c r="E7" s="6">
        <f>27082841*I2</f>
        <v>267036812.25999999</v>
      </c>
      <c r="F7" s="6">
        <f>35077293*I2</f>
        <v>345862108.97999996</v>
      </c>
      <c r="G7" s="6"/>
    </row>
    <row r="8" spans="1:9" x14ac:dyDescent="0.2">
      <c r="A8" s="6" t="s">
        <v>128</v>
      </c>
      <c r="B8" s="6">
        <f>471838*I2</f>
        <v>4652322.68</v>
      </c>
      <c r="C8" s="6">
        <f>1932574*I2</f>
        <v>19055179.640000001</v>
      </c>
      <c r="D8" s="6">
        <f>2519363*I2</f>
        <v>24840919.18</v>
      </c>
      <c r="E8" s="6">
        <f>4233322*I2</f>
        <v>41740554.919999994</v>
      </c>
      <c r="F8" s="6">
        <f>1693117*I2</f>
        <v>16694133.619999999</v>
      </c>
      <c r="G8" s="6"/>
    </row>
    <row r="9" spans="1:9" x14ac:dyDescent="0.2">
      <c r="A9" s="6" t="s">
        <v>129</v>
      </c>
      <c r="B9" s="6">
        <f>0*I2</f>
        <v>0</v>
      </c>
      <c r="C9" s="6">
        <f>0*I2</f>
        <v>0</v>
      </c>
      <c r="D9" s="6">
        <f>1116166*I2</f>
        <v>11005396.76</v>
      </c>
      <c r="E9" s="6">
        <f>-4156933*I2</f>
        <v>-40987359.379999995</v>
      </c>
      <c r="F9" s="6">
        <f>2941529*I2</f>
        <v>29003475.939999998</v>
      </c>
      <c r="G9" s="6"/>
    </row>
    <row r="10" spans="1:9" x14ac:dyDescent="0.2">
      <c r="A10" s="6" t="s">
        <v>111</v>
      </c>
      <c r="B10" s="6">
        <f>-292412*I2</f>
        <v>-2883182.32</v>
      </c>
      <c r="C10" s="6">
        <f>-130020*I2</f>
        <v>-1281997.2</v>
      </c>
      <c r="D10" s="6">
        <f>-50499*I2</f>
        <v>-497920.13999999996</v>
      </c>
      <c r="E10" s="6">
        <f>-3470*I2</f>
        <v>-34214.199999999997</v>
      </c>
      <c r="F10" s="6">
        <f>-721528*I2</f>
        <v>-7114266.0799999991</v>
      </c>
      <c r="G10" s="6"/>
    </row>
    <row r="11" spans="1:9" x14ac:dyDescent="0.2">
      <c r="A11" s="6" t="s">
        <v>132</v>
      </c>
      <c r="B11" s="6">
        <f>0*I2</f>
        <v>0</v>
      </c>
      <c r="C11" s="6">
        <f>45356*I2</f>
        <v>447210.16</v>
      </c>
      <c r="D11" s="6">
        <f>8109*I2</f>
        <v>79954.739999999991</v>
      </c>
      <c r="E11" s="6">
        <f>-44084*I2</f>
        <v>-434668.24</v>
      </c>
      <c r="F11" s="6">
        <f>6643*I2</f>
        <v>65499.979999999996</v>
      </c>
      <c r="G11" s="6"/>
    </row>
    <row r="12" spans="1:9" x14ac:dyDescent="0.2">
      <c r="A12" s="6" t="s">
        <v>106</v>
      </c>
      <c r="B12" s="6">
        <f>0*I2</f>
        <v>0</v>
      </c>
      <c r="C12" s="6">
        <f>0*I2</f>
        <v>0</v>
      </c>
      <c r="D12" s="6">
        <f>0*I2</f>
        <v>0</v>
      </c>
      <c r="E12" s="6">
        <f>-4076668*I2</f>
        <v>-40195946.479999997</v>
      </c>
      <c r="F12" s="6">
        <f>0*I2</f>
        <v>0</v>
      </c>
      <c r="G12" s="6"/>
    </row>
    <row r="13" spans="1:9" x14ac:dyDescent="0.2">
      <c r="A13" s="6" t="s">
        <v>130</v>
      </c>
      <c r="B13" s="6">
        <f>0*I2</f>
        <v>0</v>
      </c>
      <c r="C13" s="6">
        <f>0*I2</f>
        <v>0</v>
      </c>
      <c r="D13" s="6">
        <f>0*I2</f>
        <v>0</v>
      </c>
      <c r="E13" s="6">
        <f>3932873*I2</f>
        <v>38778127.780000001</v>
      </c>
      <c r="F13" s="6">
        <f>0*I2</f>
        <v>0</v>
      </c>
      <c r="G13" s="6"/>
    </row>
    <row r="14" spans="1:9" x14ac:dyDescent="0.2">
      <c r="A14" s="6" t="s">
        <v>131</v>
      </c>
      <c r="B14" s="6">
        <f>0*I2</f>
        <v>0</v>
      </c>
      <c r="C14" s="6">
        <f>0*I2</f>
        <v>0</v>
      </c>
      <c r="D14" s="6">
        <f>0*I2</f>
        <v>0</v>
      </c>
      <c r="E14" s="6">
        <f>0*I2</f>
        <v>0</v>
      </c>
      <c r="F14" s="6">
        <f>-339622*I2</f>
        <v>-3348672.92</v>
      </c>
      <c r="G14" s="6"/>
      <c r="H14" s="6"/>
    </row>
    <row r="15" spans="1:9" x14ac:dyDescent="0.2">
      <c r="A15" s="13" t="s">
        <v>134</v>
      </c>
      <c r="B15" s="13">
        <f>SUM(B6:B14)</f>
        <v>142416952.60000002</v>
      </c>
      <c r="C15" s="13">
        <f>SUM(C6:C14)</f>
        <v>539054679.5999999</v>
      </c>
      <c r="D15" s="13">
        <f>SUM(D6:D14)</f>
        <v>784724092.91999996</v>
      </c>
      <c r="E15" s="13">
        <f>SUM(E6:E14)</f>
        <v>647152689.41999984</v>
      </c>
      <c r="F15" s="13">
        <f>SUM(F6:F14)</f>
        <v>755476710.15999985</v>
      </c>
      <c r="G15" s="6"/>
      <c r="H15" s="6"/>
    </row>
    <row r="16" spans="1:9" x14ac:dyDescent="0.2">
      <c r="A16" s="13"/>
      <c r="B16" s="13"/>
      <c r="C16" s="13"/>
      <c r="D16" s="13"/>
      <c r="E16" s="13"/>
      <c r="F16" s="13"/>
      <c r="G16" s="6"/>
      <c r="H16" s="6"/>
    </row>
    <row r="17" spans="1:8" x14ac:dyDescent="0.2">
      <c r="A17" s="13" t="s">
        <v>136</v>
      </c>
      <c r="B17" s="6"/>
      <c r="C17" s="6"/>
      <c r="D17" s="6"/>
      <c r="E17" s="6"/>
      <c r="F17" s="6"/>
      <c r="G17" s="6"/>
      <c r="H17" s="6"/>
    </row>
    <row r="18" spans="1:8" x14ac:dyDescent="0.2">
      <c r="A18" s="6" t="s">
        <v>137</v>
      </c>
      <c r="B18" s="6">
        <f>-2025379*I2</f>
        <v>-19970236.939999998</v>
      </c>
      <c r="C18" s="6">
        <f>-14911614*I2</f>
        <v>-147028514.03999999</v>
      </c>
      <c r="D18" s="6">
        <f>3597901*I2</f>
        <v>35475303.859999999</v>
      </c>
      <c r="E18" s="6">
        <f>7184671*I2</f>
        <v>70840856.060000002</v>
      </c>
      <c r="F18" s="6">
        <f>-42241830*I2</f>
        <v>-416504443.79999995</v>
      </c>
      <c r="G18" s="6"/>
      <c r="H18" s="6"/>
    </row>
    <row r="19" spans="1:8" x14ac:dyDescent="0.2">
      <c r="A19" s="6" t="s">
        <v>138</v>
      </c>
      <c r="B19" s="6">
        <f>571507*I2</f>
        <v>5635059.0199999996</v>
      </c>
      <c r="C19" s="6">
        <f>-1360808*I2</f>
        <v>-13417566.879999999</v>
      </c>
      <c r="D19" s="6">
        <f>1380519*I2</f>
        <v>13611917.34</v>
      </c>
      <c r="E19" s="6">
        <f>-173406*I2</f>
        <v>-1709783.16</v>
      </c>
      <c r="F19" s="6">
        <f>-1235237*I2</f>
        <v>-12179436.819999998</v>
      </c>
      <c r="G19" s="6"/>
      <c r="H19" s="6"/>
    </row>
    <row r="20" spans="1:8" x14ac:dyDescent="0.2">
      <c r="A20" s="6" t="s">
        <v>4</v>
      </c>
      <c r="B20" s="6">
        <f>-318406*I2</f>
        <v>-3139483.1599999997</v>
      </c>
      <c r="C20" s="6">
        <f>-3865287*I2</f>
        <v>-38111729.82</v>
      </c>
      <c r="D20" s="6">
        <f>784973*I2</f>
        <v>7739833.7799999993</v>
      </c>
      <c r="E20" s="6">
        <f>-6863047*I2</f>
        <v>-67669643.420000002</v>
      </c>
      <c r="F20" s="6">
        <f>-4380000*I2</f>
        <v>-43186800</v>
      </c>
      <c r="G20" s="6"/>
      <c r="H20" s="6"/>
    </row>
    <row r="21" spans="1:8" x14ac:dyDescent="0.2">
      <c r="A21" s="6" t="s">
        <v>94</v>
      </c>
      <c r="B21" s="6">
        <f>274845*I2</f>
        <v>2709971.6999999997</v>
      </c>
      <c r="C21" s="6">
        <f>7741363*I2</f>
        <v>76329839.179999992</v>
      </c>
      <c r="D21" s="6">
        <f>588189*I2</f>
        <v>5799543.54</v>
      </c>
      <c r="E21" s="6">
        <f>-2945453*I2</f>
        <v>-29042166.579999998</v>
      </c>
      <c r="F21" s="6">
        <f>-2901680*I2</f>
        <v>-28610564.799999997</v>
      </c>
      <c r="G21" s="6"/>
      <c r="H21" s="6"/>
    </row>
    <row r="22" spans="1:8" x14ac:dyDescent="0.2">
      <c r="A22" s="6" t="s">
        <v>48</v>
      </c>
      <c r="B22" s="6">
        <f>-1682603*I2</f>
        <v>-16590465.579999998</v>
      </c>
      <c r="C22" s="6">
        <f>3042353*I2</f>
        <v>29997600.579999998</v>
      </c>
      <c r="D22" s="6">
        <f>-1892202*I2</f>
        <v>-18657111.719999999</v>
      </c>
      <c r="E22" s="6">
        <f>469704*I2</f>
        <v>4631281.4399999995</v>
      </c>
      <c r="F22" s="6">
        <f>871637*I2</f>
        <v>8594340.8200000003</v>
      </c>
      <c r="G22" s="6"/>
      <c r="H22" s="6"/>
    </row>
    <row r="23" spans="1:8" x14ac:dyDescent="0.2">
      <c r="A23" s="6" t="s">
        <v>139</v>
      </c>
      <c r="B23" s="6">
        <f>1064850*I2</f>
        <v>10499421</v>
      </c>
      <c r="C23" s="6">
        <f>3854276*I2</f>
        <v>38003161.359999999</v>
      </c>
      <c r="D23" s="6">
        <f>1543166*I2</f>
        <v>15215616.76</v>
      </c>
      <c r="E23" s="6">
        <f>-6462292*I2</f>
        <v>-63718199.119999997</v>
      </c>
      <c r="F23" s="6">
        <f>4255500*I2</f>
        <v>41959230</v>
      </c>
      <c r="G23" s="6"/>
      <c r="H23" s="6"/>
    </row>
    <row r="24" spans="1:8" x14ac:dyDescent="0.2">
      <c r="A24" s="6" t="s">
        <v>140</v>
      </c>
      <c r="B24" s="6">
        <f>-4909070*I2</f>
        <v>-48403430.199999996</v>
      </c>
      <c r="C24" s="6">
        <f>4832960*I2</f>
        <v>47652985.599999994</v>
      </c>
      <c r="D24" s="6">
        <f>-61840*I2</f>
        <v>-609742.39999999991</v>
      </c>
      <c r="E24" s="6">
        <f>-106645*I2</f>
        <v>-1051519.7</v>
      </c>
      <c r="F24" s="6">
        <f>152702*I2</f>
        <v>1505641.72</v>
      </c>
      <c r="G24" s="6"/>
      <c r="H24" s="6"/>
    </row>
    <row r="25" spans="1:8" x14ac:dyDescent="0.2">
      <c r="A25" s="6" t="s">
        <v>141</v>
      </c>
      <c r="B25" s="6">
        <f>-6811125*I2</f>
        <v>-67157692.5</v>
      </c>
      <c r="C25" s="6">
        <f>-26844255*I2</f>
        <v>-264684354.29999998</v>
      </c>
      <c r="D25" s="6">
        <f>-34643912*I2</f>
        <v>-341588972.31999999</v>
      </c>
      <c r="E25" s="6">
        <f>-27240486*I2</f>
        <v>-268591191.95999998</v>
      </c>
      <c r="F25" s="6">
        <f>-33181517*I2</f>
        <v>-327169757.62</v>
      </c>
      <c r="G25" s="6"/>
      <c r="H25" s="6"/>
    </row>
    <row r="26" spans="1:8" x14ac:dyDescent="0.2">
      <c r="A26" s="13" t="s">
        <v>142</v>
      </c>
      <c r="B26" s="13">
        <f>SUM(B18:B25)</f>
        <v>-136416856.66</v>
      </c>
      <c r="C26" s="13">
        <f>SUM(C18:C25)</f>
        <v>-271258578.31999999</v>
      </c>
      <c r="D26" s="13">
        <f>SUM(D18:D25)</f>
        <v>-283013611.15999997</v>
      </c>
      <c r="E26" s="13">
        <f>SUM(E18:E25)</f>
        <v>-356310366.44</v>
      </c>
      <c r="F26" s="13">
        <f>SUM(F18:F25)</f>
        <v>-775591790.5</v>
      </c>
      <c r="G26" s="6"/>
      <c r="H26" s="6"/>
    </row>
    <row r="27" spans="1:8" x14ac:dyDescent="0.2">
      <c r="A27" s="13" t="s">
        <v>133</v>
      </c>
      <c r="B27" s="13">
        <f>B3+B15+B26</f>
        <v>-23764828.35999997</v>
      </c>
      <c r="C27" s="13">
        <f>C3+C15+C26</f>
        <v>380045851.43999988</v>
      </c>
      <c r="D27" s="13">
        <f>D3+D15+D26</f>
        <v>1500715249.8800001</v>
      </c>
      <c r="E27" s="13">
        <f>E3+E15+E26</f>
        <v>281939738.83999985</v>
      </c>
      <c r="F27" s="13">
        <f>F3+F15+F26</f>
        <v>813646470.35999966</v>
      </c>
      <c r="G27" s="6"/>
      <c r="H27" s="6"/>
    </row>
    <row r="28" spans="1:8" x14ac:dyDescent="0.2">
      <c r="A28" s="13"/>
      <c r="B28" s="6"/>
      <c r="C28" s="6"/>
      <c r="D28" s="6"/>
      <c r="E28" s="6"/>
      <c r="F28" s="6"/>
      <c r="G28" s="6"/>
      <c r="H28" s="6"/>
    </row>
    <row r="29" spans="1:8" x14ac:dyDescent="0.2">
      <c r="A29" s="13" t="s">
        <v>143</v>
      </c>
      <c r="B29" s="6"/>
      <c r="C29" s="6"/>
      <c r="D29" s="6"/>
      <c r="E29" s="6"/>
      <c r="F29" s="6"/>
      <c r="G29" s="6"/>
      <c r="H29" s="6"/>
    </row>
    <row r="30" spans="1:8" x14ac:dyDescent="0.2">
      <c r="A30" s="6" t="s">
        <v>144</v>
      </c>
      <c r="B30" s="6">
        <f>437610*I2</f>
        <v>4314834.5999999996</v>
      </c>
      <c r="C30" s="6">
        <f>-1440761*I2</f>
        <v>-14205903.459999999</v>
      </c>
      <c r="D30" s="6">
        <f>5226567*I2</f>
        <v>51533950.619999997</v>
      </c>
      <c r="E30" s="6">
        <f>5993518*I2</f>
        <v>59096087.479999997</v>
      </c>
      <c r="F30" s="6">
        <f>620472*I2</f>
        <v>6117853.9199999999</v>
      </c>
      <c r="G30" s="6"/>
      <c r="H30" s="6"/>
    </row>
    <row r="31" spans="1:8" x14ac:dyDescent="0.2">
      <c r="A31" s="6" t="s">
        <v>147</v>
      </c>
      <c r="B31" s="6">
        <f>-27059*I2</f>
        <v>-266801.74</v>
      </c>
      <c r="C31" s="6">
        <f>-21897*I2</f>
        <v>-215904.41999999998</v>
      </c>
      <c r="D31" s="6">
        <f>-1019*I2</f>
        <v>-10047.34</v>
      </c>
      <c r="E31" s="6">
        <f>-20000*I2</f>
        <v>-197200</v>
      </c>
      <c r="F31" s="6">
        <f>0*I2</f>
        <v>0</v>
      </c>
      <c r="G31" s="6"/>
      <c r="H31" s="6"/>
    </row>
    <row r="32" spans="1:8" x14ac:dyDescent="0.2">
      <c r="A32" s="6" t="s">
        <v>152</v>
      </c>
      <c r="B32" s="6">
        <f>0*I2</f>
        <v>0</v>
      </c>
      <c r="C32" s="6">
        <f>0*I2</f>
        <v>0</v>
      </c>
      <c r="D32" s="6">
        <f>0*I2</f>
        <v>0</v>
      </c>
      <c r="E32" s="6">
        <f>300938574*I2</f>
        <v>2967254339.6399999</v>
      </c>
      <c r="F32" s="6">
        <f>0*I2</f>
        <v>0</v>
      </c>
      <c r="G32" s="6"/>
      <c r="H32" s="6"/>
    </row>
    <row r="33" spans="1:8" x14ac:dyDescent="0.2">
      <c r="A33" s="6" t="s">
        <v>148</v>
      </c>
      <c r="B33" s="6">
        <f>1450000*I2</f>
        <v>14297000</v>
      </c>
      <c r="C33" s="6">
        <f>-410000*I2</f>
        <v>-4042599.9999999995</v>
      </c>
      <c r="D33" s="6">
        <f>-4991381*I2</f>
        <v>-49215016.659999996</v>
      </c>
      <c r="E33" s="6">
        <f>1051938*I2</f>
        <v>10372108.68</v>
      </c>
      <c r="F33" s="6">
        <f>421664*I2</f>
        <v>4157607.0399999996</v>
      </c>
      <c r="G33" s="6"/>
      <c r="H33" s="6"/>
    </row>
    <row r="34" spans="1:8" x14ac:dyDescent="0.2">
      <c r="A34" s="6" t="s">
        <v>146</v>
      </c>
      <c r="B34" s="6">
        <f>0*I2</f>
        <v>0</v>
      </c>
      <c r="C34" s="6">
        <f>-282943*I2</f>
        <v>-2789817.98</v>
      </c>
      <c r="D34" s="6">
        <f>-1403289*I2</f>
        <v>-13836429.539999999</v>
      </c>
      <c r="E34" s="6">
        <f>-1921472*I2</f>
        <v>-18945713.919999998</v>
      </c>
      <c r="F34" s="6">
        <f>-1536579*I2</f>
        <v>-15150668.939999999</v>
      </c>
      <c r="G34" s="6"/>
      <c r="H34" s="6"/>
    </row>
    <row r="35" spans="1:8" x14ac:dyDescent="0.2">
      <c r="A35" s="6" t="s">
        <v>150</v>
      </c>
      <c r="B35" s="6">
        <f>-192141628*I2</f>
        <v>-1894516452.0799999</v>
      </c>
      <c r="C35" s="6">
        <f>-443353283*I2</f>
        <v>-4371463370.3800001</v>
      </c>
      <c r="D35" s="6">
        <f>-172165396*I2</f>
        <v>-1697550804.5599999</v>
      </c>
      <c r="E35" s="6">
        <f>-20367653*I2</f>
        <v>-200825058.57999998</v>
      </c>
      <c r="F35" s="6">
        <f>-178601323*I2</f>
        <v>-1761009044.78</v>
      </c>
      <c r="G35" s="6"/>
      <c r="H35" s="6"/>
    </row>
    <row r="36" spans="1:8" x14ac:dyDescent="0.2">
      <c r="A36" s="6" t="s">
        <v>151</v>
      </c>
      <c r="B36" s="6">
        <f>275912*I2</f>
        <v>2720492.32</v>
      </c>
      <c r="C36" s="6">
        <f>130020*I2</f>
        <v>1281997.2</v>
      </c>
      <c r="D36" s="6">
        <f>50499*I2</f>
        <v>497920.13999999996</v>
      </c>
      <c r="E36" s="6">
        <f>3470*I2</f>
        <v>34214.199999999997</v>
      </c>
      <c r="F36" s="6">
        <f>375636*I2</f>
        <v>3703770.96</v>
      </c>
      <c r="G36" s="6"/>
      <c r="H36" s="6"/>
    </row>
    <row r="37" spans="1:8" x14ac:dyDescent="0.2">
      <c r="A37" s="13" t="s">
        <v>153</v>
      </c>
      <c r="B37" s="13">
        <f>SUM(B30:B36)</f>
        <v>-1873450926.9000001</v>
      </c>
      <c r="C37" s="13">
        <f>SUM(C30:C36)</f>
        <v>-4391435599.04</v>
      </c>
      <c r="D37" s="13">
        <f>SUM(D30:D36)</f>
        <v>-1708580427.3399999</v>
      </c>
      <c r="E37" s="13">
        <f>SUM(E30:E36)</f>
        <v>2816788777.4999995</v>
      </c>
      <c r="F37" s="13">
        <f>SUM(F30:F36)</f>
        <v>-1762180481.8</v>
      </c>
      <c r="G37" s="6"/>
      <c r="H37" s="6"/>
    </row>
    <row r="38" spans="1:8" x14ac:dyDescent="0.2">
      <c r="A38" s="6"/>
      <c r="B38" s="6"/>
      <c r="C38" s="6"/>
      <c r="D38" s="6"/>
      <c r="E38" s="6"/>
      <c r="F38" s="6"/>
      <c r="G38" s="6"/>
      <c r="H38" s="6"/>
    </row>
    <row r="39" spans="1:8" x14ac:dyDescent="0.2">
      <c r="A39" s="13" t="s">
        <v>154</v>
      </c>
      <c r="B39" s="6"/>
      <c r="C39" s="6"/>
      <c r="D39" s="6"/>
      <c r="E39" s="6"/>
      <c r="F39" s="6"/>
      <c r="G39" s="6"/>
      <c r="H39" s="6"/>
    </row>
    <row r="40" spans="1:8" x14ac:dyDescent="0.2">
      <c r="A40" s="6" t="s">
        <v>155</v>
      </c>
      <c r="B40" s="6">
        <f>99750000*I2</f>
        <v>983535000</v>
      </c>
      <c r="C40" s="6">
        <f>456390500*I2</f>
        <v>4500010330</v>
      </c>
      <c r="D40" s="6">
        <f>277677250*I2</f>
        <v>2737897685</v>
      </c>
      <c r="E40" s="6">
        <f>0*I2</f>
        <v>0</v>
      </c>
      <c r="F40" s="6">
        <f>306298000*I2</f>
        <v>3020098280</v>
      </c>
      <c r="G40" s="6"/>
      <c r="H40" s="6"/>
    </row>
    <row r="41" spans="1:8" x14ac:dyDescent="0.2">
      <c r="A41" s="6" t="s">
        <v>156</v>
      </c>
      <c r="B41" s="6">
        <f>-15543748*I2</f>
        <v>-153261355.28</v>
      </c>
      <c r="C41" s="6">
        <f>-56045958*I2</f>
        <v>-552613145.88</v>
      </c>
      <c r="D41" s="6">
        <f>-175908202*I2</f>
        <v>-1734454871.7199998</v>
      </c>
      <c r="E41" s="6">
        <f>-261713694*I2</f>
        <v>-2580497022.8399997</v>
      </c>
      <c r="F41" s="6">
        <f>-144294604*I2</f>
        <v>-1422744795.4399998</v>
      </c>
      <c r="G41" s="6"/>
      <c r="H41" s="6"/>
    </row>
    <row r="42" spans="1:8" x14ac:dyDescent="0.2">
      <c r="A42" s="6" t="s">
        <v>163</v>
      </c>
      <c r="B42" s="6">
        <f>125634195*I2</f>
        <v>1238753162.7</v>
      </c>
      <c r="C42" s="6">
        <f>15000000*I2</f>
        <v>147900000</v>
      </c>
      <c r="D42" s="6">
        <f>0*I2</f>
        <v>0</v>
      </c>
      <c r="E42" s="6">
        <f>0*I2</f>
        <v>0</v>
      </c>
      <c r="F42" s="6">
        <f>0*I2</f>
        <v>0</v>
      </c>
      <c r="G42" s="6"/>
      <c r="H42" s="6"/>
    </row>
    <row r="43" spans="1:8" x14ac:dyDescent="0.2">
      <c r="A43" s="6" t="s">
        <v>165</v>
      </c>
      <c r="B43" s="6">
        <f>-516683*I2</f>
        <v>-5094494.38</v>
      </c>
      <c r="C43" s="6">
        <f>-623959*I2</f>
        <v>-6152235.7399999993</v>
      </c>
      <c r="D43" s="6">
        <f>0*I2</f>
        <v>0</v>
      </c>
      <c r="E43" s="6">
        <f>0*I2</f>
        <v>0</v>
      </c>
      <c r="F43" s="6">
        <f>0*I2</f>
        <v>0</v>
      </c>
      <c r="G43" s="6"/>
      <c r="H43" s="6"/>
    </row>
    <row r="44" spans="1:8" x14ac:dyDescent="0.2">
      <c r="A44" s="6" t="s">
        <v>157</v>
      </c>
      <c r="B44" s="6">
        <f>0*I2</f>
        <v>0</v>
      </c>
      <c r="C44" s="6">
        <f>0*I2</f>
        <v>0</v>
      </c>
      <c r="D44" s="6">
        <f>0*I2</f>
        <v>0</v>
      </c>
      <c r="E44" s="6">
        <f>-34309017*I2</f>
        <v>-338286907.62</v>
      </c>
      <c r="F44" s="6">
        <f>-19594997*I2</f>
        <v>-193206670.41999999</v>
      </c>
      <c r="G44" s="6"/>
      <c r="H44" s="6"/>
    </row>
    <row r="45" spans="1:8" x14ac:dyDescent="0.2">
      <c r="A45" s="6" t="s">
        <v>162</v>
      </c>
      <c r="B45" s="6">
        <f>-2364836*I2</f>
        <v>-23317282.959999997</v>
      </c>
      <c r="C45" s="6">
        <f>-1889769*I2</f>
        <v>-18633122.34</v>
      </c>
      <c r="D45" s="6">
        <f>-12743952*I2</f>
        <v>-125655366.72</v>
      </c>
      <c r="E45" s="6">
        <f>318350*I2</f>
        <v>3138931</v>
      </c>
      <c r="F45" s="6">
        <f>-698153*I2</f>
        <v>-6883788.5799999991</v>
      </c>
      <c r="G45" s="6"/>
      <c r="H45" s="6"/>
    </row>
    <row r="46" spans="1:8" x14ac:dyDescent="0.2">
      <c r="A46" s="6" t="s">
        <v>158</v>
      </c>
      <c r="B46" s="6">
        <f>-2127188*I2</f>
        <v>-20974073.68</v>
      </c>
      <c r="C46" s="6">
        <f>-9673255*I2</f>
        <v>-95378294.299999997</v>
      </c>
      <c r="D46" s="6">
        <f>-1765961*I2</f>
        <v>-17412375.459999997</v>
      </c>
      <c r="E46" s="6">
        <f>0*I2</f>
        <v>0</v>
      </c>
      <c r="F46" s="6">
        <f>-1732860*I2</f>
        <v>-17085999.599999998</v>
      </c>
      <c r="G46" s="6"/>
      <c r="H46" s="6"/>
    </row>
    <row r="47" spans="1:8" x14ac:dyDescent="0.2">
      <c r="A47" s="6" t="s">
        <v>159</v>
      </c>
      <c r="B47" s="6">
        <f>0*I2</f>
        <v>0</v>
      </c>
      <c r="C47" s="6">
        <f>-1010155*I2</f>
        <v>-9960128.2999999989</v>
      </c>
      <c r="D47" s="6">
        <f>-2058105*I2</f>
        <v>-20292915.299999997</v>
      </c>
      <c r="E47" s="6">
        <f>-503530*I2</f>
        <v>-4964805.8</v>
      </c>
      <c r="F47" s="6">
        <f>-1012139*I2</f>
        <v>-9979690.5399999991</v>
      </c>
      <c r="G47" s="6"/>
      <c r="H47" s="6"/>
    </row>
    <row r="48" spans="1:8" x14ac:dyDescent="0.2">
      <c r="A48" s="6" t="s">
        <v>164</v>
      </c>
      <c r="B48" s="6">
        <f>5666630*I2</f>
        <v>55872971.799999997</v>
      </c>
      <c r="C48" s="6">
        <f>0*I2</f>
        <v>0</v>
      </c>
      <c r="D48" s="6">
        <f>0*I2</f>
        <v>0</v>
      </c>
      <c r="E48" s="6">
        <f>0*I2</f>
        <v>0</v>
      </c>
      <c r="F48" s="6">
        <f>0*I2</f>
        <v>0</v>
      </c>
      <c r="G48" s="6"/>
      <c r="H48" s="6"/>
    </row>
    <row r="49" spans="1:8" x14ac:dyDescent="0.2">
      <c r="A49" s="6" t="s">
        <v>160</v>
      </c>
      <c r="B49" s="6">
        <f>0*I2</f>
        <v>0</v>
      </c>
      <c r="C49" s="6">
        <f>0*I2</f>
        <v>0</v>
      </c>
      <c r="D49" s="6">
        <f>-43723896*I2</f>
        <v>-431117614.56</v>
      </c>
      <c r="E49" s="6">
        <f>-3219686*I2</f>
        <v>-31746103.959999997</v>
      </c>
      <c r="F49" s="6">
        <f>0*I2</f>
        <v>0</v>
      </c>
      <c r="G49" s="6"/>
      <c r="H49" s="6"/>
    </row>
    <row r="50" spans="1:8" x14ac:dyDescent="0.2">
      <c r="A50" s="13" t="s">
        <v>161</v>
      </c>
      <c r="B50" s="13">
        <f>SUM(B40:B49)</f>
        <v>2075513928.1999998</v>
      </c>
      <c r="C50" s="13">
        <f>SUM(C40:C49)</f>
        <v>3965173403.4399996</v>
      </c>
      <c r="D50" s="13">
        <f>SUM(D40:D49)</f>
        <v>408964541.24000019</v>
      </c>
      <c r="E50" s="13">
        <f>SUM(E40:E49)</f>
        <v>-2952355909.2199998</v>
      </c>
      <c r="F50" s="13">
        <f>SUM(F40:F49)</f>
        <v>1370197335.4200003</v>
      </c>
      <c r="G50" s="6"/>
      <c r="H50" s="6"/>
    </row>
    <row r="51" spans="1:8" x14ac:dyDescent="0.2">
      <c r="A51" s="6" t="s">
        <v>87</v>
      </c>
      <c r="B51" s="6"/>
      <c r="C51" s="6"/>
      <c r="D51" s="6"/>
      <c r="E51" s="6"/>
      <c r="F51" s="6"/>
      <c r="G51" s="6"/>
      <c r="H51" s="6"/>
    </row>
    <row r="52" spans="1:8" x14ac:dyDescent="0.2">
      <c r="A52" s="6" t="s">
        <v>166</v>
      </c>
      <c r="B52" s="6">
        <f>0*I2</f>
        <v>0</v>
      </c>
      <c r="C52" s="6">
        <f>0*I2</f>
        <v>0</v>
      </c>
      <c r="D52" s="6">
        <f>0*I2</f>
        <v>0</v>
      </c>
      <c r="E52" s="6">
        <f>0*I2</f>
        <v>0</v>
      </c>
      <c r="F52" s="6">
        <f>397680*I2</f>
        <v>3921124.8</v>
      </c>
      <c r="G52" s="6"/>
      <c r="H52" s="6"/>
    </row>
    <row r="53" spans="1:8" x14ac:dyDescent="0.2">
      <c r="A53" s="6" t="s">
        <v>167</v>
      </c>
      <c r="B53" s="6">
        <f>18082979*I2</f>
        <v>178298172.94</v>
      </c>
      <c r="C53" s="6">
        <f>-4687256*I2</f>
        <v>-46216344.159999996</v>
      </c>
      <c r="D53" s="6">
        <f>9942339*I2</f>
        <v>98031462.539999992</v>
      </c>
      <c r="E53" s="6">
        <f>14845092*I2</f>
        <v>146372607.12</v>
      </c>
      <c r="F53" s="6">
        <f>42765043*I2</f>
        <v>421663323.97999996</v>
      </c>
      <c r="G53" s="6"/>
      <c r="H53" s="6"/>
    </row>
    <row r="54" spans="1:8" x14ac:dyDescent="0.2">
      <c r="A54" s="6" t="s">
        <v>168</v>
      </c>
      <c r="B54" s="6">
        <f>0*I2</f>
        <v>0</v>
      </c>
      <c r="C54" s="6">
        <f>18082979*I2</f>
        <v>178298172.94</v>
      </c>
      <c r="D54" s="6">
        <f>13395723*I2</f>
        <v>132081828.77999999</v>
      </c>
      <c r="E54" s="6">
        <f>23338062*I2</f>
        <v>230113291.31999999</v>
      </c>
      <c r="F54" s="6">
        <f>38183154*I2</f>
        <v>376485898.44</v>
      </c>
      <c r="G54" s="6"/>
      <c r="H54" s="6"/>
    </row>
    <row r="55" spans="1:8" x14ac:dyDescent="0.2">
      <c r="A55" s="13" t="s">
        <v>169</v>
      </c>
      <c r="B55" s="13">
        <f>SUM(B52:B54)</f>
        <v>178298172.94</v>
      </c>
      <c r="C55" s="13">
        <f>SUM(C52:C54)</f>
        <v>132081828.78</v>
      </c>
      <c r="D55" s="13">
        <f>SUM(D52:D54)</f>
        <v>230113291.31999999</v>
      </c>
      <c r="E55" s="13">
        <f>SUM(E52:E54)</f>
        <v>376485898.44</v>
      </c>
      <c r="F55" s="13">
        <f>SUM(F52:F54)</f>
        <v>802070347.22000003</v>
      </c>
      <c r="G55" s="6"/>
      <c r="H55" s="6"/>
    </row>
    <row r="56" spans="1:8" x14ac:dyDescent="0.2">
      <c r="A56" s="6"/>
      <c r="B56" s="6"/>
      <c r="C56" s="6"/>
      <c r="D56" s="6"/>
      <c r="E56" s="6"/>
      <c r="F56" s="6"/>
      <c r="G56" s="6"/>
      <c r="H56" s="6"/>
    </row>
    <row r="57" spans="1:8" x14ac:dyDescent="0.2">
      <c r="A57" s="6"/>
      <c r="B57" s="6"/>
      <c r="C57" s="6"/>
      <c r="D57" s="6"/>
      <c r="E57" s="6"/>
      <c r="F57" s="6"/>
      <c r="G57" s="6"/>
      <c r="H57" s="6"/>
    </row>
    <row r="58" spans="1:8" x14ac:dyDescent="0.2">
      <c r="A58" s="6"/>
      <c r="B58" s="6"/>
      <c r="C58" s="6"/>
      <c r="D58" s="6"/>
      <c r="E58" s="6"/>
      <c r="F58" s="6"/>
      <c r="G58" s="6"/>
      <c r="H58" s="6"/>
    </row>
    <row r="59" spans="1:8" x14ac:dyDescent="0.2">
      <c r="A59" s="6"/>
      <c r="B59" s="6"/>
      <c r="C59" s="6"/>
      <c r="D59" s="6"/>
      <c r="E59" s="6"/>
      <c r="F59" s="6"/>
      <c r="G59" s="6"/>
      <c r="H59" s="6"/>
    </row>
    <row r="60" spans="1:8" x14ac:dyDescent="0.2">
      <c r="A60" s="6"/>
      <c r="B60" s="6"/>
      <c r="C60" s="6"/>
      <c r="D60" s="6"/>
      <c r="E60" s="6"/>
      <c r="F60" s="6"/>
      <c r="G60" s="6"/>
      <c r="H60" s="6"/>
    </row>
    <row r="61" spans="1:8" x14ac:dyDescent="0.2">
      <c r="A61" s="6"/>
      <c r="B61" s="6"/>
      <c r="C61" s="6"/>
      <c r="D61" s="6"/>
      <c r="E61" s="6"/>
      <c r="F61" s="6"/>
      <c r="G61" s="6"/>
      <c r="H61" s="6"/>
    </row>
    <row r="62" spans="1:8" x14ac:dyDescent="0.2">
      <c r="A62" s="6"/>
      <c r="B62" s="6"/>
      <c r="C62" s="6"/>
      <c r="D62" s="6"/>
      <c r="E62" s="6"/>
      <c r="F62" s="6"/>
      <c r="G62" s="6"/>
      <c r="H62" s="6"/>
    </row>
    <row r="63" spans="1:8" x14ac:dyDescent="0.2">
      <c r="A63" s="6"/>
      <c r="B63" s="6"/>
      <c r="C63" s="6"/>
      <c r="D63" s="6"/>
      <c r="E63" s="6"/>
      <c r="F63" s="6"/>
      <c r="G63" s="6"/>
      <c r="H63" s="6"/>
    </row>
    <row r="64" spans="1:8" x14ac:dyDescent="0.2">
      <c r="A64" s="6"/>
      <c r="B64" s="6"/>
      <c r="C64" s="6"/>
      <c r="D64" s="6"/>
      <c r="E64" s="6"/>
      <c r="F64" s="6"/>
      <c r="G64" s="6"/>
      <c r="H64" s="6"/>
    </row>
    <row r="65" spans="1:8" x14ac:dyDescent="0.2">
      <c r="A65" s="6"/>
      <c r="B65" s="6"/>
      <c r="C65" s="6"/>
      <c r="D65" s="6"/>
      <c r="E65" s="6"/>
      <c r="F65" s="6"/>
      <c r="G65" s="6"/>
      <c r="H65" s="6"/>
    </row>
    <row r="66" spans="1:8" x14ac:dyDescent="0.2">
      <c r="A66" s="6"/>
      <c r="B66" s="6"/>
      <c r="C66" s="6"/>
      <c r="D66" s="6"/>
      <c r="E66" s="6"/>
      <c r="F66" s="6"/>
      <c r="G66" s="6"/>
      <c r="H66" s="6"/>
    </row>
    <row r="67" spans="1:8" x14ac:dyDescent="0.2">
      <c r="A67" s="6"/>
      <c r="B67" s="6"/>
      <c r="C67" s="6"/>
      <c r="D67" s="6"/>
      <c r="E67" s="6"/>
      <c r="F67" s="6"/>
      <c r="G67" s="6"/>
      <c r="H67" s="6"/>
    </row>
    <row r="68" spans="1:8" x14ac:dyDescent="0.2">
      <c r="A68" s="6"/>
      <c r="B68" s="6"/>
      <c r="C68" s="6"/>
      <c r="D68" s="6"/>
      <c r="E68" s="6"/>
      <c r="F68" s="6"/>
      <c r="G68" s="6"/>
      <c r="H68" s="6"/>
    </row>
    <row r="69" spans="1:8" x14ac:dyDescent="0.2">
      <c r="A69" s="6"/>
      <c r="B69" s="6"/>
      <c r="C69" s="6"/>
      <c r="D69" s="6"/>
      <c r="E69" s="6"/>
      <c r="F69" s="6"/>
      <c r="G69" s="6"/>
      <c r="H69" s="6"/>
    </row>
    <row r="70" spans="1:8" x14ac:dyDescent="0.2">
      <c r="A70" s="6"/>
      <c r="B70" s="6"/>
      <c r="C70" s="6"/>
      <c r="D70" s="6"/>
      <c r="E70" s="6"/>
      <c r="F70" s="6"/>
      <c r="G70" s="6"/>
      <c r="H70" s="6"/>
    </row>
    <row r="71" spans="1:8" x14ac:dyDescent="0.2">
      <c r="A71" s="6"/>
      <c r="B71" s="6"/>
      <c r="C71" s="6"/>
      <c r="D71" s="6"/>
      <c r="E71" s="6"/>
      <c r="F71" s="6"/>
      <c r="G71" s="6"/>
      <c r="H71" s="6"/>
    </row>
    <row r="72" spans="1:8" x14ac:dyDescent="0.2">
      <c r="A72" s="6"/>
      <c r="B72" s="6"/>
      <c r="C72" s="6"/>
      <c r="D72" s="6"/>
      <c r="E72" s="6"/>
      <c r="F72" s="6"/>
      <c r="G72" s="6"/>
      <c r="H72" s="6"/>
    </row>
    <row r="73" spans="1:8" x14ac:dyDescent="0.2">
      <c r="A73" s="6"/>
      <c r="B73" s="6"/>
      <c r="C73" s="6"/>
      <c r="D73" s="6"/>
      <c r="E73" s="6"/>
      <c r="F73" s="6"/>
      <c r="G73" s="6"/>
      <c r="H73" s="6"/>
    </row>
    <row r="74" spans="1:8" x14ac:dyDescent="0.2">
      <c r="A74" s="6"/>
      <c r="B74" s="6"/>
      <c r="C74" s="6"/>
      <c r="D74" s="6"/>
      <c r="E74" s="6"/>
      <c r="F74" s="6"/>
      <c r="G74" s="6"/>
      <c r="H74" s="6"/>
    </row>
    <row r="75" spans="1:8" x14ac:dyDescent="0.2">
      <c r="A75" s="6"/>
      <c r="B75" s="6"/>
      <c r="C75" s="6"/>
      <c r="D75" s="6"/>
      <c r="E75" s="6"/>
      <c r="F75" s="6"/>
      <c r="G75" s="6"/>
      <c r="H75" s="6"/>
    </row>
    <row r="76" spans="1:8" x14ac:dyDescent="0.2">
      <c r="A76" s="6"/>
      <c r="B76" s="6"/>
      <c r="C76" s="6"/>
      <c r="D76" s="6"/>
      <c r="E76" s="6"/>
      <c r="F76" s="6"/>
      <c r="G76" s="6"/>
      <c r="H76" s="6"/>
    </row>
    <row r="77" spans="1:8" x14ac:dyDescent="0.2">
      <c r="A77" s="6"/>
      <c r="B77" s="6"/>
      <c r="C77" s="6"/>
      <c r="D77" s="6"/>
      <c r="E77" s="6"/>
      <c r="F77" s="6"/>
      <c r="G77" s="6"/>
      <c r="H77" s="6"/>
    </row>
    <row r="78" spans="1:8" x14ac:dyDescent="0.2">
      <c r="A78" s="6"/>
      <c r="B78" s="6"/>
      <c r="C78" s="6"/>
      <c r="D78" s="6"/>
      <c r="E78" s="6"/>
      <c r="F78" s="6"/>
      <c r="G78" s="6"/>
      <c r="H78" s="6"/>
    </row>
    <row r="79" spans="1:8" x14ac:dyDescent="0.2">
      <c r="A79" s="6"/>
      <c r="B79" s="6"/>
      <c r="C79" s="6"/>
      <c r="D79" s="6"/>
      <c r="E79" s="6"/>
      <c r="F79" s="6"/>
      <c r="G79" s="6"/>
      <c r="H79" s="6"/>
    </row>
    <row r="80" spans="1:8" x14ac:dyDescent="0.2">
      <c r="A80" s="6"/>
      <c r="B80" s="6"/>
      <c r="C80" s="6"/>
      <c r="D80" s="6"/>
      <c r="E80" s="6"/>
      <c r="F80" s="6"/>
      <c r="G80" s="6"/>
      <c r="H80" s="6"/>
    </row>
    <row r="81" spans="1:8" x14ac:dyDescent="0.2">
      <c r="A81" s="6"/>
      <c r="B81" s="6"/>
      <c r="C81" s="6"/>
      <c r="D81" s="6"/>
      <c r="E81" s="6"/>
      <c r="F81" s="6"/>
      <c r="G81" s="6"/>
      <c r="H81" s="6"/>
    </row>
    <row r="82" spans="1:8" x14ac:dyDescent="0.2">
      <c r="A82" s="6"/>
      <c r="B82" s="6"/>
      <c r="C82" s="6"/>
      <c r="D82" s="6"/>
      <c r="E82" s="6"/>
      <c r="F82" s="6"/>
      <c r="G82" s="6"/>
      <c r="H82" s="6"/>
    </row>
    <row r="83" spans="1:8" x14ac:dyDescent="0.2">
      <c r="A83" s="6"/>
      <c r="B83" s="6"/>
      <c r="C83" s="6"/>
      <c r="D83" s="6"/>
      <c r="E83" s="6"/>
      <c r="F83" s="6"/>
      <c r="G83" s="6"/>
      <c r="H83" s="6"/>
    </row>
    <row r="84" spans="1:8" x14ac:dyDescent="0.2">
      <c r="A84" s="6"/>
      <c r="B84" s="6"/>
      <c r="C84" s="6"/>
      <c r="D84" s="6"/>
      <c r="E84" s="6"/>
      <c r="F84" s="6"/>
      <c r="G84" s="6"/>
      <c r="H84" s="6"/>
    </row>
    <row r="85" spans="1:8" x14ac:dyDescent="0.2">
      <c r="A85" s="6"/>
      <c r="B85" s="6"/>
      <c r="C85" s="6"/>
      <c r="D85" s="6"/>
      <c r="E85" s="6"/>
      <c r="F85" s="6"/>
      <c r="G85" s="6"/>
      <c r="H85" s="6"/>
    </row>
    <row r="86" spans="1:8" x14ac:dyDescent="0.2">
      <c r="A86" s="6"/>
      <c r="B86" s="6"/>
      <c r="C86" s="6"/>
      <c r="D86" s="6"/>
      <c r="E86" s="6"/>
      <c r="F86" s="6"/>
      <c r="G86" s="6"/>
      <c r="H86" s="6"/>
    </row>
    <row r="87" spans="1:8" x14ac:dyDescent="0.2">
      <c r="A87" s="6"/>
      <c r="B87" s="6"/>
      <c r="C87" s="6"/>
      <c r="D87" s="6"/>
      <c r="E87" s="6"/>
      <c r="F87" s="6"/>
      <c r="G87" s="6"/>
      <c r="H87" s="6"/>
    </row>
    <row r="88" spans="1:8" x14ac:dyDescent="0.2">
      <c r="A88" s="6"/>
      <c r="B88" s="6"/>
      <c r="C88" s="6"/>
      <c r="D88" s="6"/>
      <c r="E88" s="6"/>
      <c r="F88" s="6"/>
      <c r="G88" s="6"/>
      <c r="H88" s="6"/>
    </row>
    <row r="89" spans="1:8" x14ac:dyDescent="0.2">
      <c r="A89" s="6"/>
      <c r="B89" s="6"/>
      <c r="C89" s="6"/>
      <c r="D89" s="6"/>
      <c r="E89" s="6"/>
      <c r="F89" s="6"/>
      <c r="G89" s="6"/>
      <c r="H89" s="6"/>
    </row>
    <row r="90" spans="1:8" x14ac:dyDescent="0.2">
      <c r="A90" s="6"/>
      <c r="B90" s="6"/>
      <c r="C90" s="6"/>
      <c r="D90" s="6"/>
      <c r="E90" s="6"/>
      <c r="F90" s="6"/>
      <c r="G90" s="6"/>
      <c r="H90" s="6"/>
    </row>
    <row r="91" spans="1:8" x14ac:dyDescent="0.2">
      <c r="A91" s="6"/>
      <c r="B91" s="6"/>
      <c r="C91" s="6"/>
      <c r="D91" s="6"/>
      <c r="E91" s="6"/>
      <c r="F91" s="6"/>
      <c r="G91" s="6"/>
      <c r="H91" s="6"/>
    </row>
    <row r="92" spans="1:8" x14ac:dyDescent="0.2">
      <c r="A92" s="6"/>
      <c r="B92" s="6"/>
      <c r="C92" s="6"/>
      <c r="D92" s="6"/>
      <c r="E92" s="6"/>
      <c r="F92" s="6"/>
      <c r="G92" s="6"/>
      <c r="H92" s="6"/>
    </row>
    <row r="93" spans="1:8" x14ac:dyDescent="0.2">
      <c r="A93" s="6"/>
      <c r="B93" s="6"/>
      <c r="C93" s="6"/>
      <c r="D93" s="6"/>
      <c r="E93" s="6"/>
      <c r="F93" s="6"/>
      <c r="G93" s="6"/>
      <c r="H93" s="6"/>
    </row>
    <row r="94" spans="1:8" x14ac:dyDescent="0.2">
      <c r="A94" s="6"/>
      <c r="B94" s="6"/>
      <c r="C94" s="6"/>
      <c r="D94" s="6"/>
      <c r="E94" s="6"/>
      <c r="F94" s="6"/>
      <c r="G94" s="6"/>
      <c r="H94" s="6"/>
    </row>
    <row r="95" spans="1:8" x14ac:dyDescent="0.2">
      <c r="A95" s="6"/>
      <c r="B95" s="6"/>
      <c r="C95" s="6"/>
      <c r="D95" s="6"/>
      <c r="E95" s="6"/>
      <c r="F95" s="6"/>
      <c r="G95" s="6"/>
      <c r="H95" s="6"/>
    </row>
    <row r="96" spans="1:8" x14ac:dyDescent="0.2">
      <c r="A96" s="6"/>
      <c r="B96" s="6"/>
      <c r="C96" s="6"/>
      <c r="D96" s="6"/>
      <c r="E96" s="6"/>
      <c r="F96" s="6"/>
      <c r="G96" s="6"/>
      <c r="H96" s="6"/>
    </row>
    <row r="97" spans="1:8" x14ac:dyDescent="0.2">
      <c r="A97" s="6"/>
      <c r="B97" s="6"/>
      <c r="C97" s="6"/>
      <c r="D97" s="6"/>
      <c r="E97" s="6"/>
      <c r="F97" s="6"/>
      <c r="G97" s="6"/>
      <c r="H97" s="6"/>
    </row>
    <row r="98" spans="1:8" x14ac:dyDescent="0.2">
      <c r="A98" s="6"/>
      <c r="B98" s="6"/>
      <c r="C98" s="6"/>
      <c r="D98" s="6"/>
      <c r="E98" s="6"/>
      <c r="F98" s="6"/>
      <c r="G98" s="6"/>
      <c r="H98" s="6"/>
    </row>
    <row r="99" spans="1:8" x14ac:dyDescent="0.2">
      <c r="A99" s="6"/>
      <c r="B99" s="6"/>
      <c r="C99" s="6"/>
      <c r="D99" s="6"/>
      <c r="E99" s="6"/>
      <c r="F99" s="6"/>
      <c r="G99" s="6"/>
      <c r="H99" s="6"/>
    </row>
    <row r="100" spans="1:8" x14ac:dyDescent="0.2">
      <c r="A100" s="6"/>
      <c r="B100" s="6"/>
      <c r="C100" s="6"/>
      <c r="D100" s="6"/>
      <c r="E100" s="6"/>
      <c r="F100" s="6"/>
      <c r="G100" s="6"/>
      <c r="H100" s="6"/>
    </row>
    <row r="101" spans="1:8" x14ac:dyDescent="0.2">
      <c r="A101" s="6"/>
      <c r="B101" s="6"/>
      <c r="C101" s="6"/>
      <c r="D101" s="6"/>
      <c r="E101" s="6"/>
      <c r="F101" s="6"/>
      <c r="G101" s="6"/>
      <c r="H101" s="6"/>
    </row>
    <row r="102" spans="1:8" x14ac:dyDescent="0.2">
      <c r="A102" s="6"/>
      <c r="B102" s="6"/>
      <c r="C102" s="6"/>
      <c r="D102" s="6"/>
      <c r="E102" s="6"/>
      <c r="F102" s="6"/>
      <c r="G102" s="6"/>
      <c r="H102" s="6"/>
    </row>
    <row r="103" spans="1:8" x14ac:dyDescent="0.2">
      <c r="A103" s="6"/>
      <c r="B103" s="6"/>
      <c r="C103" s="6"/>
      <c r="D103" s="6"/>
      <c r="E103" s="6"/>
      <c r="F103" s="6"/>
      <c r="G103" s="6"/>
      <c r="H103" s="6"/>
    </row>
    <row r="104" spans="1:8" x14ac:dyDescent="0.2">
      <c r="A104" s="6"/>
      <c r="B104" s="6"/>
      <c r="C104" s="6"/>
      <c r="D104" s="6"/>
      <c r="E104" s="6"/>
      <c r="F104" s="6"/>
      <c r="G104" s="6"/>
      <c r="H104" s="6"/>
    </row>
    <row r="105" spans="1:8" x14ac:dyDescent="0.2">
      <c r="A105" s="6"/>
      <c r="B105" s="6"/>
      <c r="C105" s="6"/>
      <c r="D105" s="6"/>
      <c r="E105" s="6"/>
      <c r="F105" s="6"/>
      <c r="G105" s="6"/>
      <c r="H105" s="6"/>
    </row>
    <row r="106" spans="1:8" x14ac:dyDescent="0.2">
      <c r="A106" s="6"/>
      <c r="B106" s="6"/>
      <c r="C106" s="6"/>
      <c r="D106" s="6"/>
      <c r="E106" s="6"/>
      <c r="F106" s="6"/>
      <c r="G106" s="6"/>
      <c r="H106" s="6"/>
    </row>
    <row r="107" spans="1:8" x14ac:dyDescent="0.2">
      <c r="A107" s="6"/>
      <c r="B107" s="6"/>
      <c r="C107" s="6"/>
      <c r="D107" s="6"/>
      <c r="E107" s="6"/>
      <c r="F107" s="6"/>
      <c r="G107" s="6"/>
      <c r="H107" s="6"/>
    </row>
    <row r="108" spans="1:8" x14ac:dyDescent="0.2">
      <c r="A108" s="6"/>
      <c r="B108" s="6"/>
      <c r="C108" s="6"/>
      <c r="D108" s="6"/>
      <c r="E108" s="6"/>
      <c r="F108" s="6"/>
      <c r="G108" s="6"/>
      <c r="H108" s="6"/>
    </row>
    <row r="109" spans="1:8" x14ac:dyDescent="0.2">
      <c r="A109" s="6"/>
      <c r="B109" s="6"/>
      <c r="C109" s="6"/>
      <c r="D109" s="6"/>
      <c r="E109" s="6"/>
      <c r="F109" s="6"/>
      <c r="G109" s="6"/>
      <c r="H109" s="6"/>
    </row>
    <row r="110" spans="1:8" x14ac:dyDescent="0.2">
      <c r="A110" s="6"/>
      <c r="B110" s="6"/>
      <c r="C110" s="6"/>
      <c r="D110" s="6"/>
      <c r="E110" s="6"/>
      <c r="F110" s="6"/>
      <c r="G110" s="6"/>
      <c r="H110" s="6"/>
    </row>
    <row r="111" spans="1:8" x14ac:dyDescent="0.2">
      <c r="A111" s="6"/>
      <c r="B111" s="6"/>
      <c r="C111" s="6"/>
      <c r="D111" s="6"/>
      <c r="E111" s="6"/>
      <c r="F111" s="6"/>
      <c r="G111" s="6"/>
      <c r="H111" s="6"/>
    </row>
    <row r="112" spans="1:8" x14ac:dyDescent="0.2">
      <c r="A112" s="6"/>
      <c r="B112" s="6"/>
      <c r="C112" s="6"/>
      <c r="D112" s="6"/>
      <c r="E112" s="6"/>
      <c r="F112" s="6"/>
      <c r="G112" s="6"/>
      <c r="H112" s="6"/>
    </row>
    <row r="113" spans="1:8" x14ac:dyDescent="0.2">
      <c r="A113" s="6"/>
      <c r="B113" s="6"/>
      <c r="C113" s="6"/>
      <c r="D113" s="6"/>
      <c r="E113" s="6"/>
      <c r="F113" s="6"/>
      <c r="G113" s="6"/>
      <c r="H113" s="6"/>
    </row>
    <row r="114" spans="1:8" x14ac:dyDescent="0.2">
      <c r="A114" s="6"/>
      <c r="B114" s="6"/>
      <c r="C114" s="6"/>
      <c r="D114" s="6"/>
      <c r="E114" s="6"/>
      <c r="F114" s="6"/>
      <c r="G114" s="6"/>
      <c r="H114" s="6"/>
    </row>
    <row r="115" spans="1:8" x14ac:dyDescent="0.2">
      <c r="A115" s="6"/>
      <c r="B115" s="6"/>
      <c r="C115" s="6"/>
      <c r="D115" s="6"/>
      <c r="E115" s="6"/>
      <c r="F115" s="6"/>
      <c r="G115" s="6"/>
      <c r="H115" s="6"/>
    </row>
    <row r="116" spans="1:8" x14ac:dyDescent="0.2">
      <c r="A116" s="6"/>
      <c r="B116" s="6"/>
      <c r="C116" s="6"/>
      <c r="D116" s="6"/>
      <c r="E116" s="6"/>
      <c r="F116" s="6"/>
      <c r="G116" s="6"/>
      <c r="H116" s="6"/>
    </row>
    <row r="117" spans="1:8" x14ac:dyDescent="0.2">
      <c r="A117" s="6"/>
      <c r="B117" s="6"/>
      <c r="C117" s="6"/>
      <c r="D117" s="6"/>
      <c r="E117" s="6"/>
      <c r="F117" s="6"/>
      <c r="G117" s="6"/>
      <c r="H117" s="6"/>
    </row>
    <row r="118" spans="1:8" x14ac:dyDescent="0.2">
      <c r="A118" s="6"/>
      <c r="B118" s="6"/>
      <c r="C118" s="6"/>
      <c r="D118" s="6"/>
      <c r="E118" s="6"/>
      <c r="F118" s="6"/>
      <c r="G118" s="6"/>
      <c r="H118" s="6"/>
    </row>
    <row r="119" spans="1:8" x14ac:dyDescent="0.2">
      <c r="A119" s="6"/>
      <c r="B119" s="6"/>
      <c r="C119" s="6"/>
      <c r="D119" s="6"/>
      <c r="E119" s="6"/>
      <c r="F119" s="6"/>
      <c r="G119" s="6"/>
      <c r="H119" s="6"/>
    </row>
    <row r="120" spans="1:8" x14ac:dyDescent="0.2">
      <c r="A120" s="6"/>
      <c r="B120" s="6"/>
      <c r="C120" s="6"/>
      <c r="D120" s="6"/>
      <c r="E120" s="6"/>
      <c r="F120" s="6"/>
      <c r="G120" s="6"/>
      <c r="H120" s="6"/>
    </row>
    <row r="121" spans="1:8" x14ac:dyDescent="0.2">
      <c r="A121" s="6"/>
      <c r="B121" s="6"/>
      <c r="C121" s="6"/>
      <c r="D121" s="6"/>
      <c r="E121" s="6"/>
      <c r="F121" s="6"/>
      <c r="G121" s="6"/>
      <c r="H121" s="6"/>
    </row>
    <row r="122" spans="1:8" x14ac:dyDescent="0.2">
      <c r="A122" s="6"/>
      <c r="B122" s="6"/>
      <c r="C122" s="6"/>
      <c r="D122" s="6"/>
      <c r="E122" s="6"/>
      <c r="F122" s="6"/>
      <c r="G122" s="6"/>
      <c r="H122" s="6"/>
    </row>
    <row r="123" spans="1:8" x14ac:dyDescent="0.2">
      <c r="A123" s="6"/>
      <c r="B123" s="6"/>
      <c r="C123" s="6"/>
      <c r="D123" s="6"/>
      <c r="E123" s="6"/>
      <c r="F123" s="6"/>
      <c r="G123" s="6"/>
      <c r="H123" s="6"/>
    </row>
    <row r="124" spans="1:8" x14ac:dyDescent="0.2">
      <c r="A124" s="6"/>
      <c r="B124" s="6"/>
      <c r="C124" s="6"/>
      <c r="D124" s="6"/>
      <c r="E124" s="6"/>
      <c r="F124" s="6"/>
      <c r="G124" s="6"/>
      <c r="H124" s="6"/>
    </row>
    <row r="125" spans="1:8" x14ac:dyDescent="0.2">
      <c r="A125" s="6"/>
      <c r="B125" s="6"/>
      <c r="C125" s="6"/>
      <c r="D125" s="6"/>
      <c r="E125" s="6"/>
      <c r="F125" s="6"/>
      <c r="G125" s="6"/>
      <c r="H125" s="6"/>
    </row>
    <row r="126" spans="1:8" x14ac:dyDescent="0.2">
      <c r="A126" s="6"/>
      <c r="B126" s="6"/>
      <c r="C126" s="6"/>
      <c r="D126" s="6"/>
      <c r="E126" s="6"/>
      <c r="F126" s="6"/>
      <c r="G126" s="6"/>
      <c r="H126" s="6"/>
    </row>
    <row r="127" spans="1:8" x14ac:dyDescent="0.2">
      <c r="A127" s="6"/>
      <c r="B127" s="6"/>
      <c r="C127" s="6"/>
      <c r="D127" s="6"/>
      <c r="E127" s="6"/>
      <c r="F127" s="6"/>
      <c r="G127" s="6"/>
      <c r="H127" s="6"/>
    </row>
    <row r="128" spans="1:8" x14ac:dyDescent="0.2">
      <c r="A128" s="6"/>
      <c r="B128" s="6"/>
      <c r="C128" s="6"/>
      <c r="D128" s="6"/>
      <c r="E128" s="6"/>
      <c r="F128" s="6"/>
      <c r="G128" s="6"/>
      <c r="H128" s="6"/>
    </row>
    <row r="129" spans="1:8" x14ac:dyDescent="0.2">
      <c r="A129" s="6"/>
      <c r="B129" s="6"/>
      <c r="C129" s="6"/>
      <c r="D129" s="6"/>
      <c r="E129" s="6"/>
      <c r="F129" s="6"/>
      <c r="G129" s="6"/>
      <c r="H129" s="6"/>
    </row>
    <row r="130" spans="1:8" x14ac:dyDescent="0.2">
      <c r="A130" s="6"/>
      <c r="B130" s="6"/>
      <c r="C130" s="6"/>
      <c r="D130" s="6"/>
      <c r="E130" s="6"/>
      <c r="F130" s="6"/>
      <c r="G130" s="6"/>
      <c r="H130" s="6"/>
    </row>
    <row r="131" spans="1:8" x14ac:dyDescent="0.2">
      <c r="A131" s="6"/>
      <c r="B131" s="6"/>
      <c r="C131" s="6"/>
      <c r="D131" s="6"/>
      <c r="E131" s="6"/>
      <c r="F131" s="6"/>
      <c r="G131" s="6"/>
      <c r="H131" s="6"/>
    </row>
    <row r="132" spans="1:8" x14ac:dyDescent="0.2">
      <c r="A132" s="6"/>
      <c r="B132" s="6"/>
      <c r="C132" s="6"/>
      <c r="D132" s="6"/>
      <c r="E132" s="6"/>
      <c r="F132" s="6"/>
      <c r="G132" s="6"/>
      <c r="H132" s="6"/>
    </row>
    <row r="133" spans="1:8" x14ac:dyDescent="0.2">
      <c r="A133" s="6"/>
      <c r="B133" s="6"/>
      <c r="C133" s="6"/>
      <c r="D133" s="6"/>
      <c r="E133" s="6"/>
      <c r="F133" s="6"/>
      <c r="G133" s="6"/>
      <c r="H133" s="6"/>
    </row>
    <row r="134" spans="1:8" x14ac:dyDescent="0.2">
      <c r="A134" s="6"/>
      <c r="B134" s="6"/>
      <c r="C134" s="6"/>
      <c r="D134" s="6"/>
      <c r="E134" s="6"/>
      <c r="F134" s="6"/>
      <c r="G134" s="6"/>
      <c r="H134" s="6"/>
    </row>
    <row r="135" spans="1:8" x14ac:dyDescent="0.2">
      <c r="A135" s="6"/>
      <c r="B135" s="6"/>
      <c r="C135" s="6"/>
      <c r="D135" s="6"/>
      <c r="E135" s="6"/>
      <c r="F135" s="6"/>
      <c r="G135" s="6"/>
      <c r="H135" s="6"/>
    </row>
    <row r="136" spans="1:8" x14ac:dyDescent="0.2">
      <c r="A136" s="6"/>
      <c r="B136" s="6"/>
      <c r="C136" s="6"/>
      <c r="D136" s="6"/>
      <c r="E136" s="6"/>
      <c r="F136" s="6"/>
      <c r="G136" s="6"/>
      <c r="H136" s="6"/>
    </row>
    <row r="137" spans="1:8" x14ac:dyDescent="0.2">
      <c r="A137" s="6"/>
      <c r="B137" s="6"/>
      <c r="C137" s="6"/>
      <c r="D137" s="6"/>
      <c r="E137" s="6"/>
      <c r="F137" s="6"/>
      <c r="G137" s="6"/>
      <c r="H137" s="6"/>
    </row>
    <row r="138" spans="1:8" x14ac:dyDescent="0.2">
      <c r="A138" s="6"/>
      <c r="B138" s="6"/>
      <c r="C138" s="6"/>
      <c r="D138" s="6"/>
      <c r="E138" s="6"/>
      <c r="F138" s="6"/>
      <c r="G138" s="6"/>
      <c r="H138" s="6"/>
    </row>
    <row r="139" spans="1:8" x14ac:dyDescent="0.2">
      <c r="A139" s="6"/>
      <c r="B139" s="6"/>
      <c r="C139" s="6"/>
      <c r="D139" s="6"/>
      <c r="E139" s="6"/>
      <c r="F139" s="6"/>
      <c r="G139" s="6"/>
      <c r="H139" s="6"/>
    </row>
    <row r="140" spans="1:8" x14ac:dyDescent="0.2">
      <c r="A140" s="6"/>
      <c r="B140" s="6"/>
      <c r="C140" s="6"/>
      <c r="D140" s="6"/>
      <c r="E140" s="6"/>
      <c r="F140" s="6"/>
      <c r="G140" s="6"/>
      <c r="H140" s="6"/>
    </row>
    <row r="141" spans="1:8" x14ac:dyDescent="0.2">
      <c r="A141" s="6"/>
      <c r="B141" s="6"/>
      <c r="C141" s="6"/>
      <c r="D141" s="6"/>
      <c r="E141" s="6"/>
      <c r="F141" s="6"/>
      <c r="G141" s="6"/>
      <c r="H141" s="6"/>
    </row>
    <row r="142" spans="1:8" x14ac:dyDescent="0.2">
      <c r="A142" s="6"/>
      <c r="B142" s="6"/>
      <c r="C142" s="6"/>
      <c r="D142" s="6"/>
      <c r="E142" s="6"/>
      <c r="F142" s="6"/>
      <c r="G142" s="6"/>
      <c r="H142" s="6"/>
    </row>
    <row r="143" spans="1:8" x14ac:dyDescent="0.2">
      <c r="A143" s="6"/>
      <c r="B143" s="6"/>
      <c r="C143" s="6"/>
      <c r="D143" s="6"/>
      <c r="E143" s="6"/>
      <c r="F143" s="6"/>
      <c r="G143" s="6"/>
      <c r="H143" s="6"/>
    </row>
    <row r="144" spans="1:8" x14ac:dyDescent="0.2">
      <c r="A144" s="6"/>
      <c r="B144" s="6"/>
      <c r="C144" s="6"/>
      <c r="D144" s="6"/>
      <c r="E144" s="6"/>
      <c r="F144" s="6"/>
      <c r="G144" s="6"/>
      <c r="H144" s="6"/>
    </row>
    <row r="145" spans="1:8" x14ac:dyDescent="0.2">
      <c r="A145" s="6"/>
      <c r="B145" s="6"/>
      <c r="C145" s="6"/>
      <c r="D145" s="6"/>
      <c r="E145" s="6"/>
      <c r="F145" s="6"/>
      <c r="G145" s="6"/>
      <c r="H145" s="6"/>
    </row>
    <row r="146" spans="1:8" x14ac:dyDescent="0.2">
      <c r="A146" s="6"/>
      <c r="B146" s="6"/>
      <c r="C146" s="6"/>
      <c r="D146" s="6"/>
      <c r="E146" s="6"/>
      <c r="F146" s="6"/>
      <c r="G146" s="6"/>
      <c r="H146" s="6"/>
    </row>
    <row r="147" spans="1:8" x14ac:dyDescent="0.2">
      <c r="A147" s="6"/>
      <c r="B147" s="6"/>
      <c r="C147" s="6"/>
      <c r="D147" s="6"/>
      <c r="E147" s="6"/>
      <c r="F147" s="6"/>
      <c r="G147" s="6"/>
      <c r="H147" s="6"/>
    </row>
    <row r="148" spans="1:8" x14ac:dyDescent="0.2">
      <c r="A148" s="6"/>
      <c r="B148" s="6"/>
      <c r="C148" s="6"/>
      <c r="D148" s="6"/>
      <c r="E148" s="6"/>
      <c r="F148" s="6"/>
      <c r="G148" s="6"/>
      <c r="H148" s="6"/>
    </row>
    <row r="149" spans="1:8" x14ac:dyDescent="0.2">
      <c r="A149" s="6"/>
      <c r="B149" s="6"/>
      <c r="C149" s="6"/>
      <c r="D149" s="6"/>
      <c r="E149" s="6"/>
      <c r="F149" s="6"/>
      <c r="G149" s="6"/>
      <c r="H149" s="6"/>
    </row>
    <row r="150" spans="1:8" x14ac:dyDescent="0.2">
      <c r="A150" s="6"/>
      <c r="B150" s="6"/>
      <c r="C150" s="6"/>
      <c r="D150" s="6"/>
      <c r="E150" s="6"/>
      <c r="F150" s="6"/>
      <c r="G150" s="6"/>
      <c r="H150" s="6"/>
    </row>
    <row r="151" spans="1:8" x14ac:dyDescent="0.2">
      <c r="A151" s="6"/>
      <c r="B151" s="6"/>
      <c r="C151" s="6"/>
      <c r="D151" s="6"/>
      <c r="E151" s="6"/>
      <c r="F151" s="6"/>
      <c r="G151" s="6"/>
      <c r="H151" s="6"/>
    </row>
    <row r="152" spans="1:8" x14ac:dyDescent="0.2">
      <c r="A152" s="6"/>
      <c r="B152" s="6"/>
      <c r="C152" s="6"/>
      <c r="D152" s="6"/>
      <c r="E152" s="6"/>
      <c r="F152" s="6"/>
      <c r="G152" s="6"/>
      <c r="H152" s="6"/>
    </row>
    <row r="153" spans="1:8" x14ac:dyDescent="0.2">
      <c r="A153" s="6"/>
      <c r="B153" s="6"/>
      <c r="C153" s="6"/>
      <c r="D153" s="6"/>
      <c r="E153" s="6"/>
      <c r="F153" s="6"/>
      <c r="G153" s="6"/>
      <c r="H153" s="6"/>
    </row>
    <row r="154" spans="1:8" x14ac:dyDescent="0.2">
      <c r="A154" s="6"/>
      <c r="B154" s="6"/>
      <c r="C154" s="6"/>
      <c r="D154" s="6"/>
      <c r="E154" s="6"/>
      <c r="F154" s="6"/>
      <c r="G154" s="6"/>
      <c r="H154" s="6"/>
    </row>
    <row r="155" spans="1:8" x14ac:dyDescent="0.2">
      <c r="A155" s="6"/>
      <c r="B155" s="6"/>
      <c r="C155" s="6"/>
      <c r="D155" s="6"/>
      <c r="E155" s="6"/>
      <c r="F155" s="6"/>
      <c r="G155" s="6"/>
      <c r="H155" s="6"/>
    </row>
    <row r="156" spans="1:8" x14ac:dyDescent="0.2">
      <c r="A156" s="6"/>
      <c r="B156" s="6"/>
      <c r="C156" s="6"/>
      <c r="D156" s="6"/>
      <c r="E156" s="6"/>
      <c r="F156" s="6"/>
      <c r="G156" s="6"/>
      <c r="H156" s="6"/>
    </row>
    <row r="157" spans="1:8" x14ac:dyDescent="0.2">
      <c r="A157" s="6"/>
      <c r="B157" s="6"/>
      <c r="C157" s="6"/>
      <c r="D157" s="6"/>
      <c r="E157" s="6"/>
      <c r="F157" s="6"/>
      <c r="G157" s="6"/>
      <c r="H157" s="6"/>
    </row>
    <row r="158" spans="1:8" x14ac:dyDescent="0.2">
      <c r="A158" s="6"/>
      <c r="B158" s="6"/>
      <c r="C158" s="6"/>
      <c r="D158" s="6"/>
      <c r="E158" s="6"/>
      <c r="F158" s="6"/>
      <c r="G158" s="6"/>
      <c r="H158" s="6"/>
    </row>
    <row r="159" spans="1:8" x14ac:dyDescent="0.2">
      <c r="A159" s="6"/>
      <c r="B159" s="6"/>
      <c r="C159" s="6"/>
      <c r="D159" s="6"/>
      <c r="E159" s="6"/>
      <c r="F159" s="6"/>
      <c r="G159" s="6"/>
      <c r="H159" s="6"/>
    </row>
    <row r="160" spans="1:8" x14ac:dyDescent="0.2">
      <c r="A160" s="6"/>
      <c r="B160" s="6"/>
      <c r="C160" s="6"/>
      <c r="D160" s="6"/>
      <c r="E160" s="6"/>
      <c r="F160" s="6"/>
      <c r="G160" s="6"/>
      <c r="H160" s="6"/>
    </row>
    <row r="161" spans="1:8" x14ac:dyDescent="0.2">
      <c r="A161" s="6"/>
      <c r="B161" s="6"/>
      <c r="C161" s="6"/>
      <c r="D161" s="6"/>
      <c r="E161" s="6"/>
      <c r="F161" s="6"/>
      <c r="G161" s="6"/>
      <c r="H161" s="6"/>
    </row>
    <row r="162" spans="1:8" x14ac:dyDescent="0.2">
      <c r="A162" s="6"/>
      <c r="B162" s="6"/>
      <c r="C162" s="6"/>
      <c r="D162" s="6"/>
      <c r="E162" s="6"/>
      <c r="F162" s="6"/>
      <c r="G162" s="6"/>
      <c r="H162" s="6"/>
    </row>
    <row r="163" spans="1:8" x14ac:dyDescent="0.2">
      <c r="A163" s="6"/>
      <c r="B163" s="6"/>
      <c r="C163" s="6"/>
      <c r="D163" s="6"/>
      <c r="E163" s="6"/>
      <c r="F163" s="6"/>
      <c r="G163" s="6"/>
      <c r="H163" s="6"/>
    </row>
    <row r="164" spans="1:8" x14ac:dyDescent="0.2">
      <c r="A164" s="6"/>
      <c r="B164" s="6"/>
      <c r="C164" s="6"/>
      <c r="D164" s="6"/>
      <c r="E164" s="6"/>
      <c r="F164" s="6"/>
      <c r="G164" s="6"/>
      <c r="H164" s="6"/>
    </row>
    <row r="165" spans="1:8" x14ac:dyDescent="0.2">
      <c r="A165" s="6"/>
      <c r="B165" s="6"/>
      <c r="C165" s="6"/>
      <c r="D165" s="6"/>
      <c r="E165" s="6"/>
      <c r="F165" s="6"/>
      <c r="G165" s="6"/>
      <c r="H165" s="6"/>
    </row>
    <row r="166" spans="1:8" x14ac:dyDescent="0.2">
      <c r="A166" s="6"/>
      <c r="B166" s="6"/>
      <c r="C166" s="6"/>
      <c r="D166" s="6"/>
      <c r="E166" s="6"/>
      <c r="F166" s="6"/>
      <c r="G166" s="6"/>
      <c r="H166" s="6"/>
    </row>
    <row r="167" spans="1:8" x14ac:dyDescent="0.2">
      <c r="A167" s="6"/>
      <c r="B167" s="6"/>
      <c r="C167" s="6"/>
      <c r="D167" s="6"/>
      <c r="E167" s="6"/>
      <c r="F167" s="6"/>
      <c r="G167" s="6"/>
      <c r="H167" s="6"/>
    </row>
    <row r="168" spans="1:8" x14ac:dyDescent="0.2">
      <c r="A168" s="6"/>
      <c r="B168" s="6"/>
      <c r="C168" s="6"/>
      <c r="D168" s="6"/>
      <c r="E168" s="6"/>
      <c r="F168" s="6"/>
      <c r="G168" s="6"/>
      <c r="H168" s="6"/>
    </row>
    <row r="169" spans="1:8" x14ac:dyDescent="0.2">
      <c r="A169" s="6"/>
      <c r="B169" s="6"/>
      <c r="C169" s="6"/>
      <c r="D169" s="6"/>
      <c r="E169" s="6"/>
      <c r="F169" s="6"/>
      <c r="G169" s="6"/>
      <c r="H169" s="6"/>
    </row>
    <row r="170" spans="1:8" x14ac:dyDescent="0.2">
      <c r="A170" s="6"/>
      <c r="B170" s="6"/>
      <c r="C170" s="6"/>
      <c r="D170" s="6"/>
      <c r="E170" s="6"/>
      <c r="F170" s="6"/>
      <c r="G170" s="6"/>
      <c r="H170" s="6"/>
    </row>
    <row r="171" spans="1:8" x14ac:dyDescent="0.2">
      <c r="A171" s="6"/>
      <c r="B171" s="6"/>
      <c r="C171" s="6"/>
      <c r="D171" s="6"/>
      <c r="E171" s="6"/>
      <c r="F171" s="6"/>
      <c r="G171" s="6"/>
      <c r="H171" s="6"/>
    </row>
    <row r="172" spans="1:8" x14ac:dyDescent="0.2">
      <c r="A172" s="6"/>
      <c r="B172" s="6"/>
      <c r="C172" s="6"/>
      <c r="D172" s="6"/>
      <c r="E172" s="6"/>
      <c r="F172" s="6"/>
      <c r="G172" s="6"/>
      <c r="H172" s="6"/>
    </row>
    <row r="173" spans="1:8" x14ac:dyDescent="0.2">
      <c r="A173" s="6"/>
      <c r="B173" s="6"/>
      <c r="C173" s="6"/>
      <c r="D173" s="6"/>
      <c r="E173" s="6"/>
      <c r="F173" s="6"/>
      <c r="G173" s="6"/>
      <c r="H173" s="6"/>
    </row>
    <row r="174" spans="1:8" x14ac:dyDescent="0.2">
      <c r="A174" s="6"/>
      <c r="B174" s="6"/>
      <c r="C174" s="6"/>
      <c r="D174" s="6"/>
      <c r="E174" s="6"/>
      <c r="F174" s="6"/>
      <c r="G174" s="6"/>
      <c r="H174" s="6"/>
    </row>
    <row r="175" spans="1:8" x14ac:dyDescent="0.2">
      <c r="A175" s="6"/>
      <c r="B175" s="6"/>
      <c r="C175" s="6"/>
      <c r="D175" s="6"/>
      <c r="E175" s="6"/>
      <c r="F175" s="6"/>
      <c r="G175" s="6"/>
      <c r="H175" s="6"/>
    </row>
    <row r="176" spans="1:8" x14ac:dyDescent="0.2">
      <c r="A176" s="6"/>
      <c r="B176" s="6"/>
      <c r="C176" s="6"/>
      <c r="D176" s="6"/>
      <c r="E176" s="6"/>
      <c r="F176" s="6"/>
      <c r="G176" s="6"/>
      <c r="H176" s="6"/>
    </row>
    <row r="177" spans="1:8" x14ac:dyDescent="0.2">
      <c r="A177" s="6"/>
      <c r="B177" s="6"/>
      <c r="C177" s="6"/>
      <c r="D177" s="6"/>
      <c r="E177" s="6"/>
      <c r="F177" s="6"/>
      <c r="G177" s="6"/>
      <c r="H177" s="6"/>
    </row>
    <row r="178" spans="1:8" x14ac:dyDescent="0.2">
      <c r="A178" s="6"/>
      <c r="B178" s="6"/>
      <c r="C178" s="6"/>
      <c r="D178" s="6"/>
      <c r="E178" s="6"/>
      <c r="F178" s="6"/>
      <c r="G178" s="6"/>
      <c r="H178" s="6"/>
    </row>
    <row r="179" spans="1:8" x14ac:dyDescent="0.2">
      <c r="A179" s="6"/>
      <c r="B179" s="6"/>
      <c r="C179" s="6"/>
      <c r="D179" s="6"/>
      <c r="E179" s="6"/>
      <c r="F179" s="6"/>
      <c r="G179" s="6"/>
      <c r="H179" s="6"/>
    </row>
    <row r="180" spans="1:8" x14ac:dyDescent="0.2">
      <c r="A180" s="6"/>
      <c r="B180" s="6"/>
      <c r="C180" s="6"/>
      <c r="D180" s="6"/>
      <c r="E180" s="6"/>
      <c r="F180" s="6"/>
      <c r="G180" s="6"/>
      <c r="H180" s="6"/>
    </row>
    <row r="181" spans="1:8" x14ac:dyDescent="0.2">
      <c r="A181" s="6"/>
      <c r="B181" s="6"/>
      <c r="C181" s="6"/>
      <c r="D181" s="6"/>
      <c r="E181" s="6"/>
      <c r="F181" s="6"/>
      <c r="G181" s="6"/>
      <c r="H181" s="6"/>
    </row>
    <row r="182" spans="1:8" x14ac:dyDescent="0.2">
      <c r="A182" s="6"/>
      <c r="B182" s="6"/>
      <c r="C182" s="6"/>
      <c r="D182" s="6"/>
      <c r="E182" s="6"/>
      <c r="F182" s="6"/>
      <c r="G182" s="6"/>
      <c r="H182" s="6"/>
    </row>
    <row r="183" spans="1:8" x14ac:dyDescent="0.2">
      <c r="A183" s="6"/>
      <c r="B183" s="6"/>
      <c r="C183" s="6"/>
      <c r="D183" s="6"/>
      <c r="E183" s="6"/>
      <c r="F183" s="6"/>
      <c r="G183" s="6"/>
      <c r="H183" s="6"/>
    </row>
    <row r="184" spans="1:8" x14ac:dyDescent="0.2">
      <c r="A184" s="6"/>
      <c r="B184" s="6"/>
      <c r="C184" s="6"/>
      <c r="D184" s="6"/>
      <c r="E184" s="6"/>
      <c r="F184" s="6"/>
      <c r="G184" s="6"/>
      <c r="H184" s="6"/>
    </row>
    <row r="185" spans="1:8" x14ac:dyDescent="0.2">
      <c r="A185" s="6"/>
      <c r="B185" s="6"/>
      <c r="C185" s="6"/>
      <c r="D185" s="6"/>
      <c r="E185" s="6"/>
      <c r="F185" s="6"/>
      <c r="G185" s="6"/>
      <c r="H185" s="6"/>
    </row>
    <row r="186" spans="1:8" x14ac:dyDescent="0.2">
      <c r="A186" s="6"/>
      <c r="B186" s="6"/>
      <c r="C186" s="6"/>
      <c r="D186" s="6"/>
      <c r="E186" s="6"/>
      <c r="F186" s="6"/>
      <c r="G186" s="6"/>
      <c r="H186" s="6"/>
    </row>
    <row r="187" spans="1:8" x14ac:dyDescent="0.2">
      <c r="A187" s="6"/>
      <c r="B187" s="6"/>
      <c r="C187" s="6"/>
      <c r="D187" s="6"/>
      <c r="E187" s="6"/>
      <c r="F187" s="6"/>
      <c r="G187" s="6"/>
      <c r="H187" s="6"/>
    </row>
    <row r="188" spans="1:8" x14ac:dyDescent="0.2">
      <c r="A188" s="6"/>
      <c r="B188" s="6"/>
      <c r="C188" s="6"/>
      <c r="D188" s="6"/>
      <c r="E188" s="6"/>
      <c r="F188" s="6"/>
      <c r="G188" s="6"/>
      <c r="H188" s="6"/>
    </row>
    <row r="189" spans="1:8" x14ac:dyDescent="0.2">
      <c r="A189" s="6"/>
      <c r="B189" s="6"/>
      <c r="C189" s="6"/>
      <c r="D189" s="6"/>
      <c r="E189" s="6"/>
      <c r="F189" s="6"/>
      <c r="G189" s="6"/>
      <c r="H189" s="6"/>
    </row>
    <row r="190" spans="1:8" x14ac:dyDescent="0.2">
      <c r="A190" s="6"/>
      <c r="B190" s="6"/>
      <c r="C190" s="6"/>
      <c r="D190" s="6"/>
      <c r="E190" s="6"/>
      <c r="F190" s="6"/>
      <c r="G190" s="6"/>
      <c r="H190" s="6"/>
    </row>
    <row r="191" spans="1:8" x14ac:dyDescent="0.2">
      <c r="A191" s="6"/>
      <c r="B191" s="6"/>
      <c r="C191" s="6"/>
      <c r="D191" s="6"/>
      <c r="E191" s="6"/>
      <c r="F191" s="6"/>
      <c r="G191" s="6"/>
      <c r="H191" s="6"/>
    </row>
    <row r="192" spans="1:8" x14ac:dyDescent="0.2">
      <c r="A192" s="6"/>
      <c r="B192" s="6"/>
      <c r="C192" s="6"/>
      <c r="D192" s="6"/>
      <c r="E192" s="6"/>
      <c r="F192" s="6"/>
      <c r="G192" s="6"/>
      <c r="H192" s="6"/>
    </row>
    <row r="193" spans="1:8" x14ac:dyDescent="0.2">
      <c r="A193" s="6"/>
      <c r="B193" s="6"/>
      <c r="C193" s="6"/>
      <c r="D193" s="6"/>
      <c r="E193" s="6"/>
      <c r="F193" s="6"/>
      <c r="G193" s="6"/>
      <c r="H193" s="6"/>
    </row>
    <row r="194" spans="1:8" x14ac:dyDescent="0.2">
      <c r="A194" s="6"/>
      <c r="B194" s="6"/>
      <c r="C194" s="6"/>
      <c r="D194" s="6"/>
      <c r="E194" s="6"/>
      <c r="F194" s="6"/>
      <c r="G194" s="6"/>
      <c r="H194" s="6"/>
    </row>
    <row r="195" spans="1:8" x14ac:dyDescent="0.2">
      <c r="A195" s="6"/>
      <c r="B195" s="6"/>
      <c r="C195" s="6"/>
      <c r="D195" s="6"/>
      <c r="E195" s="6"/>
      <c r="F195" s="6"/>
      <c r="G195" s="6"/>
      <c r="H195" s="6"/>
    </row>
    <row r="196" spans="1:8" x14ac:dyDescent="0.2">
      <c r="A196" s="6"/>
      <c r="B196" s="6"/>
      <c r="C196" s="6"/>
      <c r="D196" s="6"/>
      <c r="E196" s="6"/>
      <c r="F196" s="6"/>
      <c r="G196" s="6"/>
      <c r="H196" s="6"/>
    </row>
    <row r="197" spans="1:8" x14ac:dyDescent="0.2">
      <c r="A197" s="6"/>
      <c r="B197" s="6"/>
      <c r="C197" s="6"/>
      <c r="D197" s="6"/>
      <c r="E197" s="6"/>
      <c r="F197" s="6"/>
      <c r="G197" s="6"/>
      <c r="H197" s="6"/>
    </row>
    <row r="198" spans="1:8" x14ac:dyDescent="0.2">
      <c r="A198" s="6"/>
      <c r="B198" s="6"/>
      <c r="C198" s="6"/>
      <c r="D198" s="6"/>
      <c r="E198" s="6"/>
      <c r="F198" s="6"/>
      <c r="G198" s="6"/>
      <c r="H198" s="6"/>
    </row>
    <row r="199" spans="1:8" x14ac:dyDescent="0.2">
      <c r="A199" s="6"/>
      <c r="B199" s="6"/>
      <c r="C199" s="6"/>
      <c r="D199" s="6"/>
      <c r="E199" s="6"/>
      <c r="F199" s="6"/>
      <c r="G199" s="6"/>
      <c r="H199" s="6"/>
    </row>
    <row r="200" spans="1:8" x14ac:dyDescent="0.2">
      <c r="A200" s="6"/>
      <c r="B200" s="6"/>
      <c r="C200" s="6"/>
      <c r="D200" s="6"/>
      <c r="E200" s="6"/>
      <c r="F200" s="6"/>
      <c r="G200" s="6"/>
      <c r="H200" s="6"/>
    </row>
    <row r="201" spans="1:8" x14ac:dyDescent="0.2">
      <c r="A201" s="6"/>
      <c r="B201" s="6"/>
      <c r="C201" s="6"/>
      <c r="D201" s="6"/>
      <c r="E201" s="6"/>
      <c r="F201" s="6"/>
      <c r="G201" s="6"/>
      <c r="H201" s="6"/>
    </row>
    <row r="202" spans="1:8" x14ac:dyDescent="0.2">
      <c r="A202" s="6"/>
      <c r="B202" s="6"/>
      <c r="C202" s="6"/>
      <c r="D202" s="6"/>
      <c r="E202" s="6"/>
      <c r="F202" s="6"/>
      <c r="G202" s="6"/>
      <c r="H202" s="6"/>
    </row>
    <row r="203" spans="1:8" x14ac:dyDescent="0.2">
      <c r="A203" s="6"/>
      <c r="B203" s="6"/>
      <c r="C203" s="6"/>
      <c r="D203" s="6"/>
      <c r="E203" s="6"/>
      <c r="F203" s="6"/>
    </row>
    <row r="204" spans="1:8" x14ac:dyDescent="0.2">
      <c r="A204" s="6"/>
      <c r="B204" s="6"/>
      <c r="C204" s="6"/>
      <c r="D204" s="6"/>
      <c r="E204" s="6"/>
      <c r="F204" s="6"/>
    </row>
    <row r="205" spans="1:8" x14ac:dyDescent="0.2">
      <c r="A205" s="6"/>
      <c r="B205" s="6"/>
      <c r="C205" s="6"/>
      <c r="D205" s="6"/>
      <c r="E205" s="6"/>
      <c r="F205" s="6"/>
    </row>
    <row r="206" spans="1:8" x14ac:dyDescent="0.2">
      <c r="A206" s="6"/>
      <c r="B206" s="6"/>
      <c r="C206" s="6"/>
      <c r="D206" s="6"/>
      <c r="E206" s="6"/>
      <c r="F206" s="6"/>
    </row>
    <row r="207" spans="1:8" x14ac:dyDescent="0.2">
      <c r="A207" s="6"/>
      <c r="B207" s="6"/>
      <c r="C207" s="6"/>
      <c r="D207" s="6"/>
      <c r="E207" s="6"/>
      <c r="F207" s="6"/>
    </row>
    <row r="208" spans="1:8" x14ac:dyDescent="0.2">
      <c r="A208" s="6"/>
      <c r="B208" s="6"/>
      <c r="C208" s="6"/>
      <c r="D208" s="6"/>
      <c r="E208" s="6"/>
      <c r="F208" s="6"/>
    </row>
    <row r="209" spans="1:6" x14ac:dyDescent="0.2">
      <c r="A209" s="6"/>
      <c r="B209" s="6"/>
      <c r="C209" s="6"/>
      <c r="D209" s="6"/>
      <c r="E209" s="6"/>
      <c r="F209" s="6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0B2A5-6958-DB41-A7F1-1C8F0D175248}">
  <dimension ref="B1:Y37"/>
  <sheetViews>
    <sheetView workbookViewId="0">
      <selection activeCell="E19" sqref="E19"/>
    </sheetView>
  </sheetViews>
  <sheetFormatPr baseColWidth="10" defaultColWidth="10.83203125" defaultRowHeight="16" x14ac:dyDescent="0.2"/>
  <cols>
    <col min="1" max="1" width="10.83203125" style="24"/>
    <col min="2" max="2" width="23.33203125" style="24" customWidth="1"/>
    <col min="3" max="4" width="19.6640625" style="24" bestFit="1" customWidth="1"/>
    <col min="5" max="5" width="21" style="24" customWidth="1"/>
    <col min="6" max="6" width="19.1640625" style="24" customWidth="1"/>
    <col min="7" max="7" width="17.83203125" style="24" customWidth="1"/>
    <col min="8" max="8" width="17.5" style="24" customWidth="1"/>
    <col min="9" max="9" width="17" style="24" customWidth="1"/>
    <col min="10" max="10" width="17.6640625" style="24" customWidth="1"/>
    <col min="11" max="11" width="16.6640625" style="24" customWidth="1"/>
    <col min="12" max="12" width="16.83203125" style="24" customWidth="1"/>
    <col min="13" max="13" width="17" style="24" customWidth="1"/>
    <col min="14" max="14" width="16.83203125" style="24" customWidth="1"/>
    <col min="15" max="15" width="17.1640625" style="24" customWidth="1"/>
    <col min="16" max="16" width="17.1640625" style="24" bestFit="1" customWidth="1"/>
    <col min="17" max="17" width="17.83203125" style="24" customWidth="1"/>
    <col min="18" max="18" width="18" style="24" customWidth="1"/>
    <col min="19" max="19" width="18.5" style="24" customWidth="1"/>
    <col min="20" max="20" width="18" style="24" customWidth="1"/>
    <col min="21" max="21" width="16.6640625" style="24" customWidth="1"/>
    <col min="22" max="22" width="17.83203125" style="24" customWidth="1"/>
    <col min="23" max="23" width="19.83203125" style="24" customWidth="1"/>
    <col min="24" max="24" width="17" style="24" customWidth="1"/>
    <col min="25" max="25" width="19.6640625" style="24" bestFit="1" customWidth="1"/>
    <col min="26" max="16384" width="10.83203125" style="24"/>
  </cols>
  <sheetData>
    <row r="1" spans="2:25" x14ac:dyDescent="0.2">
      <c r="B1" s="24" t="s">
        <v>126</v>
      </c>
    </row>
    <row r="2" spans="2:25" x14ac:dyDescent="0.2">
      <c r="B2" s="24" t="s">
        <v>210</v>
      </c>
      <c r="C2" s="24">
        <v>2023</v>
      </c>
      <c r="D2" s="24">
        <f t="shared" ref="D2:X2" si="0">C2+1</f>
        <v>2024</v>
      </c>
      <c r="E2" s="24">
        <f t="shared" si="0"/>
        <v>2025</v>
      </c>
      <c r="F2" s="24">
        <f t="shared" si="0"/>
        <v>2026</v>
      </c>
      <c r="G2" s="24">
        <f t="shared" si="0"/>
        <v>2027</v>
      </c>
      <c r="H2" s="24">
        <f t="shared" si="0"/>
        <v>2028</v>
      </c>
      <c r="I2" s="24">
        <f t="shared" si="0"/>
        <v>2029</v>
      </c>
      <c r="J2" s="24">
        <f t="shared" si="0"/>
        <v>2030</v>
      </c>
      <c r="K2" s="24">
        <f t="shared" si="0"/>
        <v>2031</v>
      </c>
      <c r="L2" s="24">
        <f t="shared" si="0"/>
        <v>2032</v>
      </c>
      <c r="M2" s="24">
        <f t="shared" si="0"/>
        <v>2033</v>
      </c>
      <c r="N2" s="24">
        <f t="shared" si="0"/>
        <v>2034</v>
      </c>
      <c r="O2" s="24">
        <f t="shared" si="0"/>
        <v>2035</v>
      </c>
      <c r="P2" s="24">
        <f t="shared" si="0"/>
        <v>2036</v>
      </c>
      <c r="Q2" s="24">
        <f t="shared" si="0"/>
        <v>2037</v>
      </c>
      <c r="R2" s="24">
        <f t="shared" si="0"/>
        <v>2038</v>
      </c>
      <c r="S2" s="24">
        <f t="shared" si="0"/>
        <v>2039</v>
      </c>
      <c r="T2" s="24">
        <f t="shared" si="0"/>
        <v>2040</v>
      </c>
      <c r="U2" s="24">
        <f t="shared" si="0"/>
        <v>2041</v>
      </c>
      <c r="V2" s="24">
        <f t="shared" si="0"/>
        <v>2042</v>
      </c>
      <c r="W2" s="24">
        <f t="shared" si="0"/>
        <v>2043</v>
      </c>
      <c r="X2" s="24">
        <f t="shared" si="0"/>
        <v>2044</v>
      </c>
    </row>
    <row r="3" spans="2:25" x14ac:dyDescent="0.2">
      <c r="B3" s="24" t="s">
        <v>209</v>
      </c>
      <c r="C3" s="25">
        <f t="shared" ref="C3:R8" si="1">$C$29</f>
        <v>24127294.352844037</v>
      </c>
      <c r="D3" s="25">
        <f t="shared" si="1"/>
        <v>24127294.352844037</v>
      </c>
      <c r="E3" s="25">
        <f t="shared" si="1"/>
        <v>24127294.352844037</v>
      </c>
      <c r="F3" s="25">
        <f t="shared" si="1"/>
        <v>24127294.352844037</v>
      </c>
      <c r="G3" s="25">
        <f t="shared" si="1"/>
        <v>24127294.352844037</v>
      </c>
      <c r="H3" s="25">
        <f t="shared" si="1"/>
        <v>24127294.352844037</v>
      </c>
      <c r="I3" s="25">
        <f t="shared" si="1"/>
        <v>24127294.352844037</v>
      </c>
      <c r="J3" s="25">
        <f t="shared" si="1"/>
        <v>24127294.352844037</v>
      </c>
      <c r="K3" s="25">
        <f t="shared" si="1"/>
        <v>24127294.352844037</v>
      </c>
      <c r="L3" s="25">
        <f t="shared" si="1"/>
        <v>24127294.352844037</v>
      </c>
      <c r="M3" s="25">
        <f t="shared" si="1"/>
        <v>24127294.352844037</v>
      </c>
      <c r="N3" s="25">
        <f t="shared" si="1"/>
        <v>24127294.352844037</v>
      </c>
      <c r="O3" s="25">
        <f t="shared" si="1"/>
        <v>24127294.352844037</v>
      </c>
      <c r="P3" s="25">
        <f t="shared" si="1"/>
        <v>24127294.352844037</v>
      </c>
      <c r="Q3" s="25">
        <f t="shared" si="1"/>
        <v>24127294.352844037</v>
      </c>
      <c r="R3" s="25">
        <f t="shared" si="1"/>
        <v>24127294.352844037</v>
      </c>
      <c r="S3" s="25"/>
      <c r="T3" s="25"/>
      <c r="U3" s="25"/>
      <c r="V3" s="25"/>
      <c r="W3" s="25"/>
      <c r="X3" s="25"/>
      <c r="Y3" s="25"/>
    </row>
    <row r="4" spans="2:25" x14ac:dyDescent="0.2">
      <c r="B4" s="24" t="s">
        <v>208</v>
      </c>
      <c r="C4" s="25">
        <f t="shared" si="1"/>
        <v>24127294.352844037</v>
      </c>
      <c r="D4" s="25">
        <f t="shared" si="1"/>
        <v>24127294.352844037</v>
      </c>
      <c r="E4" s="25">
        <f t="shared" si="1"/>
        <v>24127294.352844037</v>
      </c>
      <c r="F4" s="25">
        <f t="shared" si="1"/>
        <v>24127294.352844037</v>
      </c>
      <c r="G4" s="25">
        <f t="shared" si="1"/>
        <v>24127294.352844037</v>
      </c>
      <c r="H4" s="25">
        <f t="shared" si="1"/>
        <v>24127294.352844037</v>
      </c>
      <c r="I4" s="25">
        <f t="shared" si="1"/>
        <v>24127294.352844037</v>
      </c>
      <c r="J4" s="25">
        <f t="shared" si="1"/>
        <v>24127294.352844037</v>
      </c>
      <c r="K4" s="25">
        <f t="shared" si="1"/>
        <v>24127294.352844037</v>
      </c>
      <c r="L4" s="25">
        <f t="shared" si="1"/>
        <v>24127294.352844037</v>
      </c>
      <c r="M4" s="25">
        <f t="shared" si="1"/>
        <v>24127294.352844037</v>
      </c>
      <c r="N4" s="25">
        <f t="shared" si="1"/>
        <v>24127294.352844037</v>
      </c>
      <c r="O4" s="25">
        <f t="shared" si="1"/>
        <v>24127294.352844037</v>
      </c>
      <c r="P4" s="25">
        <f t="shared" si="1"/>
        <v>24127294.352844037</v>
      </c>
      <c r="Q4" s="25">
        <f t="shared" si="1"/>
        <v>24127294.352844037</v>
      </c>
      <c r="R4" s="25">
        <f t="shared" si="1"/>
        <v>24127294.352844037</v>
      </c>
      <c r="S4" s="25">
        <f>$C$29</f>
        <v>24127294.352844037</v>
      </c>
      <c r="T4" s="27"/>
      <c r="W4" s="25"/>
      <c r="Y4" s="25"/>
    </row>
    <row r="5" spans="2:25" x14ac:dyDescent="0.2">
      <c r="B5" s="24" t="s">
        <v>207</v>
      </c>
      <c r="C5" s="25">
        <f t="shared" si="1"/>
        <v>24127294.352844037</v>
      </c>
      <c r="D5" s="25">
        <f t="shared" si="1"/>
        <v>24127294.352844037</v>
      </c>
      <c r="E5" s="25">
        <f t="shared" si="1"/>
        <v>24127294.352844037</v>
      </c>
      <c r="F5" s="25">
        <f t="shared" si="1"/>
        <v>24127294.352844037</v>
      </c>
      <c r="G5" s="25">
        <f t="shared" si="1"/>
        <v>24127294.352844037</v>
      </c>
      <c r="H5" s="25">
        <f t="shared" si="1"/>
        <v>24127294.352844037</v>
      </c>
      <c r="I5" s="25">
        <f t="shared" si="1"/>
        <v>24127294.352844037</v>
      </c>
      <c r="J5" s="25">
        <f t="shared" si="1"/>
        <v>24127294.352844037</v>
      </c>
      <c r="K5" s="25">
        <f t="shared" si="1"/>
        <v>24127294.352844037</v>
      </c>
      <c r="L5" s="25">
        <f t="shared" si="1"/>
        <v>24127294.352844037</v>
      </c>
      <c r="M5" s="25">
        <f t="shared" si="1"/>
        <v>24127294.352844037</v>
      </c>
      <c r="N5" s="25">
        <f t="shared" si="1"/>
        <v>24127294.352844037</v>
      </c>
      <c r="O5" s="25">
        <f t="shared" si="1"/>
        <v>24127294.352844037</v>
      </c>
      <c r="P5" s="25">
        <f t="shared" si="1"/>
        <v>24127294.352844037</v>
      </c>
      <c r="Q5" s="25">
        <f t="shared" si="1"/>
        <v>24127294.352844037</v>
      </c>
      <c r="R5" s="25">
        <f t="shared" si="1"/>
        <v>24127294.352844037</v>
      </c>
      <c r="S5" s="25">
        <f>$C$29</f>
        <v>24127294.352844037</v>
      </c>
      <c r="T5" s="25">
        <f>$C$29</f>
        <v>24127294.352844037</v>
      </c>
      <c r="W5" s="25"/>
      <c r="Y5" s="25"/>
    </row>
    <row r="6" spans="2:25" x14ac:dyDescent="0.2">
      <c r="B6" s="24" t="s">
        <v>206</v>
      </c>
      <c r="C6" s="25">
        <f t="shared" si="1"/>
        <v>24127294.352844037</v>
      </c>
      <c r="D6" s="25">
        <f t="shared" si="1"/>
        <v>24127294.352844037</v>
      </c>
      <c r="E6" s="25">
        <f t="shared" si="1"/>
        <v>24127294.352844037</v>
      </c>
      <c r="F6" s="25">
        <f t="shared" si="1"/>
        <v>24127294.352844037</v>
      </c>
      <c r="G6" s="25">
        <f t="shared" si="1"/>
        <v>24127294.352844037</v>
      </c>
      <c r="H6" s="25">
        <f t="shared" si="1"/>
        <v>24127294.352844037</v>
      </c>
      <c r="I6" s="25">
        <f t="shared" si="1"/>
        <v>24127294.352844037</v>
      </c>
      <c r="J6" s="25">
        <f t="shared" si="1"/>
        <v>24127294.352844037</v>
      </c>
      <c r="K6" s="25">
        <f t="shared" si="1"/>
        <v>24127294.352844037</v>
      </c>
      <c r="L6" s="25">
        <f t="shared" si="1"/>
        <v>24127294.352844037</v>
      </c>
      <c r="M6" s="25">
        <f t="shared" si="1"/>
        <v>24127294.352844037</v>
      </c>
      <c r="N6" s="25">
        <f t="shared" si="1"/>
        <v>24127294.352844037</v>
      </c>
      <c r="O6" s="25">
        <f t="shared" si="1"/>
        <v>24127294.352844037</v>
      </c>
      <c r="P6" s="25">
        <f t="shared" si="1"/>
        <v>24127294.352844037</v>
      </c>
      <c r="Q6" s="25">
        <f t="shared" si="1"/>
        <v>24127294.352844037</v>
      </c>
      <c r="R6" s="25">
        <f t="shared" si="1"/>
        <v>24127294.352844037</v>
      </c>
      <c r="S6" s="25">
        <f>$C$29</f>
        <v>24127294.352844037</v>
      </c>
      <c r="T6" s="25">
        <f>$C$29</f>
        <v>24127294.352844037</v>
      </c>
      <c r="W6" s="25"/>
      <c r="Y6" s="25"/>
    </row>
    <row r="7" spans="2:25" x14ac:dyDescent="0.2">
      <c r="B7" s="24" t="s">
        <v>205</v>
      </c>
      <c r="C7" s="25">
        <f t="shared" si="1"/>
        <v>24127294.352844037</v>
      </c>
      <c r="D7" s="25">
        <f t="shared" si="1"/>
        <v>24127294.352844037</v>
      </c>
      <c r="E7" s="25">
        <f t="shared" si="1"/>
        <v>24127294.352844037</v>
      </c>
      <c r="F7" s="25">
        <f t="shared" si="1"/>
        <v>24127294.352844037</v>
      </c>
      <c r="G7" s="25">
        <f t="shared" si="1"/>
        <v>24127294.352844037</v>
      </c>
      <c r="H7" s="25">
        <f t="shared" si="1"/>
        <v>24127294.352844037</v>
      </c>
      <c r="I7" s="25">
        <f t="shared" si="1"/>
        <v>24127294.352844037</v>
      </c>
      <c r="J7" s="25">
        <f t="shared" si="1"/>
        <v>24127294.352844037</v>
      </c>
      <c r="K7" s="25">
        <f t="shared" si="1"/>
        <v>24127294.352844037</v>
      </c>
      <c r="L7" s="25">
        <f t="shared" si="1"/>
        <v>24127294.352844037</v>
      </c>
      <c r="M7" s="25">
        <f t="shared" si="1"/>
        <v>24127294.352844037</v>
      </c>
      <c r="N7" s="25">
        <f t="shared" si="1"/>
        <v>24127294.352844037</v>
      </c>
      <c r="O7" s="25">
        <f t="shared" si="1"/>
        <v>24127294.352844037</v>
      </c>
      <c r="P7" s="25">
        <f t="shared" si="1"/>
        <v>24127294.352844037</v>
      </c>
      <c r="Q7" s="25">
        <f t="shared" si="1"/>
        <v>24127294.352844037</v>
      </c>
      <c r="R7" s="25">
        <f t="shared" si="1"/>
        <v>24127294.352844037</v>
      </c>
      <c r="S7" s="25">
        <f>$C$29</f>
        <v>24127294.352844037</v>
      </c>
      <c r="T7" s="25">
        <f>$C$29</f>
        <v>24127294.352844037</v>
      </c>
      <c r="U7" s="25">
        <f>$C$29</f>
        <v>24127294.352844037</v>
      </c>
      <c r="V7" s="25">
        <f>$C$29</f>
        <v>24127294.352844037</v>
      </c>
      <c r="W7" s="25"/>
      <c r="Y7" s="25"/>
    </row>
    <row r="8" spans="2:25" x14ac:dyDescent="0.2">
      <c r="B8" s="24" t="s">
        <v>204</v>
      </c>
      <c r="C8" s="25">
        <f t="shared" si="1"/>
        <v>24127294.352844037</v>
      </c>
      <c r="D8" s="25">
        <f t="shared" si="1"/>
        <v>24127294.352844037</v>
      </c>
      <c r="E8" s="25">
        <f t="shared" si="1"/>
        <v>24127294.352844037</v>
      </c>
      <c r="F8" s="25">
        <f t="shared" si="1"/>
        <v>24127294.352844037</v>
      </c>
      <c r="G8" s="25">
        <f t="shared" si="1"/>
        <v>24127294.352844037</v>
      </c>
      <c r="H8" s="25">
        <f t="shared" si="1"/>
        <v>24127294.352844037</v>
      </c>
      <c r="I8" s="25">
        <f t="shared" si="1"/>
        <v>24127294.352844037</v>
      </c>
      <c r="J8" s="25">
        <f t="shared" si="1"/>
        <v>24127294.352844037</v>
      </c>
      <c r="K8" s="25">
        <f t="shared" si="1"/>
        <v>24127294.352844037</v>
      </c>
      <c r="L8" s="25">
        <f t="shared" si="1"/>
        <v>24127294.352844037</v>
      </c>
      <c r="M8" s="25">
        <f t="shared" si="1"/>
        <v>24127294.352844037</v>
      </c>
      <c r="N8" s="25">
        <f t="shared" si="1"/>
        <v>24127294.352844037</v>
      </c>
      <c r="O8" s="25">
        <f t="shared" si="1"/>
        <v>24127294.352844037</v>
      </c>
      <c r="P8" s="25">
        <f t="shared" si="1"/>
        <v>24127294.352844037</v>
      </c>
      <c r="Q8" s="25">
        <f t="shared" si="1"/>
        <v>24127294.352844037</v>
      </c>
      <c r="R8" s="25">
        <f t="shared" si="1"/>
        <v>24127294.352844037</v>
      </c>
      <c r="S8" s="25">
        <f>$C$29</f>
        <v>24127294.352844037</v>
      </c>
      <c r="T8" s="25">
        <f>$C$29</f>
        <v>24127294.352844037</v>
      </c>
      <c r="U8" s="25">
        <f>$C$29</f>
        <v>24127294.352844037</v>
      </c>
      <c r="V8" s="25">
        <f>$C$29</f>
        <v>24127294.352844037</v>
      </c>
      <c r="W8" s="25"/>
      <c r="Y8" s="25"/>
    </row>
    <row r="9" spans="2:25" x14ac:dyDescent="0.2">
      <c r="B9" s="24" t="s">
        <v>203</v>
      </c>
      <c r="C9" s="25">
        <f t="shared" ref="C9:L16" si="2">$C$30</f>
        <v>35618439.123522006</v>
      </c>
      <c r="D9" s="25">
        <f t="shared" si="2"/>
        <v>35618439.123522006</v>
      </c>
      <c r="E9" s="25">
        <f t="shared" si="2"/>
        <v>35618439.123522006</v>
      </c>
      <c r="F9" s="25">
        <f t="shared" si="2"/>
        <v>35618439.123522006</v>
      </c>
      <c r="G9" s="25">
        <f t="shared" si="2"/>
        <v>35618439.123522006</v>
      </c>
      <c r="H9" s="25">
        <f t="shared" si="2"/>
        <v>35618439.123522006</v>
      </c>
      <c r="I9" s="25">
        <f t="shared" si="2"/>
        <v>35618439.123522006</v>
      </c>
      <c r="J9" s="25">
        <f t="shared" si="2"/>
        <v>35618439.123522006</v>
      </c>
      <c r="K9" s="25">
        <f t="shared" si="2"/>
        <v>35618439.123522006</v>
      </c>
      <c r="L9" s="25">
        <f t="shared" si="2"/>
        <v>35618439.123522006</v>
      </c>
      <c r="M9" s="25">
        <f t="shared" ref="M9:U16" si="3">$C$30</f>
        <v>35618439.123522006</v>
      </c>
      <c r="N9" s="25">
        <f t="shared" si="3"/>
        <v>35618439.123522006</v>
      </c>
      <c r="O9" s="25">
        <f t="shared" si="3"/>
        <v>35618439.123522006</v>
      </c>
      <c r="P9" s="25">
        <f t="shared" si="3"/>
        <v>35618439.123522006</v>
      </c>
      <c r="Q9" s="25">
        <f t="shared" si="3"/>
        <v>35618439.123522006</v>
      </c>
      <c r="R9" s="25">
        <f t="shared" si="3"/>
        <v>35618439.123522006</v>
      </c>
      <c r="S9" s="25">
        <f t="shared" si="3"/>
        <v>35618439.123522006</v>
      </c>
      <c r="T9" s="25">
        <f t="shared" si="3"/>
        <v>35618439.123522006</v>
      </c>
      <c r="U9" s="25">
        <f t="shared" si="3"/>
        <v>35618439.123522006</v>
      </c>
      <c r="W9" s="25"/>
      <c r="Y9" s="25"/>
    </row>
    <row r="10" spans="2:25" x14ac:dyDescent="0.2">
      <c r="B10" s="24" t="s">
        <v>202</v>
      </c>
      <c r="C10" s="25">
        <f t="shared" si="2"/>
        <v>35618439.123522006</v>
      </c>
      <c r="D10" s="25">
        <f t="shared" si="2"/>
        <v>35618439.123522006</v>
      </c>
      <c r="E10" s="25">
        <f t="shared" si="2"/>
        <v>35618439.123522006</v>
      </c>
      <c r="F10" s="25">
        <f t="shared" si="2"/>
        <v>35618439.123522006</v>
      </c>
      <c r="G10" s="25">
        <f t="shared" si="2"/>
        <v>35618439.123522006</v>
      </c>
      <c r="H10" s="25">
        <f t="shared" si="2"/>
        <v>35618439.123522006</v>
      </c>
      <c r="I10" s="25">
        <f t="shared" si="2"/>
        <v>35618439.123522006</v>
      </c>
      <c r="J10" s="25">
        <f t="shared" si="2"/>
        <v>35618439.123522006</v>
      </c>
      <c r="K10" s="25">
        <f t="shared" si="2"/>
        <v>35618439.123522006</v>
      </c>
      <c r="L10" s="25">
        <f t="shared" si="2"/>
        <v>35618439.123522006</v>
      </c>
      <c r="M10" s="25">
        <f t="shared" si="3"/>
        <v>35618439.123522006</v>
      </c>
      <c r="N10" s="25">
        <f t="shared" si="3"/>
        <v>35618439.123522006</v>
      </c>
      <c r="O10" s="25">
        <f t="shared" si="3"/>
        <v>35618439.123522006</v>
      </c>
      <c r="P10" s="25">
        <f t="shared" si="3"/>
        <v>35618439.123522006</v>
      </c>
      <c r="Q10" s="25">
        <f t="shared" si="3"/>
        <v>35618439.123522006</v>
      </c>
      <c r="R10" s="25">
        <f t="shared" si="3"/>
        <v>35618439.123522006</v>
      </c>
      <c r="S10" s="25">
        <f t="shared" si="3"/>
        <v>35618439.123522006</v>
      </c>
      <c r="T10" s="25">
        <f t="shared" si="3"/>
        <v>35618439.123522006</v>
      </c>
      <c r="U10" s="25">
        <f t="shared" si="3"/>
        <v>35618439.123522006</v>
      </c>
      <c r="Y10" s="25"/>
    </row>
    <row r="11" spans="2:25" x14ac:dyDescent="0.2">
      <c r="B11" s="24" t="s">
        <v>201</v>
      </c>
      <c r="C11" s="25">
        <f t="shared" si="2"/>
        <v>35618439.123522006</v>
      </c>
      <c r="D11" s="25">
        <f t="shared" si="2"/>
        <v>35618439.123522006</v>
      </c>
      <c r="E11" s="25">
        <f t="shared" si="2"/>
        <v>35618439.123522006</v>
      </c>
      <c r="F11" s="25">
        <f t="shared" si="2"/>
        <v>35618439.123522006</v>
      </c>
      <c r="G11" s="25">
        <f t="shared" si="2"/>
        <v>35618439.123522006</v>
      </c>
      <c r="H11" s="25">
        <f t="shared" si="2"/>
        <v>35618439.123522006</v>
      </c>
      <c r="I11" s="25">
        <f t="shared" si="2"/>
        <v>35618439.123522006</v>
      </c>
      <c r="J11" s="25">
        <f t="shared" si="2"/>
        <v>35618439.123522006</v>
      </c>
      <c r="K11" s="25">
        <f t="shared" si="2"/>
        <v>35618439.123522006</v>
      </c>
      <c r="L11" s="25">
        <f t="shared" si="2"/>
        <v>35618439.123522006</v>
      </c>
      <c r="M11" s="25">
        <f t="shared" si="3"/>
        <v>35618439.123522006</v>
      </c>
      <c r="N11" s="25">
        <f t="shared" si="3"/>
        <v>35618439.123522006</v>
      </c>
      <c r="O11" s="25">
        <f t="shared" si="3"/>
        <v>35618439.123522006</v>
      </c>
      <c r="P11" s="25">
        <f t="shared" si="3"/>
        <v>35618439.123522006</v>
      </c>
      <c r="Q11" s="25">
        <f t="shared" si="3"/>
        <v>35618439.123522006</v>
      </c>
      <c r="R11" s="25">
        <f t="shared" si="3"/>
        <v>35618439.123522006</v>
      </c>
      <c r="S11" s="25">
        <f t="shared" si="3"/>
        <v>35618439.123522006</v>
      </c>
      <c r="T11" s="25">
        <f t="shared" si="3"/>
        <v>35618439.123522006</v>
      </c>
      <c r="U11" s="25">
        <f t="shared" si="3"/>
        <v>35618439.123522006</v>
      </c>
      <c r="Y11" s="25"/>
    </row>
    <row r="12" spans="2:25" x14ac:dyDescent="0.2">
      <c r="B12" s="24" t="s">
        <v>200</v>
      </c>
      <c r="C12" s="25">
        <f t="shared" si="2"/>
        <v>35618439.123522006</v>
      </c>
      <c r="D12" s="25">
        <f t="shared" si="2"/>
        <v>35618439.123522006</v>
      </c>
      <c r="E12" s="25">
        <f t="shared" si="2"/>
        <v>35618439.123522006</v>
      </c>
      <c r="F12" s="25">
        <f t="shared" si="2"/>
        <v>35618439.123522006</v>
      </c>
      <c r="G12" s="25">
        <f t="shared" si="2"/>
        <v>35618439.123522006</v>
      </c>
      <c r="H12" s="25">
        <f t="shared" si="2"/>
        <v>35618439.123522006</v>
      </c>
      <c r="I12" s="25">
        <f t="shared" si="2"/>
        <v>35618439.123522006</v>
      </c>
      <c r="J12" s="25">
        <f t="shared" si="2"/>
        <v>35618439.123522006</v>
      </c>
      <c r="K12" s="25">
        <f t="shared" si="2"/>
        <v>35618439.123522006</v>
      </c>
      <c r="L12" s="25">
        <f t="shared" si="2"/>
        <v>35618439.123522006</v>
      </c>
      <c r="M12" s="25">
        <f t="shared" si="3"/>
        <v>35618439.123522006</v>
      </c>
      <c r="N12" s="25">
        <f t="shared" si="3"/>
        <v>35618439.123522006</v>
      </c>
      <c r="O12" s="25">
        <f t="shared" si="3"/>
        <v>35618439.123522006</v>
      </c>
      <c r="P12" s="25">
        <f t="shared" si="3"/>
        <v>35618439.123522006</v>
      </c>
      <c r="Q12" s="25">
        <f t="shared" si="3"/>
        <v>35618439.123522006</v>
      </c>
      <c r="R12" s="25">
        <f t="shared" si="3"/>
        <v>35618439.123522006</v>
      </c>
      <c r="S12" s="25">
        <f t="shared" si="3"/>
        <v>35618439.123522006</v>
      </c>
      <c r="T12" s="25">
        <f t="shared" si="3"/>
        <v>35618439.123522006</v>
      </c>
      <c r="U12" s="25">
        <f t="shared" si="3"/>
        <v>35618439.123522006</v>
      </c>
      <c r="Y12" s="25"/>
    </row>
    <row r="13" spans="2:25" x14ac:dyDescent="0.2">
      <c r="B13" s="24" t="s">
        <v>199</v>
      </c>
      <c r="C13" s="25">
        <f t="shared" si="2"/>
        <v>35618439.123522006</v>
      </c>
      <c r="D13" s="25">
        <f t="shared" si="2"/>
        <v>35618439.123522006</v>
      </c>
      <c r="E13" s="25">
        <f t="shared" si="2"/>
        <v>35618439.123522006</v>
      </c>
      <c r="F13" s="25">
        <f t="shared" si="2"/>
        <v>35618439.123522006</v>
      </c>
      <c r="G13" s="25">
        <f t="shared" si="2"/>
        <v>35618439.123522006</v>
      </c>
      <c r="H13" s="25">
        <f t="shared" si="2"/>
        <v>35618439.123522006</v>
      </c>
      <c r="I13" s="25">
        <f t="shared" si="2"/>
        <v>35618439.123522006</v>
      </c>
      <c r="J13" s="25">
        <f t="shared" si="2"/>
        <v>35618439.123522006</v>
      </c>
      <c r="K13" s="25">
        <f t="shared" si="2"/>
        <v>35618439.123522006</v>
      </c>
      <c r="L13" s="25">
        <f t="shared" si="2"/>
        <v>35618439.123522006</v>
      </c>
      <c r="M13" s="25">
        <f t="shared" si="3"/>
        <v>35618439.123522006</v>
      </c>
      <c r="N13" s="25">
        <f t="shared" si="3"/>
        <v>35618439.123522006</v>
      </c>
      <c r="O13" s="25">
        <f t="shared" si="3"/>
        <v>35618439.123522006</v>
      </c>
      <c r="P13" s="25">
        <f t="shared" si="3"/>
        <v>35618439.123522006</v>
      </c>
      <c r="Q13" s="25">
        <f t="shared" si="3"/>
        <v>35618439.123522006</v>
      </c>
      <c r="R13" s="25">
        <f t="shared" si="3"/>
        <v>35618439.123522006</v>
      </c>
      <c r="S13" s="25">
        <f t="shared" si="3"/>
        <v>35618439.123522006</v>
      </c>
      <c r="T13" s="25">
        <f t="shared" si="3"/>
        <v>35618439.123522006</v>
      </c>
      <c r="U13" s="25">
        <f t="shared" si="3"/>
        <v>35618439.123522006</v>
      </c>
      <c r="Y13" s="25"/>
    </row>
    <row r="14" spans="2:25" x14ac:dyDescent="0.2">
      <c r="B14" s="24" t="s">
        <v>198</v>
      </c>
      <c r="C14" s="25">
        <f t="shared" si="2"/>
        <v>35618439.123522006</v>
      </c>
      <c r="D14" s="25">
        <f t="shared" si="2"/>
        <v>35618439.123522006</v>
      </c>
      <c r="E14" s="25">
        <f t="shared" si="2"/>
        <v>35618439.123522006</v>
      </c>
      <c r="F14" s="25">
        <f t="shared" si="2"/>
        <v>35618439.123522006</v>
      </c>
      <c r="G14" s="25">
        <f t="shared" si="2"/>
        <v>35618439.123522006</v>
      </c>
      <c r="H14" s="25">
        <f t="shared" si="2"/>
        <v>35618439.123522006</v>
      </c>
      <c r="I14" s="25">
        <f t="shared" si="2"/>
        <v>35618439.123522006</v>
      </c>
      <c r="J14" s="25">
        <f t="shared" si="2"/>
        <v>35618439.123522006</v>
      </c>
      <c r="K14" s="25">
        <f t="shared" si="2"/>
        <v>35618439.123522006</v>
      </c>
      <c r="L14" s="25">
        <f t="shared" si="2"/>
        <v>35618439.123522006</v>
      </c>
      <c r="M14" s="25">
        <f t="shared" si="3"/>
        <v>35618439.123522006</v>
      </c>
      <c r="N14" s="25">
        <f t="shared" si="3"/>
        <v>35618439.123522006</v>
      </c>
      <c r="O14" s="25">
        <f t="shared" si="3"/>
        <v>35618439.123522006</v>
      </c>
      <c r="P14" s="25">
        <f t="shared" si="3"/>
        <v>35618439.123522006</v>
      </c>
      <c r="Q14" s="25">
        <f t="shared" si="3"/>
        <v>35618439.123522006</v>
      </c>
      <c r="R14" s="25">
        <f t="shared" si="3"/>
        <v>35618439.123522006</v>
      </c>
      <c r="S14" s="25">
        <f t="shared" si="3"/>
        <v>35618439.123522006</v>
      </c>
      <c r="T14" s="25">
        <f t="shared" si="3"/>
        <v>35618439.123522006</v>
      </c>
      <c r="U14" s="25">
        <f t="shared" si="3"/>
        <v>35618439.123522006</v>
      </c>
      <c r="V14" s="25">
        <f>$C$30</f>
        <v>35618439.123522006</v>
      </c>
      <c r="Y14" s="25"/>
    </row>
    <row r="15" spans="2:25" x14ac:dyDescent="0.2">
      <c r="B15" s="24" t="s">
        <v>197</v>
      </c>
      <c r="C15" s="25">
        <f t="shared" si="2"/>
        <v>35618439.123522006</v>
      </c>
      <c r="D15" s="25">
        <f t="shared" si="2"/>
        <v>35618439.123522006</v>
      </c>
      <c r="E15" s="25">
        <f t="shared" si="2"/>
        <v>35618439.123522006</v>
      </c>
      <c r="F15" s="25">
        <f t="shared" si="2"/>
        <v>35618439.123522006</v>
      </c>
      <c r="G15" s="25">
        <f t="shared" si="2"/>
        <v>35618439.123522006</v>
      </c>
      <c r="H15" s="25">
        <f t="shared" si="2"/>
        <v>35618439.123522006</v>
      </c>
      <c r="I15" s="25">
        <f t="shared" si="2"/>
        <v>35618439.123522006</v>
      </c>
      <c r="J15" s="25">
        <f t="shared" si="2"/>
        <v>35618439.123522006</v>
      </c>
      <c r="K15" s="25">
        <f t="shared" si="2"/>
        <v>35618439.123522006</v>
      </c>
      <c r="L15" s="25">
        <f t="shared" si="2"/>
        <v>35618439.123522006</v>
      </c>
      <c r="M15" s="25">
        <f t="shared" si="3"/>
        <v>35618439.123522006</v>
      </c>
      <c r="N15" s="25">
        <f t="shared" si="3"/>
        <v>35618439.123522006</v>
      </c>
      <c r="O15" s="25">
        <f t="shared" si="3"/>
        <v>35618439.123522006</v>
      </c>
      <c r="P15" s="25">
        <f t="shared" si="3"/>
        <v>35618439.123522006</v>
      </c>
      <c r="Q15" s="25">
        <f t="shared" si="3"/>
        <v>35618439.123522006</v>
      </c>
      <c r="R15" s="25">
        <f t="shared" si="3"/>
        <v>35618439.123522006</v>
      </c>
      <c r="S15" s="25">
        <f t="shared" si="3"/>
        <v>35618439.123522006</v>
      </c>
      <c r="T15" s="25">
        <f t="shared" si="3"/>
        <v>35618439.123522006</v>
      </c>
      <c r="U15" s="25">
        <f t="shared" si="3"/>
        <v>35618439.123522006</v>
      </c>
      <c r="V15" s="25">
        <f>$C$30</f>
        <v>35618439.123522006</v>
      </c>
      <c r="W15" s="25">
        <f>$C$30</f>
        <v>35618439.123522006</v>
      </c>
      <c r="X15" s="25">
        <f>$C$30</f>
        <v>35618439.123522006</v>
      </c>
      <c r="Y15" s="25"/>
    </row>
    <row r="16" spans="2:25" x14ac:dyDescent="0.2">
      <c r="B16" s="24" t="s">
        <v>196</v>
      </c>
      <c r="C16" s="25">
        <f t="shared" si="2"/>
        <v>35618439.123522006</v>
      </c>
      <c r="D16" s="25">
        <f t="shared" si="2"/>
        <v>35618439.123522006</v>
      </c>
      <c r="E16" s="25">
        <f t="shared" si="2"/>
        <v>35618439.123522006</v>
      </c>
      <c r="F16" s="25">
        <f t="shared" si="2"/>
        <v>35618439.123522006</v>
      </c>
      <c r="G16" s="25">
        <f t="shared" si="2"/>
        <v>35618439.123522006</v>
      </c>
      <c r="H16" s="25">
        <f t="shared" si="2"/>
        <v>35618439.123522006</v>
      </c>
      <c r="I16" s="25">
        <f t="shared" si="2"/>
        <v>35618439.123522006</v>
      </c>
      <c r="J16" s="25">
        <f t="shared" si="2"/>
        <v>35618439.123522006</v>
      </c>
      <c r="K16" s="25">
        <f t="shared" si="2"/>
        <v>35618439.123522006</v>
      </c>
      <c r="L16" s="25">
        <f t="shared" si="2"/>
        <v>35618439.123522006</v>
      </c>
      <c r="M16" s="25">
        <f t="shared" si="3"/>
        <v>35618439.123522006</v>
      </c>
      <c r="N16" s="25">
        <f t="shared" si="3"/>
        <v>35618439.123522006</v>
      </c>
      <c r="O16" s="25">
        <f t="shared" si="3"/>
        <v>35618439.123522006</v>
      </c>
      <c r="P16" s="25">
        <f t="shared" si="3"/>
        <v>35618439.123522006</v>
      </c>
      <c r="Q16" s="25">
        <f t="shared" si="3"/>
        <v>35618439.123522006</v>
      </c>
      <c r="R16" s="25">
        <f t="shared" si="3"/>
        <v>35618439.123522006</v>
      </c>
      <c r="S16" s="25">
        <f t="shared" si="3"/>
        <v>35618439.123522006</v>
      </c>
      <c r="T16" s="25">
        <f t="shared" si="3"/>
        <v>35618439.123522006</v>
      </c>
      <c r="U16" s="25">
        <f t="shared" si="3"/>
        <v>35618439.123522006</v>
      </c>
      <c r="V16" s="25">
        <f>$C$30</f>
        <v>35618439.123522006</v>
      </c>
      <c r="W16" s="25">
        <f>$C$30</f>
        <v>35618439.123522006</v>
      </c>
      <c r="X16" s="25">
        <f>$C$30</f>
        <v>35618439.123522006</v>
      </c>
      <c r="Y16" s="25"/>
    </row>
    <row r="17" spans="2:25" x14ac:dyDescent="0.2">
      <c r="B17" s="24" t="s">
        <v>184</v>
      </c>
      <c r="C17" s="25">
        <f t="shared" ref="C17:X17" si="4">SUM(C3:C16)</f>
        <v>429711279.10524017</v>
      </c>
      <c r="D17" s="25">
        <f t="shared" si="4"/>
        <v>429711279.10524017</v>
      </c>
      <c r="E17" s="25">
        <f t="shared" si="4"/>
        <v>429711279.10524017</v>
      </c>
      <c r="F17" s="25">
        <f t="shared" si="4"/>
        <v>429711279.10524017</v>
      </c>
      <c r="G17" s="25">
        <f t="shared" si="4"/>
        <v>429711279.10524017</v>
      </c>
      <c r="H17" s="25">
        <f t="shared" si="4"/>
        <v>429711279.10524017</v>
      </c>
      <c r="I17" s="25">
        <f t="shared" si="4"/>
        <v>429711279.10524017</v>
      </c>
      <c r="J17" s="25">
        <f t="shared" si="4"/>
        <v>429711279.10524017</v>
      </c>
      <c r="K17" s="25">
        <f t="shared" si="4"/>
        <v>429711279.10524017</v>
      </c>
      <c r="L17" s="25">
        <f t="shared" si="4"/>
        <v>429711279.10524017</v>
      </c>
      <c r="M17" s="25">
        <f t="shared" si="4"/>
        <v>429711279.10524017</v>
      </c>
      <c r="N17" s="25">
        <f t="shared" si="4"/>
        <v>429711279.10524017</v>
      </c>
      <c r="O17" s="25">
        <f t="shared" si="4"/>
        <v>429711279.10524017</v>
      </c>
      <c r="P17" s="25">
        <f t="shared" si="4"/>
        <v>429711279.10524017</v>
      </c>
      <c r="Q17" s="25">
        <f t="shared" si="4"/>
        <v>429711279.10524017</v>
      </c>
      <c r="R17" s="25">
        <f t="shared" si="4"/>
        <v>429711279.10524017</v>
      </c>
      <c r="S17" s="25">
        <f t="shared" si="4"/>
        <v>405583984.75239617</v>
      </c>
      <c r="T17" s="25">
        <f t="shared" si="4"/>
        <v>381456690.39955217</v>
      </c>
      <c r="U17" s="25">
        <f t="shared" si="4"/>
        <v>333202101.69386411</v>
      </c>
      <c r="V17" s="25">
        <f t="shared" si="4"/>
        <v>155109906.0762541</v>
      </c>
      <c r="W17" s="25">
        <f t="shared" si="4"/>
        <v>71236878.247044012</v>
      </c>
      <c r="X17" s="25">
        <f t="shared" si="4"/>
        <v>71236878.247044012</v>
      </c>
      <c r="Y17" s="25"/>
    </row>
    <row r="18" spans="2:25" x14ac:dyDescent="0.2">
      <c r="B18" s="24" t="s">
        <v>195</v>
      </c>
      <c r="C18" s="25">
        <f>SUM(C17:X17)</f>
        <v>8293206905.0999956</v>
      </c>
      <c r="D18" s="25"/>
      <c r="E18" s="25"/>
    </row>
    <row r="19" spans="2:25" x14ac:dyDescent="0.2">
      <c r="C19" s="25"/>
      <c r="D19" s="25"/>
      <c r="E19" s="25"/>
    </row>
    <row r="20" spans="2:25" x14ac:dyDescent="0.2">
      <c r="B20" s="24" t="s">
        <v>211</v>
      </c>
      <c r="C20" s="25">
        <f>Balansen!F3</f>
        <v>10099558905.099998</v>
      </c>
      <c r="D20" s="25"/>
    </row>
    <row r="21" spans="2:25" x14ac:dyDescent="0.2">
      <c r="B21" s="24" t="s">
        <v>194</v>
      </c>
      <c r="C21" s="25">
        <f>((C20/14)*8)*1.2</f>
        <v>6925411820.6399984</v>
      </c>
      <c r="D21" s="25"/>
      <c r="E21" s="25"/>
    </row>
    <row r="22" spans="2:25" x14ac:dyDescent="0.2">
      <c r="B22" s="24" t="s">
        <v>193</v>
      </c>
      <c r="C22" s="25">
        <f>C20-C21</f>
        <v>3174147084.46</v>
      </c>
      <c r="D22" s="25"/>
      <c r="E22" s="25"/>
    </row>
    <row r="23" spans="2:25" x14ac:dyDescent="0.2">
      <c r="B23" s="24" t="s">
        <v>192</v>
      </c>
      <c r="C23" s="24">
        <f>16+17+18+18+20+20</f>
        <v>109</v>
      </c>
      <c r="D23" s="26"/>
    </row>
    <row r="24" spans="2:25" x14ac:dyDescent="0.2">
      <c r="B24" s="24" t="s">
        <v>191</v>
      </c>
      <c r="C24" s="24">
        <f>19*5+20+22+22</f>
        <v>159</v>
      </c>
    </row>
    <row r="25" spans="2:25" x14ac:dyDescent="0.2">
      <c r="B25" s="24" t="s">
        <v>190</v>
      </c>
      <c r="C25" s="25">
        <f>9200000*9.86*6</f>
        <v>544272000</v>
      </c>
    </row>
    <row r="26" spans="2:25" x14ac:dyDescent="0.2">
      <c r="B26" s="24" t="s">
        <v>189</v>
      </c>
      <c r="C26" s="25">
        <f>40000*400*8*9.86</f>
        <v>1262080000</v>
      </c>
    </row>
    <row r="27" spans="2:25" x14ac:dyDescent="0.2">
      <c r="B27" s="24" t="s">
        <v>188</v>
      </c>
      <c r="C27" s="25">
        <f>C22-C25</f>
        <v>2629875084.46</v>
      </c>
    </row>
    <row r="28" spans="2:25" x14ac:dyDescent="0.2">
      <c r="B28" s="24" t="s">
        <v>187</v>
      </c>
      <c r="C28" s="25">
        <f>C21-C26</f>
        <v>5663331820.6399984</v>
      </c>
    </row>
    <row r="29" spans="2:25" x14ac:dyDescent="0.2">
      <c r="B29" s="24" t="s">
        <v>186</v>
      </c>
      <c r="C29" s="25">
        <f>C27/C23</f>
        <v>24127294.352844037</v>
      </c>
      <c r="E29" s="25"/>
      <c r="F29" s="25"/>
    </row>
    <row r="30" spans="2:25" x14ac:dyDescent="0.2">
      <c r="B30" s="24" t="s">
        <v>185</v>
      </c>
      <c r="C30" s="25">
        <f>C28/C24</f>
        <v>35618439.123522006</v>
      </c>
    </row>
    <row r="32" spans="2:25" x14ac:dyDescent="0.2">
      <c r="B32" s="24" t="s">
        <v>0</v>
      </c>
      <c r="C32" s="79" t="s">
        <v>291</v>
      </c>
      <c r="D32" s="79" t="s">
        <v>292</v>
      </c>
      <c r="E32" s="79" t="s">
        <v>293</v>
      </c>
      <c r="F32" s="79" t="s">
        <v>294</v>
      </c>
      <c r="G32" s="79" t="s">
        <v>295</v>
      </c>
      <c r="H32" s="79" t="s">
        <v>296</v>
      </c>
      <c r="I32" s="79" t="s">
        <v>297</v>
      </c>
      <c r="J32" s="79" t="s">
        <v>298</v>
      </c>
      <c r="K32" s="79" t="s">
        <v>299</v>
      </c>
      <c r="L32" s="79" t="s">
        <v>300</v>
      </c>
      <c r="M32" s="79" t="s">
        <v>301</v>
      </c>
      <c r="N32" s="79" t="s">
        <v>302</v>
      </c>
      <c r="O32" s="79" t="s">
        <v>303</v>
      </c>
      <c r="P32" s="79" t="s">
        <v>304</v>
      </c>
      <c r="Q32" s="79" t="s">
        <v>305</v>
      </c>
      <c r="R32" s="79" t="s">
        <v>306</v>
      </c>
      <c r="S32" s="79" t="s">
        <v>307</v>
      </c>
      <c r="T32" s="79" t="s">
        <v>308</v>
      </c>
      <c r="U32" s="79" t="s">
        <v>309</v>
      </c>
      <c r="V32" s="79" t="s">
        <v>310</v>
      </c>
      <c r="W32" s="79" t="s">
        <v>311</v>
      </c>
      <c r="X32" s="79" t="s">
        <v>312</v>
      </c>
    </row>
    <row r="33" spans="2:24" x14ac:dyDescent="0.2">
      <c r="B33" s="24" t="s">
        <v>184</v>
      </c>
      <c r="C33" s="25">
        <f>C17/1000000</f>
        <v>429.71127910524018</v>
      </c>
      <c r="D33" s="25">
        <f t="shared" ref="D33:X33" si="5">D17/1000000</f>
        <v>429.71127910524018</v>
      </c>
      <c r="E33" s="25">
        <f t="shared" si="5"/>
        <v>429.71127910524018</v>
      </c>
      <c r="F33" s="25">
        <f t="shared" si="5"/>
        <v>429.71127910524018</v>
      </c>
      <c r="G33" s="25">
        <f t="shared" si="5"/>
        <v>429.71127910524018</v>
      </c>
      <c r="H33" s="25">
        <f t="shared" si="5"/>
        <v>429.71127910524018</v>
      </c>
      <c r="I33" s="25">
        <f t="shared" si="5"/>
        <v>429.71127910524018</v>
      </c>
      <c r="J33" s="25">
        <f t="shared" si="5"/>
        <v>429.71127910524018</v>
      </c>
      <c r="K33" s="25">
        <f t="shared" si="5"/>
        <v>429.71127910524018</v>
      </c>
      <c r="L33" s="25">
        <f t="shared" si="5"/>
        <v>429.71127910524018</v>
      </c>
      <c r="M33" s="25">
        <f t="shared" si="5"/>
        <v>429.71127910524018</v>
      </c>
      <c r="N33" s="25">
        <f t="shared" si="5"/>
        <v>429.71127910524018</v>
      </c>
      <c r="O33" s="25">
        <f t="shared" si="5"/>
        <v>429.71127910524018</v>
      </c>
      <c r="P33" s="25">
        <f t="shared" si="5"/>
        <v>429.71127910524018</v>
      </c>
      <c r="Q33" s="25">
        <f t="shared" si="5"/>
        <v>429.71127910524018</v>
      </c>
      <c r="R33" s="25">
        <f t="shared" si="5"/>
        <v>429.71127910524018</v>
      </c>
      <c r="S33" s="25">
        <f t="shared" si="5"/>
        <v>405.58398475239619</v>
      </c>
      <c r="T33" s="25">
        <f t="shared" si="5"/>
        <v>381.45669039955214</v>
      </c>
      <c r="U33" s="25">
        <f t="shared" si="5"/>
        <v>333.20210169386411</v>
      </c>
      <c r="V33" s="25">
        <f t="shared" si="5"/>
        <v>155.10990607625411</v>
      </c>
      <c r="W33" s="25">
        <f t="shared" si="5"/>
        <v>71.236878247044018</v>
      </c>
      <c r="X33" s="25">
        <f t="shared" si="5"/>
        <v>71.236878247044018</v>
      </c>
    </row>
    <row r="35" spans="2:24" x14ac:dyDescent="0.2">
      <c r="B35" s="24" t="s">
        <v>233</v>
      </c>
    </row>
    <row r="36" spans="2:24" x14ac:dyDescent="0.2">
      <c r="B36" s="24" t="s">
        <v>0</v>
      </c>
      <c r="C36" s="79" t="s">
        <v>291</v>
      </c>
      <c r="D36" s="79" t="s">
        <v>292</v>
      </c>
      <c r="E36" s="79" t="s">
        <v>293</v>
      </c>
      <c r="F36" s="79" t="s">
        <v>294</v>
      </c>
      <c r="G36" s="79" t="s">
        <v>295</v>
      </c>
      <c r="H36" s="79" t="s">
        <v>296</v>
      </c>
      <c r="I36" s="79" t="s">
        <v>297</v>
      </c>
      <c r="J36" s="79" t="s">
        <v>298</v>
      </c>
      <c r="K36" s="79" t="s">
        <v>299</v>
      </c>
      <c r="L36" s="79" t="s">
        <v>300</v>
      </c>
      <c r="M36" s="79" t="s">
        <v>301</v>
      </c>
      <c r="N36" s="79" t="s">
        <v>302</v>
      </c>
      <c r="O36" s="79" t="s">
        <v>303</v>
      </c>
      <c r="P36" s="79" t="s">
        <v>304</v>
      </c>
      <c r="Q36" s="79" t="s">
        <v>305</v>
      </c>
      <c r="R36" s="79" t="s">
        <v>306</v>
      </c>
      <c r="S36" s="79" t="s">
        <v>307</v>
      </c>
      <c r="T36" s="79" t="s">
        <v>308</v>
      </c>
      <c r="U36" s="79" t="s">
        <v>309</v>
      </c>
      <c r="V36" s="79" t="s">
        <v>310</v>
      </c>
      <c r="W36" s="79" t="s">
        <v>311</v>
      </c>
      <c r="X36" s="79" t="s">
        <v>312</v>
      </c>
    </row>
    <row r="37" spans="2:24" x14ac:dyDescent="0.2">
      <c r="B37" s="24" t="s">
        <v>233</v>
      </c>
      <c r="C37" s="25">
        <f>0</f>
        <v>0</v>
      </c>
      <c r="D37" s="25">
        <f>0</f>
        <v>0</v>
      </c>
      <c r="E37" s="25">
        <f>0</f>
        <v>0</v>
      </c>
      <c r="F37" s="25">
        <f>0</f>
        <v>0</v>
      </c>
      <c r="G37" s="25">
        <f>0</f>
        <v>0</v>
      </c>
      <c r="H37" s="25">
        <f>0</f>
        <v>0</v>
      </c>
      <c r="I37" s="25">
        <f>0</f>
        <v>0</v>
      </c>
      <c r="J37" s="25">
        <f>0</f>
        <v>0</v>
      </c>
      <c r="K37" s="25">
        <f>0</f>
        <v>0</v>
      </c>
      <c r="L37" s="25">
        <f>0</f>
        <v>0</v>
      </c>
      <c r="M37" s="25">
        <f>0</f>
        <v>0</v>
      </c>
      <c r="N37" s="25">
        <f>0</f>
        <v>0</v>
      </c>
      <c r="O37" s="25">
        <f>0</f>
        <v>0</v>
      </c>
      <c r="P37" s="25">
        <f>0</f>
        <v>0</v>
      </c>
      <c r="Q37" s="25">
        <f>0</f>
        <v>0</v>
      </c>
      <c r="R37" s="25">
        <f>((23000*400)/1000000)*Balansen!$I$2</f>
        <v>90.711999999999989</v>
      </c>
      <c r="S37" s="25">
        <f>((23000*400)/1000000)*Balansen!$I$2</f>
        <v>90.711999999999989</v>
      </c>
      <c r="T37" s="25">
        <f>S37*2</f>
        <v>181.42399999999998</v>
      </c>
      <c r="U37" s="25">
        <f>((400*40000*5)/1000000)*Balansen!$I$2</f>
        <v>788.8</v>
      </c>
      <c r="V37" s="25">
        <f>((400*(40000+23000+23000))/1000000)*Balansen!$I$2</f>
        <v>339.18399999999997</v>
      </c>
      <c r="W37" s="25">
        <v>0</v>
      </c>
      <c r="X37" s="25">
        <f>((400*40000*2)/1000000)*Balansen!$I$2</f>
        <v>315.52</v>
      </c>
    </row>
  </sheetData>
  <phoneticPr fontId="7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2046B-9C03-1C4F-91CA-D3CF8DDB8D8A}">
  <dimension ref="B2:Y56"/>
  <sheetViews>
    <sheetView topLeftCell="A19" zoomScale="90" zoomScaleNormal="90" workbookViewId="0">
      <selection activeCell="Q52" sqref="Q52"/>
    </sheetView>
  </sheetViews>
  <sheetFormatPr baseColWidth="10" defaultRowHeight="15" x14ac:dyDescent="0.2"/>
  <cols>
    <col min="2" max="2" width="20.5" customWidth="1"/>
    <col min="3" max="3" width="18.83203125" bestFit="1" customWidth="1"/>
    <col min="4" max="4" width="12.5" customWidth="1"/>
    <col min="5" max="5" width="12" customWidth="1"/>
    <col min="6" max="20" width="11.6640625" bestFit="1" customWidth="1"/>
    <col min="21" max="21" width="12.33203125" customWidth="1"/>
    <col min="22" max="24" width="11.6640625" bestFit="1" customWidth="1"/>
  </cols>
  <sheetData>
    <row r="2" spans="2:24" x14ac:dyDescent="0.2">
      <c r="B2" s="34" t="s">
        <v>0</v>
      </c>
      <c r="C2" s="34" t="s">
        <v>291</v>
      </c>
      <c r="D2" s="34" t="s">
        <v>292</v>
      </c>
      <c r="E2" s="34" t="s">
        <v>293</v>
      </c>
      <c r="F2" s="34" t="s">
        <v>294</v>
      </c>
      <c r="G2" s="34" t="s">
        <v>295</v>
      </c>
      <c r="H2" s="34" t="s">
        <v>296</v>
      </c>
      <c r="I2" s="34" t="s">
        <v>297</v>
      </c>
      <c r="J2" s="34" t="s">
        <v>298</v>
      </c>
      <c r="K2" s="34" t="s">
        <v>299</v>
      </c>
      <c r="L2" s="34" t="s">
        <v>300</v>
      </c>
      <c r="M2" s="34" t="s">
        <v>301</v>
      </c>
      <c r="N2" s="34" t="s">
        <v>302</v>
      </c>
      <c r="O2" s="34" t="s">
        <v>303</v>
      </c>
      <c r="P2" s="34" t="s">
        <v>304</v>
      </c>
      <c r="Q2" s="34" t="s">
        <v>305</v>
      </c>
      <c r="R2" s="34" t="s">
        <v>306</v>
      </c>
      <c r="S2" s="34" t="s">
        <v>307</v>
      </c>
      <c r="T2" s="34" t="s">
        <v>308</v>
      </c>
      <c r="U2" s="34" t="s">
        <v>309</v>
      </c>
      <c r="V2" s="34" t="s">
        <v>310</v>
      </c>
      <c r="W2" s="34" t="s">
        <v>311</v>
      </c>
      <c r="X2" s="34" t="s">
        <v>312</v>
      </c>
    </row>
    <row r="3" spans="2:24" x14ac:dyDescent="0.2">
      <c r="B3" s="34" t="s">
        <v>126</v>
      </c>
      <c r="C3" s="35">
        <f>'Avskrivninger og utrangering'!C33</f>
        <v>429.71127910524018</v>
      </c>
      <c r="D3" s="35">
        <f>'Avskrivninger og utrangering'!D33</f>
        <v>429.71127910524018</v>
      </c>
      <c r="E3" s="35">
        <f>'Avskrivninger og utrangering'!E33</f>
        <v>429.71127910524018</v>
      </c>
      <c r="F3" s="35">
        <f>'Avskrivninger og utrangering'!F33</f>
        <v>429.71127910524018</v>
      </c>
      <c r="G3" s="35">
        <f>'Avskrivninger og utrangering'!G33</f>
        <v>429.71127910524018</v>
      </c>
      <c r="H3" s="35">
        <f>'Avskrivninger og utrangering'!H33</f>
        <v>429.71127910524018</v>
      </c>
      <c r="I3" s="35">
        <f>'Avskrivninger og utrangering'!I33</f>
        <v>429.71127910524018</v>
      </c>
      <c r="J3" s="35">
        <f>'Avskrivninger og utrangering'!J33</f>
        <v>429.71127910524018</v>
      </c>
      <c r="K3" s="35">
        <f>'Avskrivninger og utrangering'!K33</f>
        <v>429.71127910524018</v>
      </c>
      <c r="L3" s="35">
        <f>'Avskrivninger og utrangering'!L33</f>
        <v>429.71127910524018</v>
      </c>
      <c r="M3" s="35">
        <f>'Avskrivninger og utrangering'!M33</f>
        <v>429.71127910524018</v>
      </c>
      <c r="N3" s="35">
        <f>'Avskrivninger og utrangering'!N33</f>
        <v>429.71127910524018</v>
      </c>
      <c r="O3" s="35">
        <f>'Avskrivninger og utrangering'!O33</f>
        <v>429.71127910524018</v>
      </c>
      <c r="P3" s="35">
        <f>'Avskrivninger og utrangering'!P33</f>
        <v>429.71127910524018</v>
      </c>
      <c r="Q3" s="35">
        <f>'Avskrivninger og utrangering'!Q33</f>
        <v>429.71127910524018</v>
      </c>
      <c r="R3" s="35">
        <f>'Avskrivninger og utrangering'!R33</f>
        <v>429.71127910524018</v>
      </c>
      <c r="S3" s="35">
        <f>'Avskrivninger og utrangering'!S33</f>
        <v>405.58398475239619</v>
      </c>
      <c r="T3" s="35">
        <f>'Avskrivninger og utrangering'!T33</f>
        <v>381.45669039955214</v>
      </c>
      <c r="U3" s="35">
        <f>'Avskrivninger og utrangering'!U33</f>
        <v>333.20210169386411</v>
      </c>
      <c r="V3" s="35">
        <f>'Avskrivninger og utrangering'!V33</f>
        <v>155.10990607625411</v>
      </c>
      <c r="W3" s="35">
        <f>'Avskrivninger og utrangering'!W33</f>
        <v>71.236878247044018</v>
      </c>
      <c r="X3" s="35">
        <f>'Avskrivninger og utrangering'!X33</f>
        <v>71.236878247044018</v>
      </c>
    </row>
    <row r="4" spans="2:24" x14ac:dyDescent="0.2">
      <c r="B4" s="34" t="s">
        <v>234</v>
      </c>
      <c r="C4" s="35">
        <f>'Avskrivninger og utrangering'!C37</f>
        <v>0</v>
      </c>
      <c r="D4" s="35">
        <f>'Avskrivninger og utrangering'!D37</f>
        <v>0</v>
      </c>
      <c r="E4" s="35">
        <f>'Avskrivninger og utrangering'!E37</f>
        <v>0</v>
      </c>
      <c r="F4" s="35">
        <f>'Avskrivninger og utrangering'!F37</f>
        <v>0</v>
      </c>
      <c r="G4" s="35">
        <f>'Avskrivninger og utrangering'!G37</f>
        <v>0</v>
      </c>
      <c r="H4" s="35">
        <f>'Avskrivninger og utrangering'!H37</f>
        <v>0</v>
      </c>
      <c r="I4" s="35">
        <f>'Avskrivninger og utrangering'!I37</f>
        <v>0</v>
      </c>
      <c r="J4" s="35">
        <f>'Avskrivninger og utrangering'!J37</f>
        <v>0</v>
      </c>
      <c r="K4" s="35">
        <f>'Avskrivninger og utrangering'!K37</f>
        <v>0</v>
      </c>
      <c r="L4" s="35">
        <f>'Avskrivninger og utrangering'!L37</f>
        <v>0</v>
      </c>
      <c r="M4" s="35">
        <f>'Avskrivninger og utrangering'!M37</f>
        <v>0</v>
      </c>
      <c r="N4" s="35">
        <f>'Avskrivninger og utrangering'!N37</f>
        <v>0</v>
      </c>
      <c r="O4" s="35">
        <f>'Avskrivninger og utrangering'!O37</f>
        <v>0</v>
      </c>
      <c r="P4" s="35">
        <f>'Avskrivninger og utrangering'!P37</f>
        <v>0</v>
      </c>
      <c r="Q4" s="35">
        <f>'Avskrivninger og utrangering'!Q37</f>
        <v>0</v>
      </c>
      <c r="R4" s="35">
        <f>'Avskrivninger og utrangering'!R37</f>
        <v>90.711999999999989</v>
      </c>
      <c r="S4" s="35">
        <f>'Avskrivninger og utrangering'!S37</f>
        <v>90.711999999999989</v>
      </c>
      <c r="T4" s="35">
        <f>'Avskrivninger og utrangering'!T37</f>
        <v>181.42399999999998</v>
      </c>
      <c r="U4" s="35">
        <f>'Avskrivninger og utrangering'!U37</f>
        <v>788.8</v>
      </c>
      <c r="V4" s="35">
        <f>'Avskrivninger og utrangering'!V37</f>
        <v>339.18399999999997</v>
      </c>
      <c r="W4" s="35">
        <f>'Avskrivninger og utrangering'!W37</f>
        <v>0</v>
      </c>
      <c r="X4" s="35">
        <f>'Avskrivninger og utrangering'!X37</f>
        <v>315.52</v>
      </c>
    </row>
    <row r="5" spans="2:24" x14ac:dyDescent="0.2">
      <c r="B5" s="34" t="s">
        <v>235</v>
      </c>
      <c r="C5" s="35">
        <f>(Balansen!F3/1000000)-C3-C4</f>
        <v>9669.8476259947583</v>
      </c>
      <c r="D5" s="35">
        <f>C5-D3-D4</f>
        <v>9240.1363468895179</v>
      </c>
      <c r="E5" s="35">
        <f t="shared" ref="E5:X5" si="0">D5-E3-E4</f>
        <v>8810.4250677842774</v>
      </c>
      <c r="F5" s="35">
        <f t="shared" si="0"/>
        <v>8380.713788679037</v>
      </c>
      <c r="G5" s="35">
        <f t="shared" si="0"/>
        <v>7951.0025095737965</v>
      </c>
      <c r="H5" s="35">
        <f t="shared" si="0"/>
        <v>7521.291230468556</v>
      </c>
      <c r="I5" s="35">
        <f t="shared" si="0"/>
        <v>7091.5799513633156</v>
      </c>
      <c r="J5" s="35">
        <f t="shared" si="0"/>
        <v>6661.8686722580751</v>
      </c>
      <c r="K5" s="35">
        <f t="shared" si="0"/>
        <v>6232.1573931528346</v>
      </c>
      <c r="L5" s="35">
        <f t="shared" si="0"/>
        <v>5802.4461140475942</v>
      </c>
      <c r="M5" s="35">
        <f t="shared" si="0"/>
        <v>5372.7348349423537</v>
      </c>
      <c r="N5" s="35">
        <f t="shared" si="0"/>
        <v>4943.0235558371132</v>
      </c>
      <c r="O5" s="35">
        <f t="shared" si="0"/>
        <v>4513.3122767318728</v>
      </c>
      <c r="P5" s="35">
        <f t="shared" si="0"/>
        <v>4083.6009976266328</v>
      </c>
      <c r="Q5" s="35">
        <f t="shared" si="0"/>
        <v>3653.8897185213928</v>
      </c>
      <c r="R5" s="35">
        <f t="shared" si="0"/>
        <v>3133.4664394161528</v>
      </c>
      <c r="S5" s="35">
        <f t="shared" si="0"/>
        <v>2637.1704546637566</v>
      </c>
      <c r="T5" s="35">
        <f t="shared" si="0"/>
        <v>2074.2897642642047</v>
      </c>
      <c r="U5" s="35">
        <f t="shared" si="0"/>
        <v>952.28766257034067</v>
      </c>
      <c r="V5" s="35">
        <f t="shared" si="0"/>
        <v>457.9937564940866</v>
      </c>
      <c r="W5" s="35">
        <f t="shared" si="0"/>
        <v>386.75687824704255</v>
      </c>
      <c r="X5" s="35">
        <f t="shared" si="0"/>
        <v>-1.4779288903810084E-12</v>
      </c>
    </row>
    <row r="6" spans="2:24" x14ac:dyDescent="0.2">
      <c r="B6" s="34" t="s">
        <v>236</v>
      </c>
      <c r="C6" s="36">
        <f>(((Balansen!$F$5+Balansen!$F$8)/1000000)/14)*(Fremtidsresultat!C3+Fremtidsresultat!C4)</f>
        <v>45.772318779999999</v>
      </c>
      <c r="D6" s="36">
        <f>(((Balansen!$F$5+Balansen!$F$8)/1000000)/14)*(Fremtidsresultat!D3+Fremtidsresultat!D4)</f>
        <v>45.772318779999999</v>
      </c>
      <c r="E6" s="36">
        <f>(((Balansen!$F$5+Balansen!$F$8)/1000000)/14)*(Fremtidsresultat!E3+Fremtidsresultat!E4)</f>
        <v>45.772318779999999</v>
      </c>
      <c r="F6" s="36">
        <f>(((Balansen!$F$5+Balansen!$F$8)/1000000)/14)*(Fremtidsresultat!F3+Fremtidsresultat!F4)</f>
        <v>45.772318779999999</v>
      </c>
      <c r="G6" s="36">
        <f>(((Balansen!$F$5+Balansen!$F$8)/1000000)/14)*(Fremtidsresultat!G3+Fremtidsresultat!G4)</f>
        <v>45.772318779999999</v>
      </c>
      <c r="H6" s="36">
        <f>(((Balansen!$F$5+Balansen!$F$8)/1000000)/14)*(Fremtidsresultat!H3+Fremtidsresultat!H4)</f>
        <v>45.772318779999999</v>
      </c>
      <c r="I6" s="36">
        <f>(((Balansen!$F$5+Balansen!$F$8)/1000000)/14)*(Fremtidsresultat!I3+Fremtidsresultat!I4)</f>
        <v>45.772318779999999</v>
      </c>
      <c r="J6" s="36">
        <f>(((Balansen!$F$5+Balansen!$F$8)/1000000)/14)*(Fremtidsresultat!J3+Fremtidsresultat!J4)</f>
        <v>45.772318779999999</v>
      </c>
      <c r="K6" s="36">
        <f>(((Balansen!$F$5+Balansen!$F$8)/1000000)/14)*(Fremtidsresultat!K3+Fremtidsresultat!K4)</f>
        <v>45.772318779999999</v>
      </c>
      <c r="L6" s="36">
        <f>(((Balansen!$F$5+Balansen!$F$8)/1000000)/14)*(Fremtidsresultat!L3+Fremtidsresultat!L4)</f>
        <v>45.772318779999999</v>
      </c>
      <c r="M6" s="36">
        <f>(((Balansen!$F$5+Balansen!$F$8)/1000000)/14)*(Fremtidsresultat!M3+Fremtidsresultat!M4)</f>
        <v>45.772318779999999</v>
      </c>
      <c r="N6" s="36">
        <f>(((Balansen!$F$5+Balansen!$F$8)/1000000)/14)*(Fremtidsresultat!N3+Fremtidsresultat!N4)</f>
        <v>45.772318779999999</v>
      </c>
      <c r="O6" s="36">
        <f>(((Balansen!$F$5+Balansen!$F$8)/1000000)/14)*(Fremtidsresultat!O3+Fremtidsresultat!O4)</f>
        <v>45.772318779999999</v>
      </c>
      <c r="P6" s="36">
        <f>(((Balansen!$F$5+Balansen!$F$8)/1000000)/14)*(Fremtidsresultat!P3+Fremtidsresultat!P4)</f>
        <v>45.772318779999999</v>
      </c>
      <c r="Q6" s="36">
        <f>(((Balansen!$F$5+Balansen!$F$8)/1000000)/14)*(Fremtidsresultat!Q3+Fremtidsresultat!Q4)</f>
        <v>45.772318779999999</v>
      </c>
      <c r="R6" s="36">
        <f>(((Balansen!$F$5+Balansen!$F$8)/1000000)/14)*(Fremtidsresultat!R3+Fremtidsresultat!R4)</f>
        <v>45.772318779999999</v>
      </c>
      <c r="S6" s="36">
        <f>(((Balansen!$F$5+Balansen!$F$8)/1000000)/14)*(Fremtidsresultat!S3+Fremtidsresultat!S4)</f>
        <v>42.502867438571428</v>
      </c>
      <c r="T6" s="36">
        <f>(((Balansen!$F$5+Balansen!$F$8)/1000000)/14)*(Fremtidsresultat!T3+Fremtidsresultat!T4)</f>
        <v>39.233416097142857</v>
      </c>
      <c r="U6" s="36">
        <f>(((Balansen!$F$5+Balansen!$F$8)/1000000)/14)*(Fremtidsresultat!U3+Fremtidsresultat!U4)</f>
        <v>32.694513414285716</v>
      </c>
      <c r="V6" s="36">
        <f>(((Balansen!$F$5+Balansen!$F$8)/1000000)/14)*(Fremtidsresultat!V3+Fremtidsresultat!V4)</f>
        <v>16.347256707142858</v>
      </c>
      <c r="W6" s="36">
        <f>(((Balansen!$F$5+Balansen!$F$8)/1000000)/14)*(Fremtidsresultat!W3+Fremtidsresultat!W4)</f>
        <v>6.5389026828571426</v>
      </c>
      <c r="X6" s="36">
        <v>0</v>
      </c>
    </row>
    <row r="7" spans="2:24" ht="16" thickBot="1" x14ac:dyDescent="0.25">
      <c r="B7" s="34" t="s">
        <v>89</v>
      </c>
      <c r="C7" s="39">
        <f>C5+C6</f>
        <v>9715.6199447747586</v>
      </c>
      <c r="D7" s="39">
        <f t="shared" ref="D7:W7" si="1">D5+D6</f>
        <v>9285.9086656695181</v>
      </c>
      <c r="E7" s="39">
        <f t="shared" si="1"/>
        <v>8856.1973865642776</v>
      </c>
      <c r="F7" s="39">
        <f t="shared" si="1"/>
        <v>8426.4861074590372</v>
      </c>
      <c r="G7" s="39">
        <f t="shared" si="1"/>
        <v>7996.7748283537967</v>
      </c>
      <c r="H7" s="39">
        <f t="shared" si="1"/>
        <v>7567.0635492485562</v>
      </c>
      <c r="I7" s="39">
        <f t="shared" si="1"/>
        <v>7137.3522701433158</v>
      </c>
      <c r="J7" s="39">
        <f t="shared" si="1"/>
        <v>6707.6409910380753</v>
      </c>
      <c r="K7" s="39">
        <f t="shared" si="1"/>
        <v>6277.9297119328348</v>
      </c>
      <c r="L7" s="39">
        <f t="shared" si="1"/>
        <v>5848.2184328275944</v>
      </c>
      <c r="M7" s="39">
        <f t="shared" si="1"/>
        <v>5418.5071537223539</v>
      </c>
      <c r="N7" s="39">
        <f t="shared" si="1"/>
        <v>4988.7958746171134</v>
      </c>
      <c r="O7" s="39">
        <f t="shared" si="1"/>
        <v>4559.084595511873</v>
      </c>
      <c r="P7" s="39">
        <f t="shared" si="1"/>
        <v>4129.3733164066325</v>
      </c>
      <c r="Q7" s="39">
        <f t="shared" si="1"/>
        <v>3699.662037301393</v>
      </c>
      <c r="R7" s="39">
        <f t="shared" si="1"/>
        <v>3179.238758196153</v>
      </c>
      <c r="S7" s="39">
        <f t="shared" si="1"/>
        <v>2679.6733221023278</v>
      </c>
      <c r="T7" s="39">
        <f t="shared" si="1"/>
        <v>2113.5231803613474</v>
      </c>
      <c r="U7" s="39">
        <f t="shared" si="1"/>
        <v>984.98217598462634</v>
      </c>
      <c r="V7" s="39">
        <f t="shared" si="1"/>
        <v>474.34101320122943</v>
      </c>
      <c r="W7" s="39">
        <f t="shared" si="1"/>
        <v>393.29578092989971</v>
      </c>
      <c r="X7" s="39">
        <f>X5+X6</f>
        <v>-1.4779288903810084E-12</v>
      </c>
    </row>
    <row r="8" spans="2:24" ht="16" thickTop="1" x14ac:dyDescent="0.2"/>
    <row r="10" spans="2:24" x14ac:dyDescent="0.2">
      <c r="B10" s="34" t="s">
        <v>0</v>
      </c>
      <c r="C10" s="34" t="str">
        <f>C2</f>
        <v>E2023</v>
      </c>
      <c r="D10" s="34" t="str">
        <f t="shared" ref="D10:X10" si="2">D2</f>
        <v>E2024</v>
      </c>
      <c r="E10" s="34" t="str">
        <f t="shared" si="2"/>
        <v>E2025</v>
      </c>
      <c r="F10" s="34" t="str">
        <f t="shared" si="2"/>
        <v>E2026</v>
      </c>
      <c r="G10" s="34" t="str">
        <f t="shared" si="2"/>
        <v>E2027</v>
      </c>
      <c r="H10" s="34" t="str">
        <f t="shared" si="2"/>
        <v>E2028</v>
      </c>
      <c r="I10" s="34" t="str">
        <f t="shared" si="2"/>
        <v>E2029</v>
      </c>
      <c r="J10" s="34" t="str">
        <f t="shared" si="2"/>
        <v>E2030</v>
      </c>
      <c r="K10" s="34" t="str">
        <f t="shared" si="2"/>
        <v>E2031</v>
      </c>
      <c r="L10" s="34" t="str">
        <f t="shared" si="2"/>
        <v>E2032</v>
      </c>
      <c r="M10" s="34" t="str">
        <f t="shared" si="2"/>
        <v>E2033</v>
      </c>
      <c r="N10" s="34" t="str">
        <f t="shared" si="2"/>
        <v>E2034</v>
      </c>
      <c r="O10" s="34" t="str">
        <f t="shared" si="2"/>
        <v>E2035</v>
      </c>
      <c r="P10" s="34" t="str">
        <f t="shared" si="2"/>
        <v>E2036</v>
      </c>
      <c r="Q10" s="34" t="str">
        <f t="shared" si="2"/>
        <v>E2037</v>
      </c>
      <c r="R10" s="34" t="str">
        <f t="shared" si="2"/>
        <v>E2038</v>
      </c>
      <c r="S10" s="34" t="str">
        <f t="shared" si="2"/>
        <v>E2039</v>
      </c>
      <c r="T10" s="34" t="str">
        <f t="shared" si="2"/>
        <v>E2040</v>
      </c>
      <c r="U10" s="34" t="str">
        <f t="shared" si="2"/>
        <v>E2041</v>
      </c>
      <c r="V10" s="34" t="str">
        <f t="shared" si="2"/>
        <v>E2042</v>
      </c>
      <c r="W10" s="34" t="str">
        <f t="shared" si="2"/>
        <v>E2043</v>
      </c>
      <c r="X10" s="34" t="str">
        <f t="shared" si="2"/>
        <v>E2044</v>
      </c>
    </row>
    <row r="11" spans="2:24" ht="16" x14ac:dyDescent="0.2">
      <c r="B11" s="34" t="s">
        <v>240</v>
      </c>
      <c r="C11" s="37">
        <v>0.12</v>
      </c>
      <c r="D11" s="37">
        <v>0.11</v>
      </c>
      <c r="E11" s="38">
        <v>0.1</v>
      </c>
      <c r="F11" s="38">
        <v>0.08</v>
      </c>
      <c r="G11" s="37">
        <v>7.0000000000000007E-2</v>
      </c>
      <c r="H11" s="37">
        <v>7.0000000000000007E-2</v>
      </c>
      <c r="I11" s="37">
        <v>7.0000000000000007E-2</v>
      </c>
      <c r="J11" s="37">
        <v>7.0000000000000007E-2</v>
      </c>
      <c r="K11" s="37">
        <v>7.0000000000000007E-2</v>
      </c>
      <c r="L11" s="37">
        <v>7.0000000000000007E-2</v>
      </c>
      <c r="M11" s="37">
        <v>7.0000000000000007E-2</v>
      </c>
      <c r="N11" s="37">
        <v>7.0000000000000007E-2</v>
      </c>
      <c r="O11" s="37">
        <v>7.0000000000000007E-2</v>
      </c>
      <c r="P11" s="37">
        <v>7.0000000000000007E-2</v>
      </c>
      <c r="Q11" s="37">
        <v>7.0000000000000007E-2</v>
      </c>
      <c r="R11" s="37">
        <v>7.0000000000000007E-2</v>
      </c>
      <c r="S11" s="37">
        <v>7.0000000000000007E-2</v>
      </c>
      <c r="T11" s="37">
        <v>7.0000000000000007E-2</v>
      </c>
      <c r="U11" s="37">
        <v>7.0000000000000007E-2</v>
      </c>
      <c r="V11" s="37">
        <v>7.0000000000000007E-2</v>
      </c>
      <c r="W11" s="37">
        <v>7.0000000000000007E-2</v>
      </c>
      <c r="X11" s="37">
        <v>7.0000000000000007E-2</v>
      </c>
    </row>
    <row r="12" spans="2:24" ht="16" thickBot="1" x14ac:dyDescent="0.25">
      <c r="B12" s="34" t="s">
        <v>239</v>
      </c>
      <c r="C12" s="39">
        <f>C11*C7</f>
        <v>1165.8743933729709</v>
      </c>
      <c r="D12" s="39">
        <f t="shared" ref="D12:X12" si="3">D11*D7</f>
        <v>1021.449953223647</v>
      </c>
      <c r="E12" s="39">
        <f t="shared" si="3"/>
        <v>885.61973865642778</v>
      </c>
      <c r="F12" s="39">
        <f t="shared" si="3"/>
        <v>674.11888859672297</v>
      </c>
      <c r="G12" s="39">
        <f t="shared" si="3"/>
        <v>559.77423798476582</v>
      </c>
      <c r="H12" s="39">
        <f t="shared" si="3"/>
        <v>529.69444844739894</v>
      </c>
      <c r="I12" s="39">
        <f t="shared" si="3"/>
        <v>499.61465891003218</v>
      </c>
      <c r="J12" s="39">
        <f t="shared" si="3"/>
        <v>469.5348693726653</v>
      </c>
      <c r="K12" s="39">
        <f t="shared" si="3"/>
        <v>439.45507983529848</v>
      </c>
      <c r="L12" s="39">
        <f t="shared" si="3"/>
        <v>409.37529029793166</v>
      </c>
      <c r="M12" s="39">
        <f t="shared" si="3"/>
        <v>379.29550076056483</v>
      </c>
      <c r="N12" s="39">
        <f t="shared" si="3"/>
        <v>349.21571122319796</v>
      </c>
      <c r="O12" s="39">
        <f t="shared" si="3"/>
        <v>319.13592168583114</v>
      </c>
      <c r="P12" s="39">
        <f t="shared" si="3"/>
        <v>289.05613214846431</v>
      </c>
      <c r="Q12" s="39">
        <f t="shared" si="3"/>
        <v>258.97634261109755</v>
      </c>
      <c r="R12" s="39">
        <f t="shared" si="3"/>
        <v>222.54671307373073</v>
      </c>
      <c r="S12" s="39">
        <f t="shared" si="3"/>
        <v>187.57713254716296</v>
      </c>
      <c r="T12" s="39">
        <f t="shared" si="3"/>
        <v>147.94662262529434</v>
      </c>
      <c r="U12" s="39">
        <f t="shared" si="3"/>
        <v>68.948752318923852</v>
      </c>
      <c r="V12" s="39">
        <f t="shared" si="3"/>
        <v>33.203870924086061</v>
      </c>
      <c r="W12" s="39">
        <f t="shared" si="3"/>
        <v>27.530704665092983</v>
      </c>
      <c r="X12" s="39">
        <f t="shared" si="3"/>
        <v>-1.034550223266706E-13</v>
      </c>
    </row>
    <row r="13" spans="2:24" ht="16" thickTop="1" x14ac:dyDescent="0.2"/>
    <row r="14" spans="2:24" ht="16" thickBot="1" x14ac:dyDescent="0.25">
      <c r="B14" s="58" t="s">
        <v>62</v>
      </c>
      <c r="C14" s="59">
        <f>C7+C12</f>
        <v>10881.49433814773</v>
      </c>
      <c r="D14" s="59">
        <f t="shared" ref="D14:X14" si="4">D7+D12</f>
        <v>10307.358618893166</v>
      </c>
      <c r="E14" s="59">
        <f t="shared" si="4"/>
        <v>9741.8171252207048</v>
      </c>
      <c r="F14" s="59">
        <f t="shared" si="4"/>
        <v>9100.6049960557593</v>
      </c>
      <c r="G14" s="59">
        <f t="shared" si="4"/>
        <v>8556.5490663385626</v>
      </c>
      <c r="H14" s="59">
        <f t="shared" si="4"/>
        <v>8096.7579976959551</v>
      </c>
      <c r="I14" s="59">
        <f t="shared" si="4"/>
        <v>7636.9669290533475</v>
      </c>
      <c r="J14" s="59">
        <f t="shared" si="4"/>
        <v>7177.1758604107408</v>
      </c>
      <c r="K14" s="59">
        <f t="shared" si="4"/>
        <v>6717.3847917681333</v>
      </c>
      <c r="L14" s="59">
        <f t="shared" si="4"/>
        <v>6257.5937231255257</v>
      </c>
      <c r="M14" s="59">
        <f t="shared" si="4"/>
        <v>5797.802654482919</v>
      </c>
      <c r="N14" s="59">
        <f t="shared" si="4"/>
        <v>5338.0115858403115</v>
      </c>
      <c r="O14" s="59">
        <f t="shared" si="4"/>
        <v>4878.2205171977039</v>
      </c>
      <c r="P14" s="59">
        <f t="shared" si="4"/>
        <v>4418.4294485550972</v>
      </c>
      <c r="Q14" s="59">
        <f t="shared" si="4"/>
        <v>3958.6383799124906</v>
      </c>
      <c r="R14" s="59">
        <f t="shared" si="4"/>
        <v>3401.7854712698836</v>
      </c>
      <c r="S14" s="59">
        <f t="shared" si="4"/>
        <v>2867.2504546494906</v>
      </c>
      <c r="T14" s="59">
        <f t="shared" si="4"/>
        <v>2261.4698029866418</v>
      </c>
      <c r="U14" s="59">
        <f t="shared" si="4"/>
        <v>1053.9309283035502</v>
      </c>
      <c r="V14" s="59">
        <f t="shared" si="4"/>
        <v>507.54488412531549</v>
      </c>
      <c r="W14" s="59">
        <f t="shared" si="4"/>
        <v>420.82648559499268</v>
      </c>
      <c r="X14" s="59">
        <f t="shared" si="4"/>
        <v>-1.581383912707679E-12</v>
      </c>
    </row>
    <row r="15" spans="2:24" ht="16" thickTop="1" x14ac:dyDescent="0.2"/>
    <row r="17" spans="2:25" x14ac:dyDescent="0.2">
      <c r="B17" s="34" t="s">
        <v>0</v>
      </c>
      <c r="C17" s="34" t="s">
        <v>291</v>
      </c>
      <c r="D17" s="34" t="s">
        <v>292</v>
      </c>
      <c r="E17" s="34" t="s">
        <v>293</v>
      </c>
      <c r="F17" s="34" t="s">
        <v>294</v>
      </c>
      <c r="G17" s="34" t="s">
        <v>295</v>
      </c>
      <c r="H17" s="34" t="s">
        <v>296</v>
      </c>
      <c r="I17" s="34" t="s">
        <v>297</v>
      </c>
      <c r="J17" s="34" t="s">
        <v>298</v>
      </c>
      <c r="K17" s="34" t="s">
        <v>299</v>
      </c>
      <c r="L17" s="34" t="s">
        <v>300</v>
      </c>
      <c r="M17" s="34" t="s">
        <v>301</v>
      </c>
      <c r="N17" s="34" t="s">
        <v>302</v>
      </c>
      <c r="O17" s="34" t="s">
        <v>303</v>
      </c>
      <c r="P17" s="34" t="s">
        <v>304</v>
      </c>
      <c r="Q17" s="34" t="s">
        <v>305</v>
      </c>
      <c r="R17" s="34" t="s">
        <v>306</v>
      </c>
      <c r="S17" s="34" t="s">
        <v>307</v>
      </c>
      <c r="T17" s="34" t="s">
        <v>308</v>
      </c>
      <c r="U17" s="34" t="s">
        <v>309</v>
      </c>
      <c r="V17" s="34" t="s">
        <v>310</v>
      </c>
      <c r="W17" s="34" t="s">
        <v>311</v>
      </c>
      <c r="X17" s="34" t="s">
        <v>312</v>
      </c>
    </row>
    <row r="18" spans="2:25" x14ac:dyDescent="0.2">
      <c r="B18" s="34" t="s">
        <v>241</v>
      </c>
      <c r="C18" s="35">
        <f>Gjeld!C4</f>
        <v>6637.7115462701149</v>
      </c>
      <c r="D18" s="35">
        <f>Gjeld!D4</f>
        <v>5926.7312058635698</v>
      </c>
      <c r="E18" s="35">
        <f>Gjeld!E4</f>
        <v>5357.9994188713872</v>
      </c>
      <c r="F18" s="35">
        <f>Gjeld!F4</f>
        <v>4777.8176229292731</v>
      </c>
      <c r="G18" s="35">
        <f>Gjeld!G4</f>
        <v>4278.2745331692804</v>
      </c>
      <c r="H18" s="35">
        <f>Gjeld!H4</f>
        <v>4048.3789988479766</v>
      </c>
      <c r="I18" s="35">
        <f>Gjeld!I4</f>
        <v>3818.4834645266728</v>
      </c>
      <c r="J18" s="35">
        <f>Gjeld!J4</f>
        <v>3588.5879302053695</v>
      </c>
      <c r="K18" s="35">
        <f>Gjeld!K4</f>
        <v>3358.6923958840657</v>
      </c>
      <c r="L18" s="35">
        <f>Gjeld!L4</f>
        <v>3128.7968615627619</v>
      </c>
      <c r="M18" s="35">
        <f>Gjeld!M4</f>
        <v>2898.9013272414591</v>
      </c>
      <c r="N18" s="35">
        <f>Gjeld!N4</f>
        <v>2669.0057929201553</v>
      </c>
      <c r="O18" s="35">
        <f>Gjeld!O4</f>
        <v>2439.1102585988515</v>
      </c>
      <c r="P18" s="35">
        <f>Gjeld!P4</f>
        <v>2209.2147242775482</v>
      </c>
      <c r="Q18" s="35">
        <f>Gjeld!Q4</f>
        <v>1979.3191899562448</v>
      </c>
      <c r="R18" s="35">
        <f>Gjeld!R4</f>
        <v>1700.8927356349413</v>
      </c>
      <c r="S18" s="35">
        <f>Gjeld!S4</f>
        <v>1433.6252273247451</v>
      </c>
      <c r="T18" s="35">
        <f>Gjeld!T4</f>
        <v>1130.7349014933206</v>
      </c>
      <c r="U18" s="35">
        <f>Gjeld!U4</f>
        <v>526.965464151775</v>
      </c>
      <c r="V18" s="35">
        <f>Gjeld!V4</f>
        <v>253.77244206265769</v>
      </c>
      <c r="W18" s="35">
        <f>Gjeld!W4</f>
        <v>210.41324279749628</v>
      </c>
      <c r="X18" s="35">
        <f>Gjeld!X4</f>
        <v>-7.9069195635383929E-13</v>
      </c>
    </row>
    <row r="19" spans="2:25" x14ac:dyDescent="0.2">
      <c r="B19" s="34" t="s">
        <v>11</v>
      </c>
      <c r="C19" s="35">
        <f>C14-C18</f>
        <v>4243.7827918776147</v>
      </c>
      <c r="D19" s="35">
        <f t="shared" ref="D19:X19" si="5">D14-D18</f>
        <v>4380.627413029596</v>
      </c>
      <c r="E19" s="35">
        <f t="shared" si="5"/>
        <v>4383.8177063493176</v>
      </c>
      <c r="F19" s="35">
        <f t="shared" si="5"/>
        <v>4322.7873731264863</v>
      </c>
      <c r="G19" s="35">
        <f t="shared" si="5"/>
        <v>4278.2745331692822</v>
      </c>
      <c r="H19" s="35">
        <f t="shared" si="5"/>
        <v>4048.3789988479784</v>
      </c>
      <c r="I19" s="35">
        <f t="shared" si="5"/>
        <v>3818.4834645266747</v>
      </c>
      <c r="J19" s="35">
        <f t="shared" si="5"/>
        <v>3588.5879302053713</v>
      </c>
      <c r="K19" s="35">
        <f t="shared" si="5"/>
        <v>3358.6923958840675</v>
      </c>
      <c r="L19" s="35">
        <f t="shared" si="5"/>
        <v>3128.7968615627638</v>
      </c>
      <c r="M19" s="35">
        <f t="shared" si="5"/>
        <v>2898.90132724146</v>
      </c>
      <c r="N19" s="35">
        <f t="shared" si="5"/>
        <v>2669.0057929201562</v>
      </c>
      <c r="O19" s="35">
        <f t="shared" si="5"/>
        <v>2439.1102585988524</v>
      </c>
      <c r="P19" s="35">
        <f t="shared" si="5"/>
        <v>2209.2147242775491</v>
      </c>
      <c r="Q19" s="35">
        <f t="shared" si="5"/>
        <v>1979.3191899562457</v>
      </c>
      <c r="R19" s="35">
        <f t="shared" si="5"/>
        <v>1700.8927356349423</v>
      </c>
      <c r="S19" s="35">
        <f t="shared" si="5"/>
        <v>1433.6252273247455</v>
      </c>
      <c r="T19" s="35">
        <f t="shared" si="5"/>
        <v>1130.7349014933211</v>
      </c>
      <c r="U19" s="35">
        <f t="shared" si="5"/>
        <v>526.96546415177522</v>
      </c>
      <c r="V19" s="35">
        <f t="shared" si="5"/>
        <v>253.7724420626578</v>
      </c>
      <c r="W19" s="35">
        <f t="shared" si="5"/>
        <v>210.41324279749639</v>
      </c>
      <c r="X19" s="35">
        <f t="shared" si="5"/>
        <v>-7.906919563538397E-13</v>
      </c>
    </row>
    <row r="21" spans="2:25" ht="16" thickBot="1" x14ac:dyDescent="0.25">
      <c r="B21" s="58" t="s">
        <v>70</v>
      </c>
      <c r="C21" s="59">
        <f>C18+C19</f>
        <v>10881.49433814773</v>
      </c>
      <c r="D21" s="59">
        <f t="shared" ref="D21:X21" si="6">D18+D19</f>
        <v>10307.358618893166</v>
      </c>
      <c r="E21" s="59">
        <f t="shared" si="6"/>
        <v>9741.8171252207048</v>
      </c>
      <c r="F21" s="59">
        <f t="shared" si="6"/>
        <v>9100.6049960557593</v>
      </c>
      <c r="G21" s="59">
        <f t="shared" si="6"/>
        <v>8556.5490663385626</v>
      </c>
      <c r="H21" s="59">
        <f t="shared" si="6"/>
        <v>8096.7579976959551</v>
      </c>
      <c r="I21" s="59">
        <f t="shared" si="6"/>
        <v>7636.9669290533475</v>
      </c>
      <c r="J21" s="59">
        <f t="shared" si="6"/>
        <v>7177.1758604107408</v>
      </c>
      <c r="K21" s="59">
        <f t="shared" si="6"/>
        <v>6717.3847917681333</v>
      </c>
      <c r="L21" s="59">
        <f t="shared" si="6"/>
        <v>6257.5937231255257</v>
      </c>
      <c r="M21" s="59">
        <f t="shared" si="6"/>
        <v>5797.802654482919</v>
      </c>
      <c r="N21" s="59">
        <f t="shared" si="6"/>
        <v>5338.0115858403115</v>
      </c>
      <c r="O21" s="59">
        <f t="shared" si="6"/>
        <v>4878.2205171977039</v>
      </c>
      <c r="P21" s="59">
        <f t="shared" si="6"/>
        <v>4418.4294485550972</v>
      </c>
      <c r="Q21" s="59">
        <f t="shared" si="6"/>
        <v>3958.6383799124906</v>
      </c>
      <c r="R21" s="59">
        <f t="shared" si="6"/>
        <v>3401.7854712698836</v>
      </c>
      <c r="S21" s="59">
        <f t="shared" si="6"/>
        <v>2867.2504546494906</v>
      </c>
      <c r="T21" s="59">
        <f t="shared" si="6"/>
        <v>2261.4698029866418</v>
      </c>
      <c r="U21" s="59">
        <f t="shared" si="6"/>
        <v>1053.9309283035502</v>
      </c>
      <c r="V21" s="59">
        <f t="shared" si="6"/>
        <v>507.54488412531549</v>
      </c>
      <c r="W21" s="59">
        <f t="shared" si="6"/>
        <v>420.82648559499268</v>
      </c>
      <c r="X21" s="59">
        <f t="shared" si="6"/>
        <v>-1.581383912707679E-12</v>
      </c>
    </row>
    <row r="22" spans="2:25" ht="16" thickTop="1" x14ac:dyDescent="0.2"/>
    <row r="26" spans="2:25" x14ac:dyDescent="0.2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2:25" x14ac:dyDescent="0.2">
      <c r="B27" s="84" t="str">
        <f>B2</f>
        <v>År</v>
      </c>
      <c r="C27" s="84" t="str">
        <f t="shared" ref="C27:X27" si="7">C2</f>
        <v>E2023</v>
      </c>
      <c r="D27" s="84" t="str">
        <f t="shared" si="7"/>
        <v>E2024</v>
      </c>
      <c r="E27" s="84" t="str">
        <f t="shared" si="7"/>
        <v>E2025</v>
      </c>
      <c r="F27" s="84" t="str">
        <f t="shared" si="7"/>
        <v>E2026</v>
      </c>
      <c r="G27" s="84" t="str">
        <f t="shared" si="7"/>
        <v>E2027</v>
      </c>
      <c r="H27" s="84" t="str">
        <f t="shared" si="7"/>
        <v>E2028</v>
      </c>
      <c r="I27" s="84" t="str">
        <f t="shared" si="7"/>
        <v>E2029</v>
      </c>
      <c r="J27" s="84" t="str">
        <f t="shared" si="7"/>
        <v>E2030</v>
      </c>
      <c r="K27" s="84" t="str">
        <f t="shared" si="7"/>
        <v>E2031</v>
      </c>
      <c r="L27" s="84" t="str">
        <f t="shared" si="7"/>
        <v>E2032</v>
      </c>
      <c r="M27" s="84" t="str">
        <f t="shared" si="7"/>
        <v>E2033</v>
      </c>
      <c r="N27" t="str">
        <f t="shared" si="7"/>
        <v>E2034</v>
      </c>
      <c r="O27" t="str">
        <f t="shared" si="7"/>
        <v>E2035</v>
      </c>
      <c r="P27" t="str">
        <f t="shared" si="7"/>
        <v>E2036</v>
      </c>
      <c r="Q27" t="str">
        <f t="shared" si="7"/>
        <v>E2037</v>
      </c>
      <c r="R27" t="str">
        <f t="shared" si="7"/>
        <v>E2038</v>
      </c>
      <c r="S27" t="str">
        <f t="shared" si="7"/>
        <v>E2039</v>
      </c>
      <c r="T27" t="str">
        <f t="shared" si="7"/>
        <v>E2040</v>
      </c>
      <c r="U27" t="str">
        <f t="shared" si="7"/>
        <v>E2041</v>
      </c>
      <c r="V27" t="str">
        <f t="shared" si="7"/>
        <v>E2042</v>
      </c>
      <c r="W27" t="str">
        <f t="shared" si="7"/>
        <v>E2043</v>
      </c>
      <c r="X27" t="str">
        <f t="shared" si="7"/>
        <v>E2044</v>
      </c>
      <c r="Y27" s="28"/>
    </row>
    <row r="28" spans="2:25" x14ac:dyDescent="0.2">
      <c r="B28" s="84" t="str">
        <f t="shared" ref="B28:X28" si="8">B7</f>
        <v>Sum anleggsmidler</v>
      </c>
      <c r="C28" s="67">
        <f t="shared" si="8"/>
        <v>9715.6199447747586</v>
      </c>
      <c r="D28" s="67">
        <f t="shared" si="8"/>
        <v>9285.9086656695181</v>
      </c>
      <c r="E28" s="67">
        <f t="shared" si="8"/>
        <v>8856.1973865642776</v>
      </c>
      <c r="F28" s="67">
        <f t="shared" si="8"/>
        <v>8426.4861074590372</v>
      </c>
      <c r="G28" s="67">
        <f t="shared" si="8"/>
        <v>7996.7748283537967</v>
      </c>
      <c r="H28" s="67">
        <f t="shared" si="8"/>
        <v>7567.0635492485562</v>
      </c>
      <c r="I28" s="67">
        <f t="shared" si="8"/>
        <v>7137.3522701433158</v>
      </c>
      <c r="J28" s="67">
        <f t="shared" si="8"/>
        <v>6707.6409910380753</v>
      </c>
      <c r="K28" s="67">
        <f t="shared" si="8"/>
        <v>6277.9297119328348</v>
      </c>
      <c r="L28" s="67">
        <f t="shared" si="8"/>
        <v>5848.2184328275944</v>
      </c>
      <c r="M28" s="67">
        <f t="shared" si="8"/>
        <v>5418.5071537223539</v>
      </c>
      <c r="N28" s="62">
        <f t="shared" si="8"/>
        <v>4988.7958746171134</v>
      </c>
      <c r="O28" s="62">
        <f t="shared" si="8"/>
        <v>4559.084595511873</v>
      </c>
      <c r="P28" s="62">
        <f t="shared" si="8"/>
        <v>4129.3733164066325</v>
      </c>
      <c r="Q28" s="62">
        <f t="shared" si="8"/>
        <v>3699.662037301393</v>
      </c>
      <c r="R28" s="62">
        <f t="shared" si="8"/>
        <v>3179.238758196153</v>
      </c>
      <c r="S28" s="62">
        <f t="shared" si="8"/>
        <v>2679.6733221023278</v>
      </c>
      <c r="T28" s="62">
        <f t="shared" si="8"/>
        <v>2113.5231803613474</v>
      </c>
      <c r="U28" s="62">
        <f t="shared" si="8"/>
        <v>984.98217598462634</v>
      </c>
      <c r="V28" s="62">
        <f t="shared" si="8"/>
        <v>474.34101320122943</v>
      </c>
      <c r="W28" s="62">
        <f t="shared" si="8"/>
        <v>393.29578092989971</v>
      </c>
      <c r="X28" s="62">
        <f t="shared" si="8"/>
        <v>-1.4779288903810084E-12</v>
      </c>
      <c r="Y28" s="28"/>
    </row>
    <row r="29" spans="2:25" x14ac:dyDescent="0.2">
      <c r="B29" s="84" t="str">
        <f t="shared" ref="B29:X29" si="9">B12</f>
        <v>Omløpsmidler</v>
      </c>
      <c r="C29" s="67">
        <f t="shared" si="9"/>
        <v>1165.8743933729709</v>
      </c>
      <c r="D29" s="67">
        <f t="shared" si="9"/>
        <v>1021.449953223647</v>
      </c>
      <c r="E29" s="67">
        <f t="shared" si="9"/>
        <v>885.61973865642778</v>
      </c>
      <c r="F29" s="67">
        <f t="shared" si="9"/>
        <v>674.11888859672297</v>
      </c>
      <c r="G29" s="67">
        <f t="shared" si="9"/>
        <v>559.77423798476582</v>
      </c>
      <c r="H29" s="67">
        <f t="shared" si="9"/>
        <v>529.69444844739894</v>
      </c>
      <c r="I29" s="67">
        <f t="shared" si="9"/>
        <v>499.61465891003218</v>
      </c>
      <c r="J29" s="67">
        <f t="shared" si="9"/>
        <v>469.5348693726653</v>
      </c>
      <c r="K29" s="67">
        <f t="shared" si="9"/>
        <v>439.45507983529848</v>
      </c>
      <c r="L29" s="67">
        <f t="shared" si="9"/>
        <v>409.37529029793166</v>
      </c>
      <c r="M29" s="67">
        <f t="shared" si="9"/>
        <v>379.29550076056483</v>
      </c>
      <c r="N29" s="62">
        <f t="shared" si="9"/>
        <v>349.21571122319796</v>
      </c>
      <c r="O29" s="62">
        <f t="shared" si="9"/>
        <v>319.13592168583114</v>
      </c>
      <c r="P29" s="62">
        <f t="shared" si="9"/>
        <v>289.05613214846431</v>
      </c>
      <c r="Q29" s="62">
        <f t="shared" si="9"/>
        <v>258.97634261109755</v>
      </c>
      <c r="R29" s="62">
        <f t="shared" si="9"/>
        <v>222.54671307373073</v>
      </c>
      <c r="S29" s="62">
        <f t="shared" si="9"/>
        <v>187.57713254716296</v>
      </c>
      <c r="T29" s="62">
        <f t="shared" si="9"/>
        <v>147.94662262529434</v>
      </c>
      <c r="U29" s="62">
        <f t="shared" si="9"/>
        <v>68.948752318923852</v>
      </c>
      <c r="V29" s="62">
        <f t="shared" si="9"/>
        <v>33.203870924086061</v>
      </c>
      <c r="W29" s="62">
        <f t="shared" si="9"/>
        <v>27.530704665092983</v>
      </c>
      <c r="X29" s="62">
        <f t="shared" si="9"/>
        <v>-1.034550223266706E-13</v>
      </c>
      <c r="Y29" s="12"/>
    </row>
    <row r="30" spans="2:25" x14ac:dyDescent="0.2">
      <c r="B30" s="8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28"/>
    </row>
    <row r="31" spans="2:25" x14ac:dyDescent="0.2">
      <c r="B31" s="94" t="str">
        <f>B14</f>
        <v>Sum eiendeler</v>
      </c>
      <c r="C31" s="93">
        <f t="shared" ref="C31:X31" si="10">C14</f>
        <v>10881.49433814773</v>
      </c>
      <c r="D31" s="93">
        <f t="shared" si="10"/>
        <v>10307.358618893166</v>
      </c>
      <c r="E31" s="93">
        <f t="shared" si="10"/>
        <v>9741.8171252207048</v>
      </c>
      <c r="F31" s="93">
        <f t="shared" si="10"/>
        <v>9100.6049960557593</v>
      </c>
      <c r="G31" s="93">
        <f t="shared" si="10"/>
        <v>8556.5490663385626</v>
      </c>
      <c r="H31" s="93">
        <f t="shared" si="10"/>
        <v>8096.7579976959551</v>
      </c>
      <c r="I31" s="93">
        <f t="shared" si="10"/>
        <v>7636.9669290533475</v>
      </c>
      <c r="J31" s="93">
        <f t="shared" si="10"/>
        <v>7177.1758604107408</v>
      </c>
      <c r="K31" s="93">
        <f t="shared" si="10"/>
        <v>6717.3847917681333</v>
      </c>
      <c r="L31" s="93">
        <f t="shared" si="10"/>
        <v>6257.5937231255257</v>
      </c>
      <c r="M31" s="93">
        <f t="shared" si="10"/>
        <v>5797.802654482919</v>
      </c>
      <c r="N31" s="62">
        <f t="shared" si="10"/>
        <v>5338.0115858403115</v>
      </c>
      <c r="O31" s="62">
        <f t="shared" si="10"/>
        <v>4878.2205171977039</v>
      </c>
      <c r="P31" s="62">
        <f t="shared" si="10"/>
        <v>4418.4294485550972</v>
      </c>
      <c r="Q31" s="62">
        <f t="shared" si="10"/>
        <v>3958.6383799124906</v>
      </c>
      <c r="R31" s="62">
        <f t="shared" si="10"/>
        <v>3401.7854712698836</v>
      </c>
      <c r="S31" s="62">
        <f t="shared" si="10"/>
        <v>2867.2504546494906</v>
      </c>
      <c r="T31" s="62">
        <f t="shared" si="10"/>
        <v>2261.4698029866418</v>
      </c>
      <c r="U31" s="62">
        <f t="shared" si="10"/>
        <v>1053.9309283035502</v>
      </c>
      <c r="V31" s="62">
        <f t="shared" si="10"/>
        <v>507.54488412531549</v>
      </c>
      <c r="W31" s="62">
        <f t="shared" si="10"/>
        <v>420.82648559499268</v>
      </c>
      <c r="X31" s="62">
        <f t="shared" si="10"/>
        <v>-1.581383912707679E-12</v>
      </c>
    </row>
    <row r="32" spans="2:25" x14ac:dyDescent="0.2">
      <c r="B32" s="89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2:24" x14ac:dyDescent="0.2">
      <c r="B33" s="84" t="str">
        <f t="shared" ref="B33:M33" si="11">B18</f>
        <v>Gjeld</v>
      </c>
      <c r="C33" s="67">
        <f t="shared" si="11"/>
        <v>6637.7115462701149</v>
      </c>
      <c r="D33" s="67">
        <f t="shared" si="11"/>
        <v>5926.7312058635698</v>
      </c>
      <c r="E33" s="67">
        <f t="shared" si="11"/>
        <v>5357.9994188713872</v>
      </c>
      <c r="F33" s="67">
        <f t="shared" si="11"/>
        <v>4777.8176229292731</v>
      </c>
      <c r="G33" s="67">
        <f t="shared" si="11"/>
        <v>4278.2745331692804</v>
      </c>
      <c r="H33" s="67">
        <f t="shared" si="11"/>
        <v>4048.3789988479766</v>
      </c>
      <c r="I33" s="67">
        <f t="shared" si="11"/>
        <v>3818.4834645266728</v>
      </c>
      <c r="J33" s="67">
        <f t="shared" si="11"/>
        <v>3588.5879302053695</v>
      </c>
      <c r="K33" s="67">
        <f t="shared" si="11"/>
        <v>3358.6923958840657</v>
      </c>
      <c r="L33" s="67">
        <f t="shared" si="11"/>
        <v>3128.7968615627619</v>
      </c>
      <c r="M33" s="67">
        <f t="shared" si="11"/>
        <v>2898.9013272414591</v>
      </c>
      <c r="N33" s="62" t="str">
        <f t="shared" ref="N33:X35" si="12">N17</f>
        <v>E2034</v>
      </c>
      <c r="O33" s="62" t="str">
        <f t="shared" si="12"/>
        <v>E2035</v>
      </c>
      <c r="P33" s="62" t="str">
        <f t="shared" si="12"/>
        <v>E2036</v>
      </c>
      <c r="Q33" s="62" t="str">
        <f t="shared" si="12"/>
        <v>E2037</v>
      </c>
      <c r="R33" s="62" t="str">
        <f t="shared" si="12"/>
        <v>E2038</v>
      </c>
      <c r="S33" s="62" t="str">
        <f t="shared" si="12"/>
        <v>E2039</v>
      </c>
      <c r="T33" s="62" t="str">
        <f t="shared" si="12"/>
        <v>E2040</v>
      </c>
      <c r="U33" s="62" t="str">
        <f t="shared" si="12"/>
        <v>E2041</v>
      </c>
      <c r="V33" s="62" t="str">
        <f t="shared" si="12"/>
        <v>E2042</v>
      </c>
      <c r="W33" s="62" t="str">
        <f t="shared" si="12"/>
        <v>E2043</v>
      </c>
      <c r="X33" s="62" t="str">
        <f t="shared" si="12"/>
        <v>E2044</v>
      </c>
    </row>
    <row r="34" spans="2:24" x14ac:dyDescent="0.2">
      <c r="B34" s="84" t="str">
        <f t="shared" ref="B34:M34" si="13">B19</f>
        <v>Egenkapital</v>
      </c>
      <c r="C34" s="67">
        <f t="shared" si="13"/>
        <v>4243.7827918776147</v>
      </c>
      <c r="D34" s="67">
        <f t="shared" si="13"/>
        <v>4380.627413029596</v>
      </c>
      <c r="E34" s="67">
        <f t="shared" si="13"/>
        <v>4383.8177063493176</v>
      </c>
      <c r="F34" s="67">
        <f t="shared" si="13"/>
        <v>4322.7873731264863</v>
      </c>
      <c r="G34" s="67">
        <f t="shared" si="13"/>
        <v>4278.2745331692822</v>
      </c>
      <c r="H34" s="67">
        <f t="shared" si="13"/>
        <v>4048.3789988479784</v>
      </c>
      <c r="I34" s="67">
        <f t="shared" si="13"/>
        <v>3818.4834645266747</v>
      </c>
      <c r="J34" s="67">
        <f t="shared" si="13"/>
        <v>3588.5879302053713</v>
      </c>
      <c r="K34" s="67">
        <f t="shared" si="13"/>
        <v>3358.6923958840675</v>
      </c>
      <c r="L34" s="67">
        <f t="shared" si="13"/>
        <v>3128.7968615627638</v>
      </c>
      <c r="M34" s="67">
        <f t="shared" si="13"/>
        <v>2898.90132724146</v>
      </c>
      <c r="N34" s="62">
        <f>N18</f>
        <v>2669.0057929201553</v>
      </c>
      <c r="O34" s="62">
        <f>O18</f>
        <v>2439.1102585988515</v>
      </c>
      <c r="P34" s="62">
        <f>P18</f>
        <v>2209.2147242775482</v>
      </c>
      <c r="Q34" s="62">
        <f>Q18</f>
        <v>1979.3191899562448</v>
      </c>
      <c r="R34" s="62">
        <f t="shared" si="12"/>
        <v>1700.8927356349413</v>
      </c>
      <c r="S34" s="62">
        <f t="shared" si="12"/>
        <v>1433.6252273247451</v>
      </c>
      <c r="T34" s="62">
        <f t="shared" si="12"/>
        <v>1130.7349014933206</v>
      </c>
      <c r="U34" s="62">
        <f t="shared" si="12"/>
        <v>526.965464151775</v>
      </c>
      <c r="V34" s="62">
        <f t="shared" si="12"/>
        <v>253.77244206265769</v>
      </c>
      <c r="W34" s="62">
        <f t="shared" si="12"/>
        <v>210.41324279749628</v>
      </c>
      <c r="X34" s="62">
        <f t="shared" si="12"/>
        <v>-7.9069195635383929E-13</v>
      </c>
    </row>
    <row r="35" spans="2:24" x14ac:dyDescent="0.2">
      <c r="B35" s="84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2">
        <f t="shared" si="12"/>
        <v>2669.0057929201562</v>
      </c>
      <c r="O35" s="62">
        <f t="shared" si="12"/>
        <v>2439.1102585988524</v>
      </c>
      <c r="P35" s="62">
        <f t="shared" si="12"/>
        <v>2209.2147242775491</v>
      </c>
      <c r="Q35" s="62">
        <f t="shared" si="12"/>
        <v>1979.3191899562457</v>
      </c>
      <c r="R35" s="62">
        <f t="shared" si="12"/>
        <v>1700.8927356349423</v>
      </c>
      <c r="S35" s="62">
        <f t="shared" si="12"/>
        <v>1433.6252273247455</v>
      </c>
      <c r="T35" s="62">
        <f t="shared" si="12"/>
        <v>1130.7349014933211</v>
      </c>
      <c r="U35" s="62">
        <f t="shared" si="12"/>
        <v>526.96546415177522</v>
      </c>
      <c r="V35" s="62">
        <f t="shared" si="12"/>
        <v>253.7724420626578</v>
      </c>
      <c r="W35" s="62">
        <f t="shared" si="12"/>
        <v>210.41324279749639</v>
      </c>
      <c r="X35" s="62">
        <f t="shared" si="12"/>
        <v>-7.906919563538397E-13</v>
      </c>
    </row>
    <row r="36" spans="2:24" x14ac:dyDescent="0.2">
      <c r="B36" s="90" t="str">
        <f t="shared" ref="B36:M36" si="14">B21</f>
        <v>Sum gjeld og egenkapital</v>
      </c>
      <c r="C36" s="93">
        <f t="shared" si="14"/>
        <v>10881.49433814773</v>
      </c>
      <c r="D36" s="93">
        <f t="shared" si="14"/>
        <v>10307.358618893166</v>
      </c>
      <c r="E36" s="93">
        <f t="shared" si="14"/>
        <v>9741.8171252207048</v>
      </c>
      <c r="F36" s="93">
        <f t="shared" si="14"/>
        <v>9100.6049960557593</v>
      </c>
      <c r="G36" s="93">
        <f t="shared" si="14"/>
        <v>8556.5490663385626</v>
      </c>
      <c r="H36" s="93">
        <f t="shared" si="14"/>
        <v>8096.7579976959551</v>
      </c>
      <c r="I36" s="93">
        <f t="shared" si="14"/>
        <v>7636.9669290533475</v>
      </c>
      <c r="J36" s="93">
        <f t="shared" si="14"/>
        <v>7177.1758604107408</v>
      </c>
      <c r="K36" s="93">
        <f t="shared" si="14"/>
        <v>6717.3847917681333</v>
      </c>
      <c r="L36" s="93">
        <f t="shared" si="14"/>
        <v>6257.5937231255257</v>
      </c>
      <c r="M36" s="93">
        <f t="shared" si="14"/>
        <v>5797.802654482919</v>
      </c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x14ac:dyDescent="0.2">
      <c r="N37" s="62">
        <f t="shared" ref="N37:X37" si="15">N21</f>
        <v>5338.0115858403115</v>
      </c>
      <c r="O37" s="62">
        <f t="shared" si="15"/>
        <v>4878.2205171977039</v>
      </c>
      <c r="P37" s="62">
        <f t="shared" si="15"/>
        <v>4418.4294485550972</v>
      </c>
      <c r="Q37" s="62">
        <f t="shared" si="15"/>
        <v>3958.6383799124906</v>
      </c>
      <c r="R37" s="62">
        <f t="shared" si="15"/>
        <v>3401.7854712698836</v>
      </c>
      <c r="S37" s="62">
        <f t="shared" si="15"/>
        <v>2867.2504546494906</v>
      </c>
      <c r="T37" s="62">
        <f t="shared" si="15"/>
        <v>2261.4698029866418</v>
      </c>
      <c r="U37" s="62">
        <f t="shared" si="15"/>
        <v>1053.9309283035502</v>
      </c>
      <c r="V37" s="62">
        <f t="shared" si="15"/>
        <v>507.54488412531549</v>
      </c>
      <c r="W37" s="62">
        <f t="shared" si="15"/>
        <v>420.82648559499268</v>
      </c>
      <c r="X37" s="62">
        <f t="shared" si="15"/>
        <v>-1.581383912707679E-12</v>
      </c>
    </row>
    <row r="39" spans="2:24" x14ac:dyDescent="0.2">
      <c r="B39" s="84" t="str">
        <f>B27</f>
        <v>År</v>
      </c>
      <c r="C39" s="92" t="str">
        <f t="shared" ref="C39:M39" si="16">N33</f>
        <v>E2034</v>
      </c>
      <c r="D39" s="92" t="str">
        <f t="shared" si="16"/>
        <v>E2035</v>
      </c>
      <c r="E39" s="92" t="str">
        <f t="shared" si="16"/>
        <v>E2036</v>
      </c>
      <c r="F39" s="92" t="str">
        <f t="shared" si="16"/>
        <v>E2037</v>
      </c>
      <c r="G39" s="92" t="str">
        <f t="shared" si="16"/>
        <v>E2038</v>
      </c>
      <c r="H39" s="92" t="str">
        <f t="shared" si="16"/>
        <v>E2039</v>
      </c>
      <c r="I39" s="92" t="str">
        <f t="shared" si="16"/>
        <v>E2040</v>
      </c>
      <c r="J39" s="92" t="str">
        <f t="shared" si="16"/>
        <v>E2041</v>
      </c>
      <c r="K39" s="92" t="str">
        <f t="shared" si="16"/>
        <v>E2042</v>
      </c>
      <c r="L39" s="92" t="str">
        <f t="shared" si="16"/>
        <v>E2043</v>
      </c>
      <c r="M39" s="92" t="str">
        <f t="shared" si="16"/>
        <v>E2044</v>
      </c>
    </row>
    <row r="40" spans="2:24" x14ac:dyDescent="0.2">
      <c r="B40" s="84" t="str">
        <f>B28</f>
        <v>Sum anleggsmidler</v>
      </c>
      <c r="C40" s="67">
        <f>N28</f>
        <v>4988.7958746171134</v>
      </c>
      <c r="D40" s="67">
        <f t="shared" ref="D40:M40" si="17">O28</f>
        <v>4559.084595511873</v>
      </c>
      <c r="E40" s="67">
        <f t="shared" si="17"/>
        <v>4129.3733164066325</v>
      </c>
      <c r="F40" s="67">
        <f t="shared" si="17"/>
        <v>3699.662037301393</v>
      </c>
      <c r="G40" s="67">
        <f t="shared" si="17"/>
        <v>3179.238758196153</v>
      </c>
      <c r="H40" s="67">
        <f t="shared" si="17"/>
        <v>2679.6733221023278</v>
      </c>
      <c r="I40" s="67">
        <f t="shared" si="17"/>
        <v>2113.5231803613474</v>
      </c>
      <c r="J40" s="67">
        <f t="shared" si="17"/>
        <v>984.98217598462634</v>
      </c>
      <c r="K40" s="67">
        <f t="shared" si="17"/>
        <v>474.34101320122943</v>
      </c>
      <c r="L40" s="67">
        <f t="shared" si="17"/>
        <v>393.29578092989971</v>
      </c>
      <c r="M40" s="67">
        <f t="shared" si="17"/>
        <v>-1.4779288903810084E-12</v>
      </c>
      <c r="N40" s="62"/>
      <c r="O40" s="62"/>
      <c r="P40" s="62"/>
      <c r="Q40" s="62"/>
      <c r="R40" s="62"/>
      <c r="S40" s="62"/>
    </row>
    <row r="41" spans="2:24" x14ac:dyDescent="0.2">
      <c r="B41" s="84" t="str">
        <f>B29</f>
        <v>Omløpsmidler</v>
      </c>
      <c r="C41" s="67">
        <f>N29</f>
        <v>349.21571122319796</v>
      </c>
      <c r="D41" s="67">
        <f t="shared" ref="D41:M41" si="18">O29</f>
        <v>319.13592168583114</v>
      </c>
      <c r="E41" s="67">
        <f t="shared" si="18"/>
        <v>289.05613214846431</v>
      </c>
      <c r="F41" s="67">
        <f t="shared" si="18"/>
        <v>258.97634261109755</v>
      </c>
      <c r="G41" s="67">
        <f t="shared" si="18"/>
        <v>222.54671307373073</v>
      </c>
      <c r="H41" s="67">
        <f t="shared" si="18"/>
        <v>187.57713254716296</v>
      </c>
      <c r="I41" s="67">
        <f t="shared" si="18"/>
        <v>147.94662262529434</v>
      </c>
      <c r="J41" s="67">
        <f t="shared" si="18"/>
        <v>68.948752318923852</v>
      </c>
      <c r="K41" s="67">
        <f t="shared" si="18"/>
        <v>33.203870924086061</v>
      </c>
      <c r="L41" s="67">
        <f t="shared" si="18"/>
        <v>27.530704665092983</v>
      </c>
      <c r="M41" s="67">
        <f t="shared" si="18"/>
        <v>-1.034550223266706E-13</v>
      </c>
    </row>
    <row r="42" spans="2:24" x14ac:dyDescent="0.2">
      <c r="B42" s="84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24" x14ac:dyDescent="0.2">
      <c r="B43" s="90" t="str">
        <f>B31</f>
        <v>Sum eiendeler</v>
      </c>
      <c r="C43" s="93">
        <f>C40+C41</f>
        <v>5338.0115858403115</v>
      </c>
      <c r="D43" s="93">
        <f t="shared" ref="D43:M43" si="19">D40+D41</f>
        <v>4878.2205171977039</v>
      </c>
      <c r="E43" s="93">
        <f t="shared" si="19"/>
        <v>4418.4294485550972</v>
      </c>
      <c r="F43" s="93">
        <f t="shared" si="19"/>
        <v>3958.6383799124906</v>
      </c>
      <c r="G43" s="93">
        <f t="shared" si="19"/>
        <v>3401.7854712698836</v>
      </c>
      <c r="H43" s="93">
        <f t="shared" si="19"/>
        <v>2867.2504546494906</v>
      </c>
      <c r="I43" s="93">
        <f t="shared" si="19"/>
        <v>2261.4698029866418</v>
      </c>
      <c r="J43" s="93">
        <f t="shared" si="19"/>
        <v>1053.9309283035502</v>
      </c>
      <c r="K43" s="93">
        <f t="shared" si="19"/>
        <v>507.54488412531549</v>
      </c>
      <c r="L43" s="93">
        <f t="shared" si="19"/>
        <v>420.82648559499268</v>
      </c>
      <c r="M43" s="93">
        <f t="shared" si="19"/>
        <v>-1.581383912707679E-12</v>
      </c>
    </row>
    <row r="44" spans="2:24" x14ac:dyDescent="0.2">
      <c r="B44" s="84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24" x14ac:dyDescent="0.2">
      <c r="B45" s="84" t="str">
        <f>B33</f>
        <v>Gjeld</v>
      </c>
      <c r="C45" s="67">
        <f>N34</f>
        <v>2669.0057929201553</v>
      </c>
      <c r="D45" s="67">
        <f t="shared" ref="D45:M45" si="20">O34</f>
        <v>2439.1102585988515</v>
      </c>
      <c r="E45" s="67">
        <f t="shared" si="20"/>
        <v>2209.2147242775482</v>
      </c>
      <c r="F45" s="67">
        <f t="shared" si="20"/>
        <v>1979.3191899562448</v>
      </c>
      <c r="G45" s="67">
        <f t="shared" si="20"/>
        <v>1700.8927356349413</v>
      </c>
      <c r="H45" s="67">
        <f t="shared" si="20"/>
        <v>1433.6252273247451</v>
      </c>
      <c r="I45" s="67">
        <f t="shared" si="20"/>
        <v>1130.7349014933206</v>
      </c>
      <c r="J45" s="67">
        <f t="shared" si="20"/>
        <v>526.965464151775</v>
      </c>
      <c r="K45" s="67">
        <f t="shared" si="20"/>
        <v>253.77244206265769</v>
      </c>
      <c r="L45" s="67">
        <f t="shared" si="20"/>
        <v>210.41324279749628</v>
      </c>
      <c r="M45" s="67">
        <f t="shared" si="20"/>
        <v>-7.9069195635383929E-13</v>
      </c>
    </row>
    <row r="46" spans="2:24" x14ac:dyDescent="0.2">
      <c r="B46" s="84" t="str">
        <f>B34</f>
        <v>Egenkapital</v>
      </c>
      <c r="C46" s="67">
        <f>N35</f>
        <v>2669.0057929201562</v>
      </c>
      <c r="D46" s="67">
        <f t="shared" ref="D46:M46" si="21">O35</f>
        <v>2439.1102585988524</v>
      </c>
      <c r="E46" s="67">
        <f t="shared" si="21"/>
        <v>2209.2147242775491</v>
      </c>
      <c r="F46" s="67">
        <f t="shared" si="21"/>
        <v>1979.3191899562457</v>
      </c>
      <c r="G46" s="67">
        <f t="shared" si="21"/>
        <v>1700.8927356349423</v>
      </c>
      <c r="H46" s="67">
        <f t="shared" si="21"/>
        <v>1433.6252273247455</v>
      </c>
      <c r="I46" s="67">
        <f t="shared" si="21"/>
        <v>1130.7349014933211</v>
      </c>
      <c r="J46" s="67">
        <f t="shared" si="21"/>
        <v>526.96546415177522</v>
      </c>
      <c r="K46" s="67">
        <f t="shared" si="21"/>
        <v>253.7724420626578</v>
      </c>
      <c r="L46" s="67">
        <f t="shared" si="21"/>
        <v>210.41324279749639</v>
      </c>
      <c r="M46" s="67">
        <f t="shared" si="21"/>
        <v>-7.906919563538397E-13</v>
      </c>
    </row>
    <row r="47" spans="2:24" x14ac:dyDescent="0.2">
      <c r="B47" s="84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24" x14ac:dyDescent="0.2">
      <c r="B48" s="90" t="str">
        <f>B36</f>
        <v>Sum gjeld og egenkapital</v>
      </c>
      <c r="C48" s="93">
        <f>N37</f>
        <v>5338.0115858403115</v>
      </c>
      <c r="D48" s="93">
        <f t="shared" ref="D48:M48" si="22">O37</f>
        <v>4878.2205171977039</v>
      </c>
      <c r="E48" s="93">
        <f t="shared" si="22"/>
        <v>4418.4294485550972</v>
      </c>
      <c r="F48" s="93">
        <f t="shared" si="22"/>
        <v>3958.6383799124906</v>
      </c>
      <c r="G48" s="93">
        <f t="shared" si="22"/>
        <v>3401.7854712698836</v>
      </c>
      <c r="H48" s="93">
        <f t="shared" si="22"/>
        <v>2867.2504546494906</v>
      </c>
      <c r="I48" s="93">
        <f t="shared" si="22"/>
        <v>2261.4698029866418</v>
      </c>
      <c r="J48" s="93">
        <f t="shared" si="22"/>
        <v>1053.9309283035502</v>
      </c>
      <c r="K48" s="93">
        <f t="shared" si="22"/>
        <v>507.54488412531549</v>
      </c>
      <c r="L48" s="93">
        <f t="shared" si="22"/>
        <v>420.82648559499268</v>
      </c>
      <c r="M48" s="93">
        <f t="shared" si="22"/>
        <v>-1.581383912707679E-12</v>
      </c>
    </row>
    <row r="51" spans="2:24" x14ac:dyDescent="0.2">
      <c r="B51" t="s">
        <v>340</v>
      </c>
    </row>
    <row r="53" spans="2:24" x14ac:dyDescent="0.2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2:24" x14ac:dyDescent="0.2">
      <c r="C54" s="12">
        <f>Gjeld!C3*(1-0.22)*0.0513+(1-Gjeld!C3)*0.054</f>
        <v>4.5468540000000002E-2</v>
      </c>
      <c r="D54" s="12">
        <f>Gjeld!D3*(1-0.22)*0.0513+(1-Gjeld!D3)*0.054</f>
        <v>4.595805E-2</v>
      </c>
      <c r="E54" s="12">
        <f>Gjeld!E3*(1-0.22)*0.0513+(1-Gjeld!E3)*0.054</f>
        <v>4.6307699999999993E-2</v>
      </c>
      <c r="F54" s="12">
        <f>Gjeld!F3*(1-0.22)*0.0513+(1-Gjeld!F3)*0.054</f>
        <v>4.665735E-2</v>
      </c>
      <c r="G54" s="12">
        <f>Gjeld!G3*(1-0.22)*0.0513+(1-Gjeld!G3)*0.054</f>
        <v>4.7007E-2</v>
      </c>
      <c r="H54" s="12">
        <f>Gjeld!H3*(1-0.22)*0.0513+(1-Gjeld!H3)*0.054</f>
        <v>4.7007E-2</v>
      </c>
      <c r="I54" s="12">
        <f>Gjeld!I3*(1-0.22)*0.0513+(1-Gjeld!I3)*0.054</f>
        <v>4.7007E-2</v>
      </c>
      <c r="J54" s="12">
        <f>Gjeld!J3*(1-0.22)*0.0513+(1-Gjeld!J3)*0.054</f>
        <v>4.7007E-2</v>
      </c>
      <c r="K54" s="12">
        <f>Gjeld!K3*(1-0.22)*0.0513+(1-Gjeld!K3)*0.054</f>
        <v>4.7007E-2</v>
      </c>
      <c r="L54" s="12">
        <f>Gjeld!L3*(1-0.22)*0.0513+(1-Gjeld!L3)*0.054</f>
        <v>4.7007E-2</v>
      </c>
      <c r="M54" s="12">
        <f>Gjeld!M3*(1-0.22)*0.0513+(1-Gjeld!M3)*0.054</f>
        <v>4.7007E-2</v>
      </c>
    </row>
    <row r="55" spans="2:24" x14ac:dyDescent="0.2">
      <c r="C55" s="12">
        <f>SUM(C56:X56)/22</f>
        <v>2.3503500000000007E-2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2:24" x14ac:dyDescent="0.2">
      <c r="N56" s="12">
        <f>Gjeld!N3*(1-0.22)*0.0513+(1-Gjeld!N3)*0.054</f>
        <v>4.7007E-2</v>
      </c>
      <c r="O56" s="12">
        <f>Gjeld!O3*(1-0.22)*0.0513+(1-Gjeld!O3)*0.054</f>
        <v>4.7007E-2</v>
      </c>
      <c r="P56" s="12">
        <f>Gjeld!P3*(1-0.22)*0.0513+(1-Gjeld!P3)*0.054</f>
        <v>4.7007E-2</v>
      </c>
      <c r="Q56" s="12">
        <f>Gjeld!Q3*(1-0.22)*0.0513+(1-Gjeld!Q3)*0.054</f>
        <v>4.7007E-2</v>
      </c>
      <c r="R56" s="12">
        <f>Gjeld!R3*(1-0.22)*0.0513+(1-Gjeld!R3)*0.054</f>
        <v>4.7007E-2</v>
      </c>
      <c r="S56" s="12">
        <f>Gjeld!S3*(1-0.22)*0.0513+(1-Gjeld!S3)*0.054</f>
        <v>4.7007E-2</v>
      </c>
      <c r="T56" s="12">
        <f>Gjeld!T3*(1-0.22)*0.0513+(1-Gjeld!T3)*0.054</f>
        <v>4.7007E-2</v>
      </c>
      <c r="U56" s="12">
        <f>Gjeld!U3*(1-0.22)*0.0513+(1-Gjeld!U3)*0.054</f>
        <v>4.7007E-2</v>
      </c>
      <c r="V56" s="12">
        <f>Gjeld!V3*(1-0.22)*0.0513+(1-Gjeld!V3)*0.054</f>
        <v>4.7007E-2</v>
      </c>
      <c r="W56" s="12">
        <f>Gjeld!W3*(1-0.22)*0.0513+(1-Gjeld!W3)*0.054</f>
        <v>4.7007E-2</v>
      </c>
      <c r="X56" s="12">
        <f>Gjeld!X3*(1-0.22)*0.0513+(1-Gjeld!X3)*0.054</f>
        <v>4.7007E-2</v>
      </c>
    </row>
  </sheetData>
  <phoneticPr fontId="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0FA27-4C7C-F746-8E6A-2F9FA8824277}">
  <dimension ref="B2:X34"/>
  <sheetViews>
    <sheetView zoomScale="80" zoomScaleNormal="80" workbookViewId="0">
      <selection activeCell="C12" sqref="C12"/>
    </sheetView>
  </sheetViews>
  <sheetFormatPr baseColWidth="10" defaultRowHeight="15" x14ac:dyDescent="0.2"/>
  <cols>
    <col min="2" max="2" width="21.6640625" customWidth="1"/>
    <col min="3" max="3" width="15" bestFit="1" customWidth="1"/>
    <col min="6" max="6" width="16.33203125" bestFit="1" customWidth="1"/>
    <col min="13" max="13" width="11.6640625" customWidth="1"/>
    <col min="14" max="14" width="12.5" customWidth="1"/>
  </cols>
  <sheetData>
    <row r="2" spans="2:24" ht="16" x14ac:dyDescent="0.2">
      <c r="B2" s="33" t="s">
        <v>289</v>
      </c>
    </row>
    <row r="3" spans="2:24" x14ac:dyDescent="0.2">
      <c r="B3" t="s">
        <v>238</v>
      </c>
      <c r="C3">
        <v>6</v>
      </c>
      <c r="D3">
        <v>6</v>
      </c>
      <c r="E3">
        <v>6</v>
      </c>
      <c r="F3">
        <v>6</v>
      </c>
      <c r="G3">
        <v>6</v>
      </c>
      <c r="H3">
        <v>6</v>
      </c>
      <c r="I3">
        <v>6</v>
      </c>
      <c r="J3">
        <v>6</v>
      </c>
      <c r="K3">
        <v>6</v>
      </c>
      <c r="L3">
        <v>6</v>
      </c>
      <c r="M3">
        <v>6</v>
      </c>
      <c r="N3">
        <v>6</v>
      </c>
      <c r="O3">
        <v>6</v>
      </c>
      <c r="P3">
        <v>6</v>
      </c>
      <c r="Q3">
        <v>6</v>
      </c>
      <c r="R3">
        <v>6</v>
      </c>
      <c r="S3">
        <v>5</v>
      </c>
      <c r="T3">
        <v>4</v>
      </c>
      <c r="U3">
        <v>2</v>
      </c>
      <c r="V3">
        <v>2</v>
      </c>
      <c r="W3">
        <v>0</v>
      </c>
      <c r="X3">
        <v>0</v>
      </c>
    </row>
    <row r="4" spans="2:24" x14ac:dyDescent="0.2">
      <c r="B4" t="s">
        <v>215</v>
      </c>
      <c r="C4">
        <v>8</v>
      </c>
      <c r="D4">
        <v>8</v>
      </c>
      <c r="E4">
        <v>8</v>
      </c>
      <c r="F4">
        <v>8</v>
      </c>
      <c r="G4">
        <v>8</v>
      </c>
      <c r="H4">
        <v>8</v>
      </c>
      <c r="I4">
        <v>8</v>
      </c>
      <c r="J4">
        <v>8</v>
      </c>
      <c r="K4">
        <v>8</v>
      </c>
      <c r="L4">
        <v>8</v>
      </c>
      <c r="M4">
        <v>8</v>
      </c>
      <c r="N4">
        <v>8</v>
      </c>
      <c r="O4">
        <v>8</v>
      </c>
      <c r="P4">
        <v>8</v>
      </c>
      <c r="Q4">
        <v>8</v>
      </c>
      <c r="R4">
        <v>8</v>
      </c>
      <c r="S4">
        <v>8</v>
      </c>
      <c r="T4">
        <v>8</v>
      </c>
      <c r="U4">
        <v>8</v>
      </c>
      <c r="V4">
        <v>3</v>
      </c>
      <c r="W4">
        <v>2</v>
      </c>
      <c r="X4">
        <v>2</v>
      </c>
    </row>
    <row r="5" spans="2:24" x14ac:dyDescent="0.2">
      <c r="B5" s="69"/>
    </row>
    <row r="6" spans="2:24" x14ac:dyDescent="0.2">
      <c r="B6" t="s">
        <v>282</v>
      </c>
    </row>
    <row r="7" spans="2:24" x14ac:dyDescent="0.2">
      <c r="B7" s="34" t="s">
        <v>0</v>
      </c>
      <c r="C7" s="34" t="s">
        <v>291</v>
      </c>
      <c r="D7" s="34" t="s">
        <v>292</v>
      </c>
      <c r="E7" s="34" t="s">
        <v>293</v>
      </c>
      <c r="F7" s="34" t="s">
        <v>294</v>
      </c>
      <c r="G7" s="34" t="s">
        <v>295</v>
      </c>
      <c r="H7" s="34" t="s">
        <v>296</v>
      </c>
      <c r="I7" s="34" t="s">
        <v>297</v>
      </c>
      <c r="J7" s="34" t="s">
        <v>298</v>
      </c>
      <c r="K7" s="34" t="s">
        <v>299</v>
      </c>
      <c r="L7" s="34" t="s">
        <v>300</v>
      </c>
      <c r="M7" s="34" t="s">
        <v>301</v>
      </c>
      <c r="N7" s="34" t="s">
        <v>302</v>
      </c>
      <c r="O7" s="34" t="s">
        <v>303</v>
      </c>
      <c r="P7" s="34" t="s">
        <v>304</v>
      </c>
      <c r="Q7" s="34" t="s">
        <v>305</v>
      </c>
      <c r="R7" s="34" t="s">
        <v>306</v>
      </c>
      <c r="S7" s="34" t="s">
        <v>307</v>
      </c>
      <c r="T7" s="34" t="s">
        <v>308</v>
      </c>
      <c r="U7" s="34" t="s">
        <v>309</v>
      </c>
      <c r="V7" s="34" t="s">
        <v>310</v>
      </c>
      <c r="W7" s="34" t="s">
        <v>311</v>
      </c>
      <c r="X7" s="34" t="s">
        <v>312</v>
      </c>
    </row>
    <row r="8" spans="2:24" x14ac:dyDescent="0.2">
      <c r="B8" s="34" t="s">
        <v>221</v>
      </c>
      <c r="C8" s="64">
        <f>((('Kladd TCE'!D6*'Kladd TCE'!D10+'Kladd TCE'!D7*'Kladd TCE'!D11)*'Kladd TCE'!D16*'Kladd TCE'!D15)*9.86)/1000000</f>
        <v>4231.8817082065998</v>
      </c>
      <c r="D8" s="64">
        <f>((('Kladd TCE'!E6*'Kladd TCE'!E10+'Kladd TCE'!E7*'Kladd TCE'!E11)*'Kladd TCE'!E16*'Kladd TCE'!E15)*9.86)/1000000</f>
        <v>5717.8411958519991</v>
      </c>
      <c r="E8" s="64">
        <f>((('Kladd TCE'!F6*'Kladd TCE'!F10+'Kladd TCE'!F7*'Kladd TCE'!F11)*'Kladd TCE'!F16*'Kladd TCE'!F15)*9.86)/1000000</f>
        <v>6279.0402307571994</v>
      </c>
      <c r="F8" s="64">
        <f>((('Kladd TCE'!G6*'Kladd TCE'!G10+'Kladd TCE'!G7*'Kladd TCE'!G11)*'Kladd TCE'!G16*'Kladd TCE'!G15)*9.86)/1000000</f>
        <v>4820.2933000223993</v>
      </c>
      <c r="G8" s="64">
        <f>((('Kladd TCE'!H6*'Kladd TCE'!H10+'Kladd TCE'!H7*'Kladd TCE'!H11)*'Kladd TCE'!H16*'Kladd TCE'!H15)*9.86)/1000000</f>
        <v>4342.0728499999996</v>
      </c>
      <c r="H8" s="64">
        <f>((('Kladd TCE'!I6*'Kladd TCE'!I10+'Kladd TCE'!I7*'Kladd TCE'!I11)*'Kladd TCE'!I16*'Kladd TCE'!I15)*9.86)/1000000</f>
        <v>1948.8043500000001</v>
      </c>
      <c r="I8" s="64">
        <f>((('Kladd TCE'!J6*'Kladd TCE'!J10+'Kladd TCE'!J7*'Kladd TCE'!J11)*'Kladd TCE'!J16*'Kladd TCE'!J15)*9.86)/1000000</f>
        <v>957.30740000000003</v>
      </c>
      <c r="J8" s="64">
        <f>((('Kladd TCE'!K6*'Kladd TCE'!K10+'Kladd TCE'!K7*'Kladd TCE'!K11)*'Kladd TCE'!K16*'Kladd TCE'!K15)*9.86)/1000000</f>
        <v>800.03547000000003</v>
      </c>
      <c r="K8" s="64">
        <f>((('Kladd TCE'!L6*'Kladd TCE'!L10+'Kladd TCE'!L7*'Kladd TCE'!L11)*'Kladd TCE'!L16*'Kladd TCE'!L15)*9.86)/1000000</f>
        <v>800.03547000000003</v>
      </c>
      <c r="L8" s="64">
        <f>((('Kladd TCE'!M6*'Kladd TCE'!M10+'Kladd TCE'!M7*'Kladd TCE'!M11)*'Kladd TCE'!M16*'Kladd TCE'!M15)*9.86)/1000000</f>
        <v>1012.01068</v>
      </c>
      <c r="M8" s="64">
        <f>((('Kladd TCE'!N6*'Kladd TCE'!N10+'Kladd TCE'!N7*'Kladd TCE'!N11)*'Kladd TCE'!N16*'Kladd TCE'!N15)*9.86)/1000000</f>
        <v>1278.6891700000001</v>
      </c>
      <c r="N8" s="64">
        <f>((N4*'Estimert dagrate steady state'!N44+'Estimert dagrate steady state'!N45*Fremtidsresultat!N3)/1000000)*9.86</f>
        <v>1568.411627213321</v>
      </c>
      <c r="O8" s="64">
        <f>((O4*'Estimert dagrate steady state'!O44+'Estimert dagrate steady state'!O45*Fremtidsresultat!O3)/1000000)*9.86</f>
        <v>1537.0433946690544</v>
      </c>
      <c r="P8" s="64">
        <f>((P4*'Estimert dagrate steady state'!P44+'Estimert dagrate steady state'!P45*Fremtidsresultat!P3)/1000000)*9.86</f>
        <v>1505.6751621247877</v>
      </c>
      <c r="Q8" s="64">
        <f>((Q4*'Estimert dagrate steady state'!Q44+'Estimert dagrate steady state'!Q45*Fremtidsresultat!Q3)/1000000)*9.86</f>
        <v>1474.3069295805217</v>
      </c>
      <c r="R8" s="64">
        <f>((R4*'Estimert dagrate steady state'!R44+'Estimert dagrate steady state'!R45*Fremtidsresultat!R3)/1000000)*9.86</f>
        <v>1442.938697036255</v>
      </c>
      <c r="S8" s="64">
        <f>((S4*'Estimert dagrate steady state'!S44+'Estimert dagrate steady state'!S45*Fremtidsresultat!S3)/1000000)*9.86</f>
        <v>1325.6394345899976</v>
      </c>
      <c r="T8" s="64">
        <f>((T4*'Estimert dagrate steady state'!T44+'Estimert dagrate steady state'!T45*Fremtidsresultat!T3)/1000000)*9.86</f>
        <v>1212.1593290282735</v>
      </c>
      <c r="U8" s="64">
        <f>((U4*'Estimert dagrate steady state'!U44+'Estimert dagrate steady state'!U45*Fremtidsresultat!U3)/1000000)*9.86</f>
        <v>1020.386507333624</v>
      </c>
      <c r="V8" s="64">
        <f>((V4*'Estimert dagrate steady state'!V44+'Estimert dagrate steady state'!V45*Fremtidsresultat!V3)/1000000)*9.86</f>
        <v>473.99908892839812</v>
      </c>
      <c r="W8" s="64">
        <f>((W4*'Estimert dagrate steady state'!W44+'Estimert dagrate steady state'!W45*Fremtidsresultat!W3)/1000000)*9.86</f>
        <v>204.08530937934319</v>
      </c>
      <c r="X8" s="64">
        <f>((X4*'Estimert dagrate steady state'!X44+'Estimert dagrate steady state'!X45*Fremtidsresultat!X3)/1000000)*9.86</f>
        <v>199.10761890667629</v>
      </c>
    </row>
    <row r="9" spans="2:24" x14ac:dyDescent="0.2">
      <c r="B9" s="34" t="s">
        <v>266</v>
      </c>
      <c r="C9" s="64">
        <f>'Opex og G og A'!C9</f>
        <v>53.268191115599997</v>
      </c>
      <c r="D9" s="64">
        <f>'Opex og G og A'!D9</f>
        <v>54.333554937911998</v>
      </c>
      <c r="E9" s="64">
        <f>'Opex og G og A'!E9</f>
        <v>55.420226036670236</v>
      </c>
      <c r="F9" s="64">
        <f>'Opex og G og A'!F9</f>
        <v>56.528630557403631</v>
      </c>
      <c r="G9" s="64">
        <f>'Opex og G og A'!G9</f>
        <v>57.65920316855172</v>
      </c>
      <c r="H9" s="64">
        <f>'Opex og G og A'!H9</f>
        <v>58.812387231922749</v>
      </c>
      <c r="I9" s="64">
        <f>'Opex og G og A'!I9</f>
        <v>59.988634976561201</v>
      </c>
      <c r="J9" s="64">
        <f>'Opex og G og A'!J9</f>
        <v>61.188407676092424</v>
      </c>
      <c r="K9" s="64">
        <f>'Opex og G og A'!K9</f>
        <v>62.412175829614277</v>
      </c>
      <c r="L9" s="64">
        <f>'Opex og G og A'!L9</f>
        <v>63.66041934620656</v>
      </c>
      <c r="M9" s="64">
        <f>'Opex og G og A'!M9</f>
        <v>64.933627733130677</v>
      </c>
      <c r="N9" s="64">
        <f>'Opex og G og A'!N9</f>
        <v>66.232300287793308</v>
      </c>
      <c r="O9" s="64">
        <f>'Opex og G og A'!O9</f>
        <v>67.55694629354916</v>
      </c>
      <c r="P9" s="64">
        <f>'Opex og G og A'!P9</f>
        <v>68.908085219420158</v>
      </c>
      <c r="Q9" s="64">
        <f>'Opex og G og A'!Q9</f>
        <v>70.286246923808534</v>
      </c>
      <c r="R9" s="64">
        <f>'Opex og G og A'!R9</f>
        <v>66.571116729264375</v>
      </c>
      <c r="S9" s="64">
        <f>'Opex og G og A'!S9</f>
        <v>62.679266828168934</v>
      </c>
      <c r="T9" s="64">
        <f>'Opex og G og A'!T9</f>
        <v>53.277376803943582</v>
      </c>
      <c r="U9" s="64">
        <f>'Opex og G og A'!U9</f>
        <v>54.342924340022456</v>
      </c>
      <c r="V9" s="64">
        <f>'Opex og G og A'!V9</f>
        <v>16.628934848046875</v>
      </c>
      <c r="W9" s="64">
        <f>'Opex og G og A'!W9</f>
        <v>11.307675696671874</v>
      </c>
      <c r="X9" s="64">
        <f>'Opex og G og A'!X9</f>
        <v>11.53382921060531</v>
      </c>
    </row>
    <row r="10" spans="2:24" x14ac:dyDescent="0.2">
      <c r="B10" s="34" t="s">
        <v>226</v>
      </c>
      <c r="C10" s="64">
        <f>'Opex og G og A'!C5</f>
        <v>423.57527066400002</v>
      </c>
      <c r="D10" s="64">
        <f>'Opex og G og A'!D5</f>
        <v>451.98848410415997</v>
      </c>
      <c r="E10" s="64">
        <f>'Opex og G og A'!E5</f>
        <v>461.02825378624323</v>
      </c>
      <c r="F10" s="64">
        <f>'Opex og G og A'!F5</f>
        <v>470.24881886196806</v>
      </c>
      <c r="G10" s="64">
        <f>'Opex og G og A'!G5</f>
        <v>479.6537952392074</v>
      </c>
      <c r="H10" s="64">
        <f>'Opex og G og A'!H5</f>
        <v>489.2468711439916</v>
      </c>
      <c r="I10" s="64">
        <f>'Opex og G og A'!I5</f>
        <v>499.03180856687135</v>
      </c>
      <c r="J10" s="64">
        <f>'Opex og G og A'!J5</f>
        <v>509.01244473820884</v>
      </c>
      <c r="K10" s="64">
        <f>'Opex og G og A'!K5</f>
        <v>519.19269363297292</v>
      </c>
      <c r="L10" s="64">
        <f>'Opex og G og A'!L5</f>
        <v>529.57654750563256</v>
      </c>
      <c r="M10" s="64">
        <f>'Opex og G og A'!M5</f>
        <v>540.16807845574499</v>
      </c>
      <c r="N10" s="64">
        <f>'Opex og G og A'!N5</f>
        <v>550.97144002485993</v>
      </c>
      <c r="O10" s="64">
        <f>'Opex og G og A'!O5</f>
        <v>561.9908688253571</v>
      </c>
      <c r="P10" s="64">
        <f>'Opex og G og A'!P5</f>
        <v>573.23068620186439</v>
      </c>
      <c r="Q10" s="64">
        <f>'Opex og G og A'!Q5</f>
        <v>584.69529992590151</v>
      </c>
      <c r="R10" s="64">
        <f>'Opex og G og A'!R5</f>
        <v>560.60997113534518</v>
      </c>
      <c r="S10" s="64">
        <f>'Opex og G og A'!S5</f>
        <v>535.32735107319604</v>
      </c>
      <c r="T10" s="64">
        <f>'Opex og G og A'!T5</f>
        <v>471.58446634555389</v>
      </c>
      <c r="U10" s="64">
        <f>'Opex og G og A'!U5</f>
        <v>481.01615567246489</v>
      </c>
      <c r="V10" s="64">
        <f>'Opex og G og A'!V5</f>
        <v>154.94223374780404</v>
      </c>
      <c r="W10" s="64">
        <f>'Opex og G og A'!W5</f>
        <v>105.36071894850676</v>
      </c>
      <c r="X10" s="64">
        <f>'Opex og G og A'!X5</f>
        <v>107.4679333274769</v>
      </c>
    </row>
    <row r="11" spans="2:24" x14ac:dyDescent="0.2">
      <c r="B11" s="34" t="s">
        <v>126</v>
      </c>
      <c r="C11" s="64">
        <f>Fremtidsbalanse!C3</f>
        <v>429.71127910524018</v>
      </c>
      <c r="D11" s="64">
        <f>Fremtidsbalanse!D3</f>
        <v>429.71127910524018</v>
      </c>
      <c r="E11" s="64">
        <f>Fremtidsbalanse!E3</f>
        <v>429.71127910524018</v>
      </c>
      <c r="F11" s="64">
        <f>Fremtidsbalanse!F3</f>
        <v>429.71127910524018</v>
      </c>
      <c r="G11" s="64">
        <f>Fremtidsbalanse!G3</f>
        <v>429.71127910524018</v>
      </c>
      <c r="H11" s="64">
        <f>Fremtidsbalanse!H3</f>
        <v>429.71127910524018</v>
      </c>
      <c r="I11" s="64">
        <f>Fremtidsbalanse!I3</f>
        <v>429.71127910524018</v>
      </c>
      <c r="J11" s="64">
        <f>Fremtidsbalanse!J3</f>
        <v>429.71127910524018</v>
      </c>
      <c r="K11" s="64">
        <f>Fremtidsbalanse!K3</f>
        <v>429.71127910524018</v>
      </c>
      <c r="L11" s="64">
        <f>Fremtidsbalanse!L3</f>
        <v>429.71127910524018</v>
      </c>
      <c r="M11" s="64">
        <f>Fremtidsbalanse!M3</f>
        <v>429.71127910524018</v>
      </c>
      <c r="N11" s="64">
        <f>Fremtidsbalanse!N3</f>
        <v>429.71127910524018</v>
      </c>
      <c r="O11" s="64">
        <f>Fremtidsbalanse!O3</f>
        <v>429.71127910524018</v>
      </c>
      <c r="P11" s="64">
        <f>Fremtidsbalanse!P3</f>
        <v>429.71127910524018</v>
      </c>
      <c r="Q11" s="64">
        <f>Fremtidsbalanse!Q3</f>
        <v>429.71127910524018</v>
      </c>
      <c r="R11" s="64">
        <f>Fremtidsbalanse!R3</f>
        <v>429.71127910524018</v>
      </c>
      <c r="S11" s="64">
        <f>Fremtidsbalanse!S3</f>
        <v>405.58398475239619</v>
      </c>
      <c r="T11" s="64">
        <f>Fremtidsbalanse!T3</f>
        <v>381.45669039955214</v>
      </c>
      <c r="U11" s="64">
        <f>Fremtidsbalanse!U3</f>
        <v>333.20210169386411</v>
      </c>
      <c r="V11" s="64">
        <f>Fremtidsbalanse!V3</f>
        <v>155.10990607625411</v>
      </c>
      <c r="W11" s="64">
        <f>Fremtidsbalanse!W3</f>
        <v>71.236878247044018</v>
      </c>
      <c r="X11" s="64">
        <f>Fremtidsbalanse!X3</f>
        <v>71.236878247044018</v>
      </c>
    </row>
    <row r="12" spans="2:24" x14ac:dyDescent="0.2">
      <c r="B12" s="34" t="s">
        <v>286</v>
      </c>
      <c r="C12" s="64">
        <f>'Kladd TCE'!D108*Balansen!$I$2</f>
        <v>29.58</v>
      </c>
      <c r="D12" s="64">
        <f>'Kladd TCE'!E108*Balansen!$I$2</f>
        <v>59.16</v>
      </c>
      <c r="E12" s="64">
        <f>'Kladd TCE'!F108*Balansen!$I$2</f>
        <v>44.37</v>
      </c>
      <c r="F12" s="64">
        <f>'Kladd TCE'!G108*Balansen!$I$2</f>
        <v>19.72</v>
      </c>
      <c r="G12" s="64">
        <f>'Kladd TCE'!H108*Balansen!$I$2</f>
        <v>49.3</v>
      </c>
      <c r="H12" s="64">
        <f>'Kladd TCE'!I108*Balansen!$I$2</f>
        <v>39.44</v>
      </c>
      <c r="I12" s="64">
        <f>'Kladd TCE'!J108*Balansen!$I$2</f>
        <v>78.88</v>
      </c>
      <c r="J12" s="64">
        <f>'Kladd TCE'!K108*Balansen!$I$2</f>
        <v>59.16</v>
      </c>
      <c r="K12" s="64">
        <f>'Kladd TCE'!L108*Balansen!$I$2</f>
        <v>24.65</v>
      </c>
      <c r="L12" s="64">
        <f>'Kladd TCE'!M108*Balansen!$I$2</f>
        <v>64.09</v>
      </c>
      <c r="M12" s="64">
        <f>'Kladd TCE'!N108*Balansen!$I$2</f>
        <v>49.3</v>
      </c>
      <c r="N12" s="64">
        <f>'Kladd TCE'!O108*Balansen!$I$2</f>
        <v>130.64499999999998</v>
      </c>
      <c r="O12" s="64">
        <f>'Kladd TCE'!P108*Balansen!$I$2</f>
        <v>105.99499999999999</v>
      </c>
      <c r="P12" s="64">
        <f>'Kladd TCE'!Q108*Balansen!$I$2</f>
        <v>103.53</v>
      </c>
      <c r="Q12" s="64">
        <f>'Kladd TCE'!R108*Balansen!$I$2</f>
        <v>216.92</v>
      </c>
      <c r="R12" s="64">
        <f>'Kladd TCE'!S108*Balansen!$I$2</f>
        <v>175.01499999999999</v>
      </c>
      <c r="S12" s="64">
        <f>'Kladd TCE'!T108*Balansen!$I$2</f>
        <v>157.76</v>
      </c>
      <c r="T12" s="64">
        <f>'Kladd TCE'!U108*Balansen!$I$2</f>
        <v>182.41</v>
      </c>
      <c r="U12" s="64">
        <f>'Kladd TCE'!V108*Balansen!$I$2</f>
        <v>0</v>
      </c>
      <c r="V12" s="64">
        <f>'Kladd TCE'!W108*Balansen!$I$2</f>
        <v>78.88</v>
      </c>
      <c r="W12" s="64">
        <f>'Kladd TCE'!X108*Balansen!$I$2</f>
        <v>0</v>
      </c>
      <c r="X12" s="64">
        <f>'Kladd TCE'!Y108*Balansen!$I$2</f>
        <v>0</v>
      </c>
    </row>
    <row r="13" spans="2:24" x14ac:dyDescent="0.2">
      <c r="B13" s="34" t="s">
        <v>79</v>
      </c>
      <c r="C13" s="64">
        <f>SUM(C9:C12)</f>
        <v>936.1347408848402</v>
      </c>
      <c r="D13" s="64">
        <f t="shared" ref="D13:X13" si="0">SUM(D9:D12)</f>
        <v>995.1933181473122</v>
      </c>
      <c r="E13" s="64">
        <f t="shared" si="0"/>
        <v>990.52975892815368</v>
      </c>
      <c r="F13" s="64">
        <f t="shared" si="0"/>
        <v>976.20872852461184</v>
      </c>
      <c r="G13" s="64">
        <f t="shared" si="0"/>
        <v>1016.3242775129993</v>
      </c>
      <c r="H13" s="64">
        <f t="shared" si="0"/>
        <v>1017.2105374811547</v>
      </c>
      <c r="I13" s="64">
        <f t="shared" si="0"/>
        <v>1067.6117226486726</v>
      </c>
      <c r="J13" s="64">
        <f t="shared" si="0"/>
        <v>1059.0721315195415</v>
      </c>
      <c r="K13" s="64">
        <f t="shared" si="0"/>
        <v>1035.9661485678275</v>
      </c>
      <c r="L13" s="64">
        <f t="shared" si="0"/>
        <v>1087.0382459570792</v>
      </c>
      <c r="M13" s="64">
        <f t="shared" si="0"/>
        <v>1084.1129852941158</v>
      </c>
      <c r="N13" s="64">
        <f t="shared" si="0"/>
        <v>1177.5600194178935</v>
      </c>
      <c r="O13" s="64">
        <f t="shared" si="0"/>
        <v>1165.2540942241462</v>
      </c>
      <c r="P13" s="64">
        <f t="shared" si="0"/>
        <v>1175.3800505265247</v>
      </c>
      <c r="Q13" s="64">
        <f t="shared" si="0"/>
        <v>1301.6128259549503</v>
      </c>
      <c r="R13" s="64">
        <f t="shared" si="0"/>
        <v>1231.9073669698496</v>
      </c>
      <c r="S13" s="64">
        <f t="shared" si="0"/>
        <v>1161.3506026537611</v>
      </c>
      <c r="T13" s="64">
        <f t="shared" si="0"/>
        <v>1088.7285335490496</v>
      </c>
      <c r="U13" s="64">
        <f t="shared" si="0"/>
        <v>868.56118170635136</v>
      </c>
      <c r="V13" s="64">
        <f t="shared" si="0"/>
        <v>405.56107467210501</v>
      </c>
      <c r="W13" s="64">
        <f t="shared" si="0"/>
        <v>187.90527289222265</v>
      </c>
      <c r="X13" s="64">
        <f t="shared" si="0"/>
        <v>190.23864078512622</v>
      </c>
    </row>
    <row r="14" spans="2:24" x14ac:dyDescent="0.2">
      <c r="B14" s="34" t="s">
        <v>323</v>
      </c>
      <c r="C14" s="64">
        <f>C8-C13</f>
        <v>3295.7469673217597</v>
      </c>
      <c r="D14" s="64">
        <f t="shared" ref="D14:X14" si="1">D8-D13</f>
        <v>4722.6478777046868</v>
      </c>
      <c r="E14" s="64">
        <f t="shared" si="1"/>
        <v>5288.5104718290459</v>
      </c>
      <c r="F14" s="64">
        <f t="shared" si="1"/>
        <v>3844.0845714977877</v>
      </c>
      <c r="G14" s="64">
        <f t="shared" si="1"/>
        <v>3325.7485724870003</v>
      </c>
      <c r="H14" s="64">
        <f t="shared" si="1"/>
        <v>931.59381251884543</v>
      </c>
      <c r="I14" s="64">
        <f t="shared" si="1"/>
        <v>-110.30432264867261</v>
      </c>
      <c r="J14" s="64">
        <f t="shared" si="1"/>
        <v>-259.03666151954144</v>
      </c>
      <c r="K14" s="64">
        <f t="shared" si="1"/>
        <v>-235.9306785678275</v>
      </c>
      <c r="L14" s="64">
        <f t="shared" si="1"/>
        <v>-75.027565957079219</v>
      </c>
      <c r="M14" s="64">
        <f t="shared" si="1"/>
        <v>194.57618470588432</v>
      </c>
      <c r="N14" s="64">
        <f t="shared" si="1"/>
        <v>390.85160779542753</v>
      </c>
      <c r="O14" s="64">
        <f t="shared" si="1"/>
        <v>371.78930044490812</v>
      </c>
      <c r="P14" s="64">
        <f t="shared" si="1"/>
        <v>330.29511159826302</v>
      </c>
      <c r="Q14" s="64">
        <f t="shared" si="1"/>
        <v>172.69410362557142</v>
      </c>
      <c r="R14" s="64">
        <f t="shared" si="1"/>
        <v>211.03133006640542</v>
      </c>
      <c r="S14" s="64">
        <f t="shared" si="1"/>
        <v>164.28883193623642</v>
      </c>
      <c r="T14" s="64">
        <f t="shared" si="1"/>
        <v>123.43079547922389</v>
      </c>
      <c r="U14" s="64">
        <f t="shared" si="1"/>
        <v>151.8253256272726</v>
      </c>
      <c r="V14" s="64">
        <f t="shared" si="1"/>
        <v>68.438014256293116</v>
      </c>
      <c r="W14" s="64">
        <f t="shared" si="1"/>
        <v>16.180036487120532</v>
      </c>
      <c r="X14" s="64">
        <f t="shared" si="1"/>
        <v>8.8689781215500716</v>
      </c>
    </row>
    <row r="15" spans="2:24" x14ac:dyDescent="0.2">
      <c r="B15" s="34" t="s">
        <v>287</v>
      </c>
      <c r="C15" s="64">
        <f>Fremtidsbalanse!C12*2.966%</f>
        <v>34.579834507442321</v>
      </c>
      <c r="D15" s="64">
        <f>Fremtidsbalanse!D12*2.966%</f>
        <v>30.29620561261337</v>
      </c>
      <c r="E15" s="64">
        <f>Fremtidsbalanse!E12*2.966%</f>
        <v>26.267481448549649</v>
      </c>
      <c r="F15" s="64">
        <f>Fremtidsbalanse!F12*2.966%</f>
        <v>19.994366235778806</v>
      </c>
      <c r="G15" s="64">
        <f>Fremtidsbalanse!G12*2.966%</f>
        <v>16.602903898628156</v>
      </c>
      <c r="H15" s="64">
        <f>Fremtidsbalanse!H12*2.966%</f>
        <v>15.710737340949853</v>
      </c>
      <c r="I15" s="64">
        <f>Fremtidsbalanse!I12*2.966%</f>
        <v>14.818570783271555</v>
      </c>
      <c r="J15" s="64">
        <f>Fremtidsbalanse!J12*2.966%</f>
        <v>13.926404225593254</v>
      </c>
      <c r="K15" s="64">
        <f>Fremtidsbalanse!K12*2.966%</f>
        <v>13.034237667914955</v>
      </c>
      <c r="L15" s="64">
        <f>Fremtidsbalanse!L12*2.966%</f>
        <v>12.142071110236653</v>
      </c>
      <c r="M15" s="64">
        <f>Fremtidsbalanse!M12*2.966%</f>
        <v>11.249904552558354</v>
      </c>
      <c r="N15" s="64">
        <f>Fremtidsbalanse!N12*2.966%</f>
        <v>10.357737994880052</v>
      </c>
      <c r="O15" s="64">
        <f>Fremtidsbalanse!O12*2.966%</f>
        <v>9.4655714372017528</v>
      </c>
      <c r="P15" s="64">
        <f>Fremtidsbalanse!P12*2.966%</f>
        <v>8.5734048795234514</v>
      </c>
      <c r="Q15" s="64">
        <f>Fremtidsbalanse!Q12*2.966%</f>
        <v>7.6812383218451536</v>
      </c>
      <c r="R15" s="64">
        <f>Fremtidsbalanse!R12*2.966%</f>
        <v>6.6007355097668539</v>
      </c>
      <c r="S15" s="64">
        <f>Fremtidsbalanse!S12*2.966%</f>
        <v>5.5635377513488535</v>
      </c>
      <c r="T15" s="64">
        <f>Fremtidsbalanse!T12*2.966%</f>
        <v>4.3880968270662306</v>
      </c>
      <c r="U15" s="64">
        <f>Fremtidsbalanse!U12*2.966%</f>
        <v>2.0450199937792815</v>
      </c>
      <c r="V15" s="64">
        <f>Fremtidsbalanse!V12*2.966%</f>
        <v>0.98482681160839269</v>
      </c>
      <c r="W15" s="64">
        <f>Fremtidsbalanse!W12*2.966%</f>
        <v>0.81656070036665795</v>
      </c>
      <c r="X15" s="64">
        <f>Fremtidsbalanse!X12*2.966%</f>
        <v>-3.0684759622090504E-15</v>
      </c>
    </row>
    <row r="16" spans="2:24" x14ac:dyDescent="0.2">
      <c r="B16" s="34" t="s">
        <v>285</v>
      </c>
      <c r="C16" s="64">
        <f>C14-C15</f>
        <v>3261.1671328143175</v>
      </c>
      <c r="D16" s="64">
        <f t="shared" ref="D16:X16" si="2">D14-D15</f>
        <v>4692.3516720920734</v>
      </c>
      <c r="E16" s="64">
        <f t="shared" si="2"/>
        <v>5262.2429903804959</v>
      </c>
      <c r="F16" s="64">
        <f t="shared" si="2"/>
        <v>3824.090205262009</v>
      </c>
      <c r="G16" s="64">
        <f t="shared" si="2"/>
        <v>3309.1456685883722</v>
      </c>
      <c r="H16" s="64">
        <f t="shared" si="2"/>
        <v>915.88307517789553</v>
      </c>
      <c r="I16" s="64">
        <f t="shared" si="2"/>
        <v>-125.12289343194416</v>
      </c>
      <c r="J16" s="64">
        <f t="shared" si="2"/>
        <v>-272.96306574513471</v>
      </c>
      <c r="K16" s="64">
        <f t="shared" si="2"/>
        <v>-248.96491623574246</v>
      </c>
      <c r="L16" s="64">
        <f t="shared" si="2"/>
        <v>-87.169637067315875</v>
      </c>
      <c r="M16" s="64">
        <f t="shared" si="2"/>
        <v>183.32628015332597</v>
      </c>
      <c r="N16" s="64">
        <f t="shared" si="2"/>
        <v>380.49386980054749</v>
      </c>
      <c r="O16" s="64">
        <f t="shared" si="2"/>
        <v>362.32372900770639</v>
      </c>
      <c r="P16" s="64">
        <f t="shared" si="2"/>
        <v>321.7217067187396</v>
      </c>
      <c r="Q16" s="64">
        <f t="shared" si="2"/>
        <v>165.01286530372627</v>
      </c>
      <c r="R16" s="64">
        <f t="shared" si="2"/>
        <v>204.43059455663857</v>
      </c>
      <c r="S16" s="64">
        <f t="shared" si="2"/>
        <v>158.72529418488756</v>
      </c>
      <c r="T16" s="64">
        <f t="shared" si="2"/>
        <v>119.04269865215765</v>
      </c>
      <c r="U16" s="64">
        <f t="shared" si="2"/>
        <v>149.78030563349333</v>
      </c>
      <c r="V16" s="64">
        <f t="shared" si="2"/>
        <v>67.45318744468473</v>
      </c>
      <c r="W16" s="64">
        <f t="shared" si="2"/>
        <v>15.363475786753874</v>
      </c>
      <c r="X16" s="64">
        <f t="shared" si="2"/>
        <v>8.8689781215500751</v>
      </c>
    </row>
    <row r="17" spans="2:24" x14ac:dyDescent="0.2">
      <c r="B17" s="34" t="s">
        <v>288</v>
      </c>
      <c r="C17" s="64">
        <f>Gjeld!C6</f>
        <v>385.11574726915853</v>
      </c>
      <c r="D17" s="64">
        <f>Gjeld!D6</f>
        <v>340.63100762560333</v>
      </c>
      <c r="E17" s="64">
        <f>Gjeld!E6</f>
        <v>304.14524772680755</v>
      </c>
      <c r="F17" s="64">
        <f>Gjeld!F6</f>
        <v>274.95933322578992</v>
      </c>
      <c r="G17" s="64">
        <f>Gjeld!G6</f>
        <v>245.1858324672572</v>
      </c>
      <c r="H17" s="64">
        <f>Gjeld!H6</f>
        <v>219.55051149387592</v>
      </c>
      <c r="I17" s="64">
        <f>Gjeld!I6</f>
        <v>207.75283891370839</v>
      </c>
      <c r="J17" s="64">
        <f>Gjeld!J6</f>
        <v>195.95516633354089</v>
      </c>
      <c r="K17" s="64">
        <f>Gjeld!K6</f>
        <v>184.15749375337342</v>
      </c>
      <c r="L17" s="64">
        <f>Gjeld!L6</f>
        <v>172.35982117320592</v>
      </c>
      <c r="M17" s="64">
        <f>Gjeld!M6</f>
        <v>160.56214859303842</v>
      </c>
      <c r="N17" s="64">
        <f>Gjeld!N6</f>
        <v>148.76447601287094</v>
      </c>
      <c r="O17" s="64">
        <f>Gjeld!O6</f>
        <v>136.96680343270344</v>
      </c>
      <c r="P17" s="64">
        <f>Gjeld!P6</f>
        <v>125.16913085253594</v>
      </c>
      <c r="Q17" s="64">
        <f>Gjeld!Q6</f>
        <v>113.37145827236846</v>
      </c>
      <c r="R17" s="64">
        <f>Gjeld!R6</f>
        <v>101.57378569220099</v>
      </c>
      <c r="S17" s="64">
        <f>Gjeld!S6</f>
        <v>87.285625831083962</v>
      </c>
      <c r="T17" s="64">
        <f>Gjeld!T6</f>
        <v>73.570115594360317</v>
      </c>
      <c r="U17" s="64">
        <f>Gjeld!U6</f>
        <v>58.026530102764021</v>
      </c>
      <c r="V17" s="64">
        <f>Gjeld!V6</f>
        <v>27.042569684845457</v>
      </c>
      <c r="W17" s="64">
        <f>Gjeld!W6</f>
        <v>13.022976675747131</v>
      </c>
      <c r="X17" s="64">
        <f>Gjeld!X6</f>
        <v>10.797889364770116</v>
      </c>
    </row>
    <row r="18" spans="2:24" ht="16" thickBot="1" x14ac:dyDescent="0.25">
      <c r="B18" s="58" t="s">
        <v>290</v>
      </c>
      <c r="C18" s="65">
        <f>C16-C17</f>
        <v>2876.0513855451591</v>
      </c>
      <c r="D18" s="65">
        <f t="shared" ref="D18:X18" si="3">D16-D17</f>
        <v>4351.7206644664702</v>
      </c>
      <c r="E18" s="65">
        <f t="shared" si="3"/>
        <v>4958.0977426536883</v>
      </c>
      <c r="F18" s="65">
        <f t="shared" si="3"/>
        <v>3549.130872036219</v>
      </c>
      <c r="G18" s="65">
        <f t="shared" si="3"/>
        <v>3063.9598361211151</v>
      </c>
      <c r="H18" s="65">
        <f t="shared" si="3"/>
        <v>696.33256368401965</v>
      </c>
      <c r="I18" s="65">
        <f t="shared" si="3"/>
        <v>-332.87573234565252</v>
      </c>
      <c r="J18" s="65">
        <f t="shared" si="3"/>
        <v>-468.9182320786756</v>
      </c>
      <c r="K18" s="65">
        <f t="shared" si="3"/>
        <v>-433.12240998911591</v>
      </c>
      <c r="L18" s="65">
        <f t="shared" si="3"/>
        <v>-259.52945824052176</v>
      </c>
      <c r="M18" s="65">
        <f t="shared" si="3"/>
        <v>22.764131560287552</v>
      </c>
      <c r="N18" s="65">
        <f t="shared" si="3"/>
        <v>231.72939378767654</v>
      </c>
      <c r="O18" s="65">
        <f t="shared" si="3"/>
        <v>225.35692557500295</v>
      </c>
      <c r="P18" s="65">
        <f t="shared" si="3"/>
        <v>196.55257586620365</v>
      </c>
      <c r="Q18" s="65">
        <f t="shared" si="3"/>
        <v>51.641407031357815</v>
      </c>
      <c r="R18" s="65">
        <f t="shared" si="3"/>
        <v>102.85680886443758</v>
      </c>
      <c r="S18" s="65">
        <f t="shared" si="3"/>
        <v>71.439668353803597</v>
      </c>
      <c r="T18" s="65">
        <f t="shared" si="3"/>
        <v>45.472583057797337</v>
      </c>
      <c r="U18" s="65">
        <f t="shared" si="3"/>
        <v>91.753775530729314</v>
      </c>
      <c r="V18" s="65">
        <f t="shared" si="3"/>
        <v>40.410617759839269</v>
      </c>
      <c r="W18" s="65">
        <f t="shared" si="3"/>
        <v>2.3404991110067428</v>
      </c>
      <c r="X18" s="65">
        <f t="shared" si="3"/>
        <v>-1.9289112432200408</v>
      </c>
    </row>
    <row r="19" spans="2:24" ht="16" thickTop="1" x14ac:dyDescent="0.2"/>
    <row r="20" spans="2:24" x14ac:dyDescent="0.2">
      <c r="B20" s="34" t="str">
        <f>B7</f>
        <v>År</v>
      </c>
      <c r="C20" s="34" t="str">
        <f t="shared" ref="C20:X20" si="4">C7</f>
        <v>E2023</v>
      </c>
      <c r="D20" s="34" t="str">
        <f t="shared" si="4"/>
        <v>E2024</v>
      </c>
      <c r="E20" s="34" t="str">
        <f t="shared" si="4"/>
        <v>E2025</v>
      </c>
      <c r="F20" s="34" t="str">
        <f t="shared" si="4"/>
        <v>E2026</v>
      </c>
      <c r="G20" s="34" t="str">
        <f t="shared" si="4"/>
        <v>E2027</v>
      </c>
      <c r="H20" s="34" t="str">
        <f t="shared" si="4"/>
        <v>E2028</v>
      </c>
      <c r="I20" s="34" t="str">
        <f t="shared" si="4"/>
        <v>E2029</v>
      </c>
      <c r="J20" s="34" t="str">
        <f t="shared" si="4"/>
        <v>E2030</v>
      </c>
      <c r="K20" s="34" t="str">
        <f t="shared" si="4"/>
        <v>E2031</v>
      </c>
      <c r="L20" s="34" t="str">
        <f t="shared" si="4"/>
        <v>E2032</v>
      </c>
      <c r="M20" s="34" t="str">
        <f t="shared" si="4"/>
        <v>E2033</v>
      </c>
      <c r="N20" s="34" t="str">
        <f t="shared" si="4"/>
        <v>E2034</v>
      </c>
      <c r="O20" s="34" t="str">
        <f t="shared" si="4"/>
        <v>E2035</v>
      </c>
      <c r="P20" s="34" t="str">
        <f t="shared" si="4"/>
        <v>E2036</v>
      </c>
      <c r="Q20" s="34" t="str">
        <f t="shared" si="4"/>
        <v>E2037</v>
      </c>
      <c r="R20" s="34" t="str">
        <f t="shared" si="4"/>
        <v>E2038</v>
      </c>
      <c r="S20" s="34" t="str">
        <f t="shared" si="4"/>
        <v>E2039</v>
      </c>
      <c r="T20" s="34" t="str">
        <f t="shared" si="4"/>
        <v>E2040</v>
      </c>
      <c r="U20" s="34" t="str">
        <f t="shared" si="4"/>
        <v>E2041</v>
      </c>
      <c r="V20" s="34" t="str">
        <f t="shared" si="4"/>
        <v>E2042</v>
      </c>
      <c r="W20" s="34" t="str">
        <f t="shared" si="4"/>
        <v>E2043</v>
      </c>
      <c r="X20" s="34" t="str">
        <f t="shared" si="4"/>
        <v>E2044</v>
      </c>
    </row>
    <row r="21" spans="2:24" x14ac:dyDescent="0.2">
      <c r="B21" s="34" t="str">
        <f>B8</f>
        <v>TCE</v>
      </c>
      <c r="C21" s="64">
        <f>((C3*42500+C4*49500)*365*9.86)/1000000</f>
        <v>2342.8838999999998</v>
      </c>
      <c r="D21" s="64">
        <f>((D3*42500+D4*49500)*365*9.86)/1000000</f>
        <v>2342.8838999999998</v>
      </c>
      <c r="E21" s="64">
        <f>((E3*42500+E4*49500)*365*9.86)/1000000</f>
        <v>2342.8838999999998</v>
      </c>
      <c r="F21" s="64">
        <f>((F4*'Estimert dagrate steady state'!F44+'Estimert dagrate steady state'!F45*Fremtidsresultat!F3)/1000000)*9.86</f>
        <v>1819.3574875674517</v>
      </c>
      <c r="G21" s="64">
        <f>((G4*'Estimert dagrate steady state'!G44+'Estimert dagrate steady state'!G45*Fremtidsresultat!G3)/1000000)*9.86</f>
        <v>1787.9892550231857</v>
      </c>
      <c r="H21" s="64">
        <f>((H4*'Estimert dagrate steady state'!H44+'Estimert dagrate steady state'!H45*Fremtidsresultat!H3)/1000000)*9.86</f>
        <v>1756.6210224789195</v>
      </c>
      <c r="I21" s="64">
        <f>((I4*'Estimert dagrate steady state'!I44+'Estimert dagrate steady state'!I45*Fremtidsresultat!I3)/1000000)*9.86</f>
        <v>1725.252789934653</v>
      </c>
      <c r="J21" s="64">
        <f>((J4*'Estimert dagrate steady state'!J44+'Estimert dagrate steady state'!J45*Fremtidsresultat!J3)/1000000)*9.86</f>
        <v>1693.8845573903864</v>
      </c>
      <c r="K21" s="64">
        <f>((K4*'Estimert dagrate steady state'!K44+'Estimert dagrate steady state'!K45*Fremtidsresultat!K3)/1000000)*9.86</f>
        <v>1662.5163248461199</v>
      </c>
      <c r="L21" s="64">
        <f>((L4*'Estimert dagrate steady state'!L44+'Estimert dagrate steady state'!L45*Fremtidsresultat!L3)/1000000)*9.86</f>
        <v>1631.1480923018537</v>
      </c>
      <c r="M21" s="64">
        <f>((M4*'Estimert dagrate steady state'!M44+'Estimert dagrate steady state'!M45*Fremtidsresultat!M3)/1000000)*9.86</f>
        <v>1599.779859757587</v>
      </c>
      <c r="N21" s="64">
        <f>((N4*'Estimert dagrate steady state'!N44+'Estimert dagrate steady state'!N45*Fremtidsresultat!N3)/1000000)*9.86</f>
        <v>1568.411627213321</v>
      </c>
      <c r="O21" s="64">
        <f>((O4*'Estimert dagrate steady state'!O44+'Estimert dagrate steady state'!O45*Fremtidsresultat!O3)/1000000)*9.86</f>
        <v>1537.0433946690544</v>
      </c>
      <c r="P21" s="64">
        <f>((P4*'Estimert dagrate steady state'!P44+'Estimert dagrate steady state'!P45*Fremtidsresultat!P3)/1000000)*9.86</f>
        <v>1505.6751621247877</v>
      </c>
      <c r="Q21" s="64">
        <f>((Q4*'Estimert dagrate steady state'!Q44+'Estimert dagrate steady state'!Q45*Fremtidsresultat!Q3)/1000000)*9.86</f>
        <v>1474.3069295805217</v>
      </c>
      <c r="R21" s="64">
        <f>((R4*'Estimert dagrate steady state'!R44+'Estimert dagrate steady state'!R45*Fremtidsresultat!R3)/1000000)*9.86</f>
        <v>1442.938697036255</v>
      </c>
      <c r="S21" s="64">
        <f>((S4*'Estimert dagrate steady state'!S44+'Estimert dagrate steady state'!S45*Fremtidsresultat!S3)/1000000)*9.86</f>
        <v>1325.6394345899976</v>
      </c>
      <c r="T21" s="64">
        <f>((T4*'Estimert dagrate steady state'!T44+'Estimert dagrate steady state'!T45*Fremtidsresultat!T3)/1000000)*9.86</f>
        <v>1212.1593290282735</v>
      </c>
      <c r="U21" s="64">
        <f>((U4*'Estimert dagrate steady state'!U44+'Estimert dagrate steady state'!U45*Fremtidsresultat!U3)/1000000)*9.86</f>
        <v>1020.386507333624</v>
      </c>
      <c r="V21" s="64">
        <f>((V4*'Estimert dagrate steady state'!V44+'Estimert dagrate steady state'!V45*Fremtidsresultat!V3)/1000000)*9.86</f>
        <v>473.99908892839812</v>
      </c>
      <c r="W21" s="64">
        <f>((W4*'Estimert dagrate steady state'!W44+'Estimert dagrate steady state'!W45*Fremtidsresultat!W3)/1000000)*9.86</f>
        <v>204.08530937934319</v>
      </c>
      <c r="X21" s="64">
        <f>((X4*'Estimert dagrate steady state'!X44+'Estimert dagrate steady state'!X45*Fremtidsresultat!X3)/1000000)*9.86</f>
        <v>199.10761890667629</v>
      </c>
    </row>
    <row r="22" spans="2:24" x14ac:dyDescent="0.2">
      <c r="B22" s="34" t="str">
        <f t="shared" ref="B22:B30" si="5">B9</f>
        <v>G og A</v>
      </c>
      <c r="C22" s="64">
        <f>C9</f>
        <v>53.268191115599997</v>
      </c>
      <c r="D22" s="64">
        <f t="shared" ref="D22:X22" si="6">D9</f>
        <v>54.333554937911998</v>
      </c>
      <c r="E22" s="64">
        <f t="shared" si="6"/>
        <v>55.420226036670236</v>
      </c>
      <c r="F22" s="64">
        <f t="shared" si="6"/>
        <v>56.528630557403631</v>
      </c>
      <c r="G22" s="64">
        <f t="shared" si="6"/>
        <v>57.65920316855172</v>
      </c>
      <c r="H22" s="64">
        <f t="shared" si="6"/>
        <v>58.812387231922749</v>
      </c>
      <c r="I22" s="64">
        <f t="shared" si="6"/>
        <v>59.988634976561201</v>
      </c>
      <c r="J22" s="64">
        <f t="shared" si="6"/>
        <v>61.188407676092424</v>
      </c>
      <c r="K22" s="64">
        <f t="shared" si="6"/>
        <v>62.412175829614277</v>
      </c>
      <c r="L22" s="64">
        <f t="shared" si="6"/>
        <v>63.66041934620656</v>
      </c>
      <c r="M22" s="64">
        <f t="shared" si="6"/>
        <v>64.933627733130677</v>
      </c>
      <c r="N22" s="64">
        <f t="shared" si="6"/>
        <v>66.232300287793308</v>
      </c>
      <c r="O22" s="64">
        <f t="shared" si="6"/>
        <v>67.55694629354916</v>
      </c>
      <c r="P22" s="64">
        <f t="shared" si="6"/>
        <v>68.908085219420158</v>
      </c>
      <c r="Q22" s="64">
        <f t="shared" si="6"/>
        <v>70.286246923808534</v>
      </c>
      <c r="R22" s="64">
        <f t="shared" si="6"/>
        <v>66.571116729264375</v>
      </c>
      <c r="S22" s="64">
        <f t="shared" si="6"/>
        <v>62.679266828168934</v>
      </c>
      <c r="T22" s="64">
        <f t="shared" si="6"/>
        <v>53.277376803943582</v>
      </c>
      <c r="U22" s="64">
        <f t="shared" si="6"/>
        <v>54.342924340022456</v>
      </c>
      <c r="V22" s="64">
        <f t="shared" si="6"/>
        <v>16.628934848046875</v>
      </c>
      <c r="W22" s="64">
        <f t="shared" si="6"/>
        <v>11.307675696671874</v>
      </c>
      <c r="X22" s="64">
        <f t="shared" si="6"/>
        <v>11.53382921060531</v>
      </c>
    </row>
    <row r="23" spans="2:24" x14ac:dyDescent="0.2">
      <c r="B23" s="34" t="str">
        <f t="shared" si="5"/>
        <v>OPEX</v>
      </c>
      <c r="C23" s="64">
        <f>C10</f>
        <v>423.57527066400002</v>
      </c>
      <c r="D23" s="64">
        <f t="shared" ref="D23:X23" si="7">D10</f>
        <v>451.98848410415997</v>
      </c>
      <c r="E23" s="64">
        <f t="shared" si="7"/>
        <v>461.02825378624323</v>
      </c>
      <c r="F23" s="64">
        <f t="shared" si="7"/>
        <v>470.24881886196806</v>
      </c>
      <c r="G23" s="64">
        <f t="shared" si="7"/>
        <v>479.6537952392074</v>
      </c>
      <c r="H23" s="64">
        <f t="shared" si="7"/>
        <v>489.2468711439916</v>
      </c>
      <c r="I23" s="64">
        <f t="shared" si="7"/>
        <v>499.03180856687135</v>
      </c>
      <c r="J23" s="64">
        <f t="shared" si="7"/>
        <v>509.01244473820884</v>
      </c>
      <c r="K23" s="64">
        <f t="shared" si="7"/>
        <v>519.19269363297292</v>
      </c>
      <c r="L23" s="64">
        <f t="shared" si="7"/>
        <v>529.57654750563256</v>
      </c>
      <c r="M23" s="64">
        <f t="shared" si="7"/>
        <v>540.16807845574499</v>
      </c>
      <c r="N23" s="64">
        <f t="shared" si="7"/>
        <v>550.97144002485993</v>
      </c>
      <c r="O23" s="64">
        <f t="shared" si="7"/>
        <v>561.9908688253571</v>
      </c>
      <c r="P23" s="64">
        <f t="shared" si="7"/>
        <v>573.23068620186439</v>
      </c>
      <c r="Q23" s="64">
        <f t="shared" si="7"/>
        <v>584.69529992590151</v>
      </c>
      <c r="R23" s="64">
        <f t="shared" si="7"/>
        <v>560.60997113534518</v>
      </c>
      <c r="S23" s="64">
        <f t="shared" si="7"/>
        <v>535.32735107319604</v>
      </c>
      <c r="T23" s="64">
        <f t="shared" si="7"/>
        <v>471.58446634555389</v>
      </c>
      <c r="U23" s="64">
        <f t="shared" si="7"/>
        <v>481.01615567246489</v>
      </c>
      <c r="V23" s="64">
        <f t="shared" si="7"/>
        <v>154.94223374780404</v>
      </c>
      <c r="W23" s="64">
        <f t="shared" si="7"/>
        <v>105.36071894850676</v>
      </c>
      <c r="X23" s="64">
        <f t="shared" si="7"/>
        <v>107.4679333274769</v>
      </c>
    </row>
    <row r="24" spans="2:24" x14ac:dyDescent="0.2">
      <c r="B24" s="34" t="str">
        <f t="shared" si="5"/>
        <v>Avskrivninger</v>
      </c>
      <c r="C24" s="64">
        <f>C11</f>
        <v>429.71127910524018</v>
      </c>
      <c r="D24" s="64">
        <f t="shared" ref="D24:X24" si="8">D11</f>
        <v>429.71127910524018</v>
      </c>
      <c r="E24" s="64">
        <f t="shared" si="8"/>
        <v>429.71127910524018</v>
      </c>
      <c r="F24" s="64">
        <f t="shared" si="8"/>
        <v>429.71127910524018</v>
      </c>
      <c r="G24" s="64">
        <f t="shared" si="8"/>
        <v>429.71127910524018</v>
      </c>
      <c r="H24" s="64">
        <f t="shared" si="8"/>
        <v>429.71127910524018</v>
      </c>
      <c r="I24" s="64">
        <f t="shared" si="8"/>
        <v>429.71127910524018</v>
      </c>
      <c r="J24" s="64">
        <f t="shared" si="8"/>
        <v>429.71127910524018</v>
      </c>
      <c r="K24" s="64">
        <f t="shared" si="8"/>
        <v>429.71127910524018</v>
      </c>
      <c r="L24" s="64">
        <f t="shared" si="8"/>
        <v>429.71127910524018</v>
      </c>
      <c r="M24" s="64">
        <f t="shared" si="8"/>
        <v>429.71127910524018</v>
      </c>
      <c r="N24" s="64">
        <f t="shared" si="8"/>
        <v>429.71127910524018</v>
      </c>
      <c r="O24" s="64">
        <f t="shared" si="8"/>
        <v>429.71127910524018</v>
      </c>
      <c r="P24" s="64">
        <f t="shared" si="8"/>
        <v>429.71127910524018</v>
      </c>
      <c r="Q24" s="64">
        <f t="shared" si="8"/>
        <v>429.71127910524018</v>
      </c>
      <c r="R24" s="64">
        <f t="shared" si="8"/>
        <v>429.71127910524018</v>
      </c>
      <c r="S24" s="64">
        <f t="shared" si="8"/>
        <v>405.58398475239619</v>
      </c>
      <c r="T24" s="64">
        <f t="shared" si="8"/>
        <v>381.45669039955214</v>
      </c>
      <c r="U24" s="64">
        <f t="shared" si="8"/>
        <v>333.20210169386411</v>
      </c>
      <c r="V24" s="64">
        <f t="shared" si="8"/>
        <v>155.10990607625411</v>
      </c>
      <c r="W24" s="64">
        <f t="shared" si="8"/>
        <v>71.236878247044018</v>
      </c>
      <c r="X24" s="64">
        <f t="shared" si="8"/>
        <v>71.236878247044018</v>
      </c>
    </row>
    <row r="25" spans="2:24" x14ac:dyDescent="0.2">
      <c r="B25" s="34" t="str">
        <f t="shared" si="5"/>
        <v>Tørrdokking</v>
      </c>
      <c r="C25" s="64">
        <f>C12</f>
        <v>29.58</v>
      </c>
      <c r="D25" s="64">
        <f t="shared" ref="D25:X25" si="9">D12</f>
        <v>59.16</v>
      </c>
      <c r="E25" s="64">
        <f t="shared" si="9"/>
        <v>44.37</v>
      </c>
      <c r="F25" s="64">
        <f t="shared" si="9"/>
        <v>19.72</v>
      </c>
      <c r="G25" s="64">
        <f t="shared" si="9"/>
        <v>49.3</v>
      </c>
      <c r="H25" s="64">
        <f t="shared" si="9"/>
        <v>39.44</v>
      </c>
      <c r="I25" s="64">
        <f t="shared" si="9"/>
        <v>78.88</v>
      </c>
      <c r="J25" s="64">
        <f t="shared" si="9"/>
        <v>59.16</v>
      </c>
      <c r="K25" s="64">
        <f t="shared" si="9"/>
        <v>24.65</v>
      </c>
      <c r="L25" s="64">
        <f t="shared" si="9"/>
        <v>64.09</v>
      </c>
      <c r="M25" s="64">
        <f t="shared" si="9"/>
        <v>49.3</v>
      </c>
      <c r="N25" s="64">
        <f t="shared" si="9"/>
        <v>130.64499999999998</v>
      </c>
      <c r="O25" s="64">
        <f t="shared" si="9"/>
        <v>105.99499999999999</v>
      </c>
      <c r="P25" s="64">
        <f t="shared" si="9"/>
        <v>103.53</v>
      </c>
      <c r="Q25" s="64">
        <f t="shared" si="9"/>
        <v>216.92</v>
      </c>
      <c r="R25" s="64">
        <f t="shared" si="9"/>
        <v>175.01499999999999</v>
      </c>
      <c r="S25" s="64">
        <f t="shared" si="9"/>
        <v>157.76</v>
      </c>
      <c r="T25" s="64">
        <f t="shared" si="9"/>
        <v>182.41</v>
      </c>
      <c r="U25" s="64">
        <f t="shared" si="9"/>
        <v>0</v>
      </c>
      <c r="V25" s="64">
        <f t="shared" si="9"/>
        <v>78.88</v>
      </c>
      <c r="W25" s="64">
        <f t="shared" si="9"/>
        <v>0</v>
      </c>
      <c r="X25" s="64">
        <f t="shared" si="9"/>
        <v>0</v>
      </c>
    </row>
    <row r="26" spans="2:24" x14ac:dyDescent="0.2">
      <c r="B26" s="34" t="str">
        <f t="shared" si="5"/>
        <v>Driftskostnader</v>
      </c>
      <c r="C26" s="64">
        <f>C13</f>
        <v>936.1347408848402</v>
      </c>
      <c r="D26" s="64">
        <f t="shared" ref="D26:X26" si="10">D13</f>
        <v>995.1933181473122</v>
      </c>
      <c r="E26" s="64">
        <f t="shared" si="10"/>
        <v>990.52975892815368</v>
      </c>
      <c r="F26" s="64">
        <f t="shared" si="10"/>
        <v>976.20872852461184</v>
      </c>
      <c r="G26" s="64">
        <f t="shared" si="10"/>
        <v>1016.3242775129993</v>
      </c>
      <c r="H26" s="64">
        <f t="shared" si="10"/>
        <v>1017.2105374811547</v>
      </c>
      <c r="I26" s="64">
        <f t="shared" si="10"/>
        <v>1067.6117226486726</v>
      </c>
      <c r="J26" s="64">
        <f t="shared" si="10"/>
        <v>1059.0721315195415</v>
      </c>
      <c r="K26" s="64">
        <f t="shared" si="10"/>
        <v>1035.9661485678275</v>
      </c>
      <c r="L26" s="64">
        <f t="shared" si="10"/>
        <v>1087.0382459570792</v>
      </c>
      <c r="M26" s="64">
        <f t="shared" si="10"/>
        <v>1084.1129852941158</v>
      </c>
      <c r="N26" s="64">
        <f t="shared" si="10"/>
        <v>1177.5600194178935</v>
      </c>
      <c r="O26" s="64">
        <f t="shared" si="10"/>
        <v>1165.2540942241462</v>
      </c>
      <c r="P26" s="64">
        <f t="shared" si="10"/>
        <v>1175.3800505265247</v>
      </c>
      <c r="Q26" s="64">
        <f t="shared" si="10"/>
        <v>1301.6128259549503</v>
      </c>
      <c r="R26" s="64">
        <f t="shared" si="10"/>
        <v>1231.9073669698496</v>
      </c>
      <c r="S26" s="64">
        <f t="shared" si="10"/>
        <v>1161.3506026537611</v>
      </c>
      <c r="T26" s="64">
        <f t="shared" si="10"/>
        <v>1088.7285335490496</v>
      </c>
      <c r="U26" s="64">
        <f t="shared" si="10"/>
        <v>868.56118170635136</v>
      </c>
      <c r="V26" s="64">
        <f t="shared" si="10"/>
        <v>405.56107467210501</v>
      </c>
      <c r="W26" s="64">
        <f t="shared" si="10"/>
        <v>187.90527289222265</v>
      </c>
      <c r="X26" s="64">
        <f t="shared" si="10"/>
        <v>190.23864078512622</v>
      </c>
    </row>
    <row r="27" spans="2:24" x14ac:dyDescent="0.2">
      <c r="B27" s="34" t="str">
        <f t="shared" si="5"/>
        <v>Netto driftsresultat</v>
      </c>
      <c r="C27" s="64">
        <f>C21-C26</f>
        <v>1406.7491591151597</v>
      </c>
      <c r="D27" s="64">
        <f t="shared" ref="D27:X27" si="11">D21-D26</f>
        <v>1347.6905818526875</v>
      </c>
      <c r="E27" s="64">
        <f t="shared" si="11"/>
        <v>1352.3541410718462</v>
      </c>
      <c r="F27" s="64">
        <f t="shared" si="11"/>
        <v>843.14875904283986</v>
      </c>
      <c r="G27" s="64">
        <f t="shared" si="11"/>
        <v>771.66497751018642</v>
      </c>
      <c r="H27" s="64">
        <f t="shared" si="11"/>
        <v>739.4104849977648</v>
      </c>
      <c r="I27" s="64">
        <f t="shared" si="11"/>
        <v>657.6410672859804</v>
      </c>
      <c r="J27" s="64">
        <f t="shared" si="11"/>
        <v>634.81242587084489</v>
      </c>
      <c r="K27" s="64">
        <f t="shared" si="11"/>
        <v>626.55017627829238</v>
      </c>
      <c r="L27" s="64">
        <f t="shared" si="11"/>
        <v>544.1098463447745</v>
      </c>
      <c r="M27" s="64">
        <f t="shared" si="11"/>
        <v>515.66687446347123</v>
      </c>
      <c r="N27" s="64">
        <f t="shared" si="11"/>
        <v>390.85160779542753</v>
      </c>
      <c r="O27" s="64">
        <f t="shared" si="11"/>
        <v>371.78930044490812</v>
      </c>
      <c r="P27" s="64">
        <f t="shared" si="11"/>
        <v>330.29511159826302</v>
      </c>
      <c r="Q27" s="64">
        <f t="shared" si="11"/>
        <v>172.69410362557142</v>
      </c>
      <c r="R27" s="64">
        <f t="shared" si="11"/>
        <v>211.03133006640542</v>
      </c>
      <c r="S27" s="64">
        <f t="shared" si="11"/>
        <v>164.28883193623642</v>
      </c>
      <c r="T27" s="64">
        <f t="shared" si="11"/>
        <v>123.43079547922389</v>
      </c>
      <c r="U27" s="64">
        <f t="shared" si="11"/>
        <v>151.8253256272726</v>
      </c>
      <c r="V27" s="64">
        <f t="shared" si="11"/>
        <v>68.438014256293116</v>
      </c>
      <c r="W27" s="64">
        <f t="shared" si="11"/>
        <v>16.180036487120532</v>
      </c>
      <c r="X27" s="64">
        <f t="shared" si="11"/>
        <v>8.8689781215500716</v>
      </c>
    </row>
    <row r="28" spans="2:24" x14ac:dyDescent="0.2">
      <c r="B28" s="34" t="str">
        <f t="shared" si="5"/>
        <v>Finansinntekter</v>
      </c>
      <c r="C28" s="64">
        <f>C15</f>
        <v>34.579834507442321</v>
      </c>
      <c r="D28" s="64">
        <f t="shared" ref="D28:X28" si="12">D15</f>
        <v>30.29620561261337</v>
      </c>
      <c r="E28" s="64">
        <f t="shared" si="12"/>
        <v>26.267481448549649</v>
      </c>
      <c r="F28" s="64">
        <f t="shared" si="12"/>
        <v>19.994366235778806</v>
      </c>
      <c r="G28" s="64">
        <f t="shared" si="12"/>
        <v>16.602903898628156</v>
      </c>
      <c r="H28" s="64">
        <f t="shared" si="12"/>
        <v>15.710737340949853</v>
      </c>
      <c r="I28" s="64">
        <f t="shared" si="12"/>
        <v>14.818570783271555</v>
      </c>
      <c r="J28" s="64">
        <f t="shared" si="12"/>
        <v>13.926404225593254</v>
      </c>
      <c r="K28" s="64">
        <f t="shared" si="12"/>
        <v>13.034237667914955</v>
      </c>
      <c r="L28" s="64">
        <f t="shared" si="12"/>
        <v>12.142071110236653</v>
      </c>
      <c r="M28" s="64">
        <f t="shared" si="12"/>
        <v>11.249904552558354</v>
      </c>
      <c r="N28" s="64">
        <f t="shared" si="12"/>
        <v>10.357737994880052</v>
      </c>
      <c r="O28" s="64">
        <f t="shared" si="12"/>
        <v>9.4655714372017528</v>
      </c>
      <c r="P28" s="64">
        <f t="shared" si="12"/>
        <v>8.5734048795234514</v>
      </c>
      <c r="Q28" s="64">
        <f t="shared" si="12"/>
        <v>7.6812383218451536</v>
      </c>
      <c r="R28" s="64">
        <f t="shared" si="12"/>
        <v>6.6007355097668539</v>
      </c>
      <c r="S28" s="64">
        <f t="shared" si="12"/>
        <v>5.5635377513488535</v>
      </c>
      <c r="T28" s="64">
        <f t="shared" si="12"/>
        <v>4.3880968270662306</v>
      </c>
      <c r="U28" s="64">
        <f t="shared" si="12"/>
        <v>2.0450199937792815</v>
      </c>
      <c r="V28" s="64">
        <f t="shared" si="12"/>
        <v>0.98482681160839269</v>
      </c>
      <c r="W28" s="64">
        <f t="shared" si="12"/>
        <v>0.81656070036665795</v>
      </c>
      <c r="X28" s="64">
        <f t="shared" si="12"/>
        <v>-3.0684759622090504E-15</v>
      </c>
    </row>
    <row r="29" spans="2:24" x14ac:dyDescent="0.2">
      <c r="B29" s="34" t="str">
        <f>B16</f>
        <v>Netto resultat til SSK</v>
      </c>
      <c r="C29" s="64">
        <f>C27+C28</f>
        <v>1441.328993622602</v>
      </c>
      <c r="D29" s="64">
        <f t="shared" ref="D29:X29" si="13">D27+D28</f>
        <v>1377.9867874653009</v>
      </c>
      <c r="E29" s="64">
        <f t="shared" si="13"/>
        <v>1378.6216225203959</v>
      </c>
      <c r="F29" s="64">
        <f t="shared" si="13"/>
        <v>863.14312527861864</v>
      </c>
      <c r="G29" s="64">
        <f t="shared" si="13"/>
        <v>788.26788140881456</v>
      </c>
      <c r="H29" s="64">
        <f t="shared" si="13"/>
        <v>755.12122233871469</v>
      </c>
      <c r="I29" s="64">
        <f t="shared" si="13"/>
        <v>672.45963806925192</v>
      </c>
      <c r="J29" s="64">
        <f t="shared" si="13"/>
        <v>648.73883009643816</v>
      </c>
      <c r="K29" s="64">
        <f t="shared" si="13"/>
        <v>639.58441394620729</v>
      </c>
      <c r="L29" s="64">
        <f t="shared" si="13"/>
        <v>556.25191745501115</v>
      </c>
      <c r="M29" s="64">
        <f t="shared" si="13"/>
        <v>526.91677901602964</v>
      </c>
      <c r="N29" s="64">
        <f t="shared" si="13"/>
        <v>401.20934579030757</v>
      </c>
      <c r="O29" s="64">
        <f t="shared" si="13"/>
        <v>381.25487188210985</v>
      </c>
      <c r="P29" s="64">
        <f t="shared" si="13"/>
        <v>338.86851647778644</v>
      </c>
      <c r="Q29" s="64">
        <f t="shared" si="13"/>
        <v>180.37534194741656</v>
      </c>
      <c r="R29" s="64">
        <f t="shared" si="13"/>
        <v>217.63206557617227</v>
      </c>
      <c r="S29" s="64">
        <f t="shared" si="13"/>
        <v>169.85236968758528</v>
      </c>
      <c r="T29" s="64">
        <f t="shared" si="13"/>
        <v>127.81889230629012</v>
      </c>
      <c r="U29" s="64">
        <f t="shared" si="13"/>
        <v>153.87034562105188</v>
      </c>
      <c r="V29" s="64">
        <f t="shared" si="13"/>
        <v>69.422841067901501</v>
      </c>
      <c r="W29" s="64">
        <f t="shared" si="13"/>
        <v>16.99659718748719</v>
      </c>
      <c r="X29" s="64">
        <f t="shared" si="13"/>
        <v>8.868978121550068</v>
      </c>
    </row>
    <row r="30" spans="2:24" x14ac:dyDescent="0.2">
      <c r="B30" s="34" t="str">
        <f t="shared" si="5"/>
        <v>Finanskostnader</v>
      </c>
      <c r="C30" s="64">
        <f>C17</f>
        <v>385.11574726915853</v>
      </c>
      <c r="D30" s="64">
        <f t="shared" ref="D30:X30" si="14">D17</f>
        <v>340.63100762560333</v>
      </c>
      <c r="E30" s="64">
        <f t="shared" si="14"/>
        <v>304.14524772680755</v>
      </c>
      <c r="F30" s="64">
        <f t="shared" si="14"/>
        <v>274.95933322578992</v>
      </c>
      <c r="G30" s="64">
        <f t="shared" si="14"/>
        <v>245.1858324672572</v>
      </c>
      <c r="H30" s="64">
        <f t="shared" si="14"/>
        <v>219.55051149387592</v>
      </c>
      <c r="I30" s="64">
        <f t="shared" si="14"/>
        <v>207.75283891370839</v>
      </c>
      <c r="J30" s="64">
        <f t="shared" si="14"/>
        <v>195.95516633354089</v>
      </c>
      <c r="K30" s="64">
        <f t="shared" si="14"/>
        <v>184.15749375337342</v>
      </c>
      <c r="L30" s="64">
        <f t="shared" si="14"/>
        <v>172.35982117320592</v>
      </c>
      <c r="M30" s="64">
        <f t="shared" si="14"/>
        <v>160.56214859303842</v>
      </c>
      <c r="N30" s="64">
        <f t="shared" si="14"/>
        <v>148.76447601287094</v>
      </c>
      <c r="O30" s="64">
        <f t="shared" si="14"/>
        <v>136.96680343270344</v>
      </c>
      <c r="P30" s="64">
        <f t="shared" si="14"/>
        <v>125.16913085253594</v>
      </c>
      <c r="Q30" s="64">
        <f t="shared" si="14"/>
        <v>113.37145827236846</v>
      </c>
      <c r="R30" s="64">
        <f t="shared" si="14"/>
        <v>101.57378569220099</v>
      </c>
      <c r="S30" s="64">
        <f t="shared" si="14"/>
        <v>87.285625831083962</v>
      </c>
      <c r="T30" s="64">
        <f t="shared" si="14"/>
        <v>73.570115594360317</v>
      </c>
      <c r="U30" s="64">
        <f t="shared" si="14"/>
        <v>58.026530102764021</v>
      </c>
      <c r="V30" s="64">
        <f t="shared" si="14"/>
        <v>27.042569684845457</v>
      </c>
      <c r="W30" s="64">
        <f t="shared" si="14"/>
        <v>13.022976675747131</v>
      </c>
      <c r="X30" s="64">
        <f t="shared" si="14"/>
        <v>10.797889364770116</v>
      </c>
    </row>
    <row r="31" spans="2:24" ht="16" thickBot="1" x14ac:dyDescent="0.25">
      <c r="B31" s="58" t="str">
        <f>B18</f>
        <v>Nettoresultat til EK</v>
      </c>
      <c r="C31" s="65">
        <f>C29-C30</f>
        <v>1056.2132463534435</v>
      </c>
      <c r="D31" s="65">
        <f t="shared" ref="D31:X31" si="15">D29-D30</f>
        <v>1037.3557798396976</v>
      </c>
      <c r="E31" s="65">
        <f t="shared" si="15"/>
        <v>1074.4763747935883</v>
      </c>
      <c r="F31" s="65">
        <f t="shared" si="15"/>
        <v>588.18379205282872</v>
      </c>
      <c r="G31" s="65">
        <f t="shared" si="15"/>
        <v>543.08204894155733</v>
      </c>
      <c r="H31" s="65">
        <f t="shared" si="15"/>
        <v>535.5707108448388</v>
      </c>
      <c r="I31" s="65">
        <f t="shared" si="15"/>
        <v>464.70679915554354</v>
      </c>
      <c r="J31" s="65">
        <f t="shared" si="15"/>
        <v>452.78366376289728</v>
      </c>
      <c r="K31" s="65">
        <f t="shared" si="15"/>
        <v>455.4269201928339</v>
      </c>
      <c r="L31" s="65">
        <f t="shared" si="15"/>
        <v>383.89209628180527</v>
      </c>
      <c r="M31" s="65">
        <f t="shared" si="15"/>
        <v>366.35463042299125</v>
      </c>
      <c r="N31" s="65">
        <f t="shared" si="15"/>
        <v>252.44486977743662</v>
      </c>
      <c r="O31" s="65">
        <f t="shared" si="15"/>
        <v>244.28806844940641</v>
      </c>
      <c r="P31" s="65">
        <f t="shared" si="15"/>
        <v>213.6993856252505</v>
      </c>
      <c r="Q31" s="65">
        <f t="shared" si="15"/>
        <v>67.003883675048101</v>
      </c>
      <c r="R31" s="65">
        <f t="shared" si="15"/>
        <v>116.05827988397128</v>
      </c>
      <c r="S31" s="65">
        <f t="shared" si="15"/>
        <v>82.566743856501319</v>
      </c>
      <c r="T31" s="65">
        <f t="shared" si="15"/>
        <v>54.248776711929807</v>
      </c>
      <c r="U31" s="65">
        <f t="shared" si="15"/>
        <v>95.843815518287869</v>
      </c>
      <c r="V31" s="65">
        <f t="shared" si="15"/>
        <v>42.380271383056041</v>
      </c>
      <c r="W31" s="65">
        <f t="shared" si="15"/>
        <v>3.9736205117400587</v>
      </c>
      <c r="X31" s="65">
        <f t="shared" si="15"/>
        <v>-1.9289112432200479</v>
      </c>
    </row>
    <row r="32" spans="2:24" ht="16" thickTop="1" x14ac:dyDescent="0.2">
      <c r="C32" t="str">
        <f>C20</f>
        <v>E2023</v>
      </c>
      <c r="D32" t="str">
        <f t="shared" ref="D32:X32" si="16">D20</f>
        <v>E2024</v>
      </c>
      <c r="E32" t="str">
        <f t="shared" si="16"/>
        <v>E2025</v>
      </c>
      <c r="F32" t="str">
        <f t="shared" si="16"/>
        <v>E2026</v>
      </c>
      <c r="G32" t="str">
        <f t="shared" si="16"/>
        <v>E2027</v>
      </c>
      <c r="H32" t="str">
        <f t="shared" si="16"/>
        <v>E2028</v>
      </c>
      <c r="I32" t="str">
        <f t="shared" si="16"/>
        <v>E2029</v>
      </c>
      <c r="J32" t="str">
        <f t="shared" si="16"/>
        <v>E2030</v>
      </c>
      <c r="K32" t="str">
        <f t="shared" si="16"/>
        <v>E2031</v>
      </c>
      <c r="L32" t="str">
        <f t="shared" si="16"/>
        <v>E2032</v>
      </c>
      <c r="M32" t="str">
        <f t="shared" si="16"/>
        <v>E2033</v>
      </c>
      <c r="N32" t="str">
        <f t="shared" si="16"/>
        <v>E2034</v>
      </c>
      <c r="O32" t="str">
        <f t="shared" si="16"/>
        <v>E2035</v>
      </c>
      <c r="P32" t="str">
        <f t="shared" si="16"/>
        <v>E2036</v>
      </c>
      <c r="Q32" t="str">
        <f t="shared" si="16"/>
        <v>E2037</v>
      </c>
      <c r="R32" t="str">
        <f t="shared" si="16"/>
        <v>E2038</v>
      </c>
      <c r="S32" t="str">
        <f t="shared" si="16"/>
        <v>E2039</v>
      </c>
      <c r="T32" t="str">
        <f t="shared" si="16"/>
        <v>E2040</v>
      </c>
      <c r="U32" t="str">
        <f t="shared" si="16"/>
        <v>E2041</v>
      </c>
      <c r="V32" t="str">
        <f t="shared" si="16"/>
        <v>E2042</v>
      </c>
      <c r="W32" t="str">
        <f t="shared" si="16"/>
        <v>E2043</v>
      </c>
      <c r="X32" t="str">
        <f t="shared" si="16"/>
        <v>E2044</v>
      </c>
    </row>
    <row r="33" spans="2:24" x14ac:dyDescent="0.2">
      <c r="B33" t="s">
        <v>337</v>
      </c>
      <c r="C33" s="69">
        <f>C18</f>
        <v>2876.0513855451591</v>
      </c>
      <c r="D33" s="69">
        <f t="shared" ref="D33:X33" si="17">D18</f>
        <v>4351.7206644664702</v>
      </c>
      <c r="E33" s="69">
        <f t="shared" si="17"/>
        <v>4958.0977426536883</v>
      </c>
      <c r="F33" s="69">
        <f t="shared" si="17"/>
        <v>3549.130872036219</v>
      </c>
      <c r="G33" s="69">
        <f t="shared" si="17"/>
        <v>3063.9598361211151</v>
      </c>
      <c r="H33" s="69">
        <f t="shared" si="17"/>
        <v>696.33256368401965</v>
      </c>
      <c r="I33" s="69">
        <f t="shared" si="17"/>
        <v>-332.87573234565252</v>
      </c>
      <c r="J33" s="69">
        <f t="shared" si="17"/>
        <v>-468.9182320786756</v>
      </c>
      <c r="K33" s="69">
        <f t="shared" si="17"/>
        <v>-433.12240998911591</v>
      </c>
      <c r="L33" s="69">
        <f t="shared" si="17"/>
        <v>-259.52945824052176</v>
      </c>
      <c r="M33" s="69">
        <f t="shared" si="17"/>
        <v>22.764131560287552</v>
      </c>
      <c r="N33" s="69">
        <f t="shared" si="17"/>
        <v>231.72939378767654</v>
      </c>
      <c r="O33" s="69">
        <f t="shared" si="17"/>
        <v>225.35692557500295</v>
      </c>
      <c r="P33" s="69">
        <f t="shared" si="17"/>
        <v>196.55257586620365</v>
      </c>
      <c r="Q33" s="69">
        <f t="shared" si="17"/>
        <v>51.641407031357815</v>
      </c>
      <c r="R33" s="69">
        <f t="shared" si="17"/>
        <v>102.85680886443758</v>
      </c>
      <c r="S33" s="69">
        <f t="shared" si="17"/>
        <v>71.439668353803597</v>
      </c>
      <c r="T33" s="69">
        <f t="shared" si="17"/>
        <v>45.472583057797337</v>
      </c>
      <c r="U33" s="69">
        <f t="shared" si="17"/>
        <v>91.753775530729314</v>
      </c>
      <c r="V33" s="69">
        <f t="shared" si="17"/>
        <v>40.410617759839269</v>
      </c>
      <c r="W33" s="69">
        <f t="shared" si="17"/>
        <v>2.3404991110067428</v>
      </c>
      <c r="X33" s="69">
        <f t="shared" si="17"/>
        <v>-1.9289112432200408</v>
      </c>
    </row>
    <row r="34" spans="2:24" x14ac:dyDescent="0.2">
      <c r="B34" t="s">
        <v>336</v>
      </c>
      <c r="C34" s="69">
        <f>C31</f>
        <v>1056.2132463534435</v>
      </c>
      <c r="D34" s="69">
        <f t="shared" ref="D34:X34" si="18">D31</f>
        <v>1037.3557798396976</v>
      </c>
      <c r="E34" s="69">
        <f t="shared" si="18"/>
        <v>1074.4763747935883</v>
      </c>
      <c r="F34" s="69">
        <f t="shared" si="18"/>
        <v>588.18379205282872</v>
      </c>
      <c r="G34" s="69">
        <f t="shared" si="18"/>
        <v>543.08204894155733</v>
      </c>
      <c r="H34" s="69">
        <f t="shared" si="18"/>
        <v>535.5707108448388</v>
      </c>
      <c r="I34" s="69">
        <f t="shared" si="18"/>
        <v>464.70679915554354</v>
      </c>
      <c r="J34" s="69">
        <f t="shared" si="18"/>
        <v>452.78366376289728</v>
      </c>
      <c r="K34" s="69">
        <f t="shared" si="18"/>
        <v>455.4269201928339</v>
      </c>
      <c r="L34" s="69">
        <f t="shared" si="18"/>
        <v>383.89209628180527</v>
      </c>
      <c r="M34" s="69">
        <f t="shared" si="18"/>
        <v>366.35463042299125</v>
      </c>
      <c r="N34" s="69">
        <f t="shared" si="18"/>
        <v>252.44486977743662</v>
      </c>
      <c r="O34" s="69">
        <f t="shared" si="18"/>
        <v>244.28806844940641</v>
      </c>
      <c r="P34" s="69">
        <f t="shared" si="18"/>
        <v>213.6993856252505</v>
      </c>
      <c r="Q34" s="69">
        <f t="shared" si="18"/>
        <v>67.003883675048101</v>
      </c>
      <c r="R34" s="69">
        <f t="shared" si="18"/>
        <v>116.05827988397128</v>
      </c>
      <c r="S34" s="69">
        <f t="shared" si="18"/>
        <v>82.566743856501319</v>
      </c>
      <c r="T34" s="69">
        <f t="shared" si="18"/>
        <v>54.248776711929807</v>
      </c>
      <c r="U34" s="69">
        <f t="shared" si="18"/>
        <v>95.843815518287869</v>
      </c>
      <c r="V34" s="69">
        <f t="shared" si="18"/>
        <v>42.380271383056041</v>
      </c>
      <c r="W34" s="69">
        <f t="shared" si="18"/>
        <v>3.9736205117400587</v>
      </c>
      <c r="X34" s="69">
        <f t="shared" si="18"/>
        <v>-1.9289112432200479</v>
      </c>
    </row>
  </sheetData>
  <phoneticPr fontId="7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0794F-549A-4C4A-99C5-036A3B01B30E}">
  <dimension ref="B2:Y32"/>
  <sheetViews>
    <sheetView zoomScale="90" zoomScaleNormal="90" workbookViewId="0">
      <selection activeCell="J36" sqref="J36"/>
    </sheetView>
  </sheetViews>
  <sheetFormatPr baseColWidth="10" defaultRowHeight="15" x14ac:dyDescent="0.2"/>
  <cols>
    <col min="2" max="2" width="24.6640625" customWidth="1"/>
    <col min="3" max="3" width="8.33203125" customWidth="1"/>
    <col min="4" max="4" width="8.5" customWidth="1"/>
    <col min="5" max="5" width="8.33203125" customWidth="1"/>
    <col min="6" max="6" width="7.1640625" customWidth="1"/>
    <col min="7" max="7" width="7.6640625" customWidth="1"/>
  </cols>
  <sheetData>
    <row r="2" spans="2:25" x14ac:dyDescent="0.2">
      <c r="B2" t="s">
        <v>282</v>
      </c>
    </row>
    <row r="3" spans="2:25" x14ac:dyDescent="0.2">
      <c r="B3" s="34" t="s">
        <v>0</v>
      </c>
      <c r="C3" s="34" t="str">
        <f>Fremtidsresultat!C7</f>
        <v>E2023</v>
      </c>
      <c r="D3" s="34" t="str">
        <f>Fremtidsresultat!D7</f>
        <v>E2024</v>
      </c>
      <c r="E3" s="34" t="str">
        <f>Fremtidsresultat!E7</f>
        <v>E2025</v>
      </c>
      <c r="F3" s="34" t="str">
        <f>Fremtidsresultat!F7</f>
        <v>E2026</v>
      </c>
      <c r="G3" s="34" t="str">
        <f>Fremtidsresultat!G7</f>
        <v>E2027</v>
      </c>
      <c r="H3" s="34" t="str">
        <f>Fremtidsresultat!H7</f>
        <v>E2028</v>
      </c>
      <c r="I3" s="34" t="str">
        <f>Fremtidsresultat!I7</f>
        <v>E2029</v>
      </c>
      <c r="J3" s="34" t="str">
        <f>Fremtidsresultat!J7</f>
        <v>E2030</v>
      </c>
      <c r="K3" s="34" t="str">
        <f>Fremtidsresultat!K7</f>
        <v>E2031</v>
      </c>
      <c r="L3" s="34" t="str">
        <f>Fremtidsresultat!L7</f>
        <v>E2032</v>
      </c>
      <c r="M3" s="34" t="str">
        <f>Fremtidsresultat!M7</f>
        <v>E2033</v>
      </c>
      <c r="N3" s="34" t="str">
        <f>Fremtidsresultat!N7</f>
        <v>E2034</v>
      </c>
      <c r="O3" s="34" t="str">
        <f>Fremtidsresultat!O7</f>
        <v>E2035</v>
      </c>
      <c r="P3" s="34" t="str">
        <f>Fremtidsresultat!P7</f>
        <v>E2036</v>
      </c>
      <c r="Q3" s="34" t="str">
        <f>Fremtidsresultat!Q7</f>
        <v>E2037</v>
      </c>
      <c r="R3" s="34" t="str">
        <f>Fremtidsresultat!R7</f>
        <v>E2038</v>
      </c>
      <c r="S3" s="34" t="str">
        <f>Fremtidsresultat!S7</f>
        <v>E2039</v>
      </c>
      <c r="T3" s="34" t="str">
        <f>Fremtidsresultat!T7</f>
        <v>E2040</v>
      </c>
      <c r="U3" s="34" t="str">
        <f>Fremtidsresultat!U7</f>
        <v>E2041</v>
      </c>
      <c r="V3" s="34" t="str">
        <f>Fremtidsresultat!V7</f>
        <v>E2042</v>
      </c>
      <c r="W3" s="34" t="str">
        <f>Fremtidsresultat!W7</f>
        <v>E2043</v>
      </c>
      <c r="X3" s="34" t="str">
        <f>Fremtidsresultat!X7</f>
        <v>E2044</v>
      </c>
    </row>
    <row r="4" spans="2:25" x14ac:dyDescent="0.2">
      <c r="B4" s="34" t="s">
        <v>243</v>
      </c>
      <c r="C4" s="67">
        <f>Fremtidsresultat!C8</f>
        <v>4231.8817082065998</v>
      </c>
      <c r="D4" s="67">
        <f>Fremtidsresultat!D8</f>
        <v>5717.8411958519991</v>
      </c>
      <c r="E4" s="67">
        <f>Fremtidsresultat!E8</f>
        <v>6279.0402307571994</v>
      </c>
      <c r="F4" s="67">
        <f>Fremtidsresultat!F8</f>
        <v>4820.2933000223993</v>
      </c>
      <c r="G4" s="67">
        <f>Fremtidsresultat!G8</f>
        <v>4342.0728499999996</v>
      </c>
      <c r="H4" s="67">
        <f>Fremtidsresultat!H8</f>
        <v>1948.8043500000001</v>
      </c>
      <c r="I4" s="67">
        <f>Fremtidsresultat!I8</f>
        <v>957.30740000000003</v>
      </c>
      <c r="J4" s="67">
        <f>Fremtidsresultat!J8</f>
        <v>800.03547000000003</v>
      </c>
      <c r="K4" s="67">
        <f>Fremtidsresultat!K8</f>
        <v>800.03547000000003</v>
      </c>
      <c r="L4" s="67">
        <f>Fremtidsresultat!L8</f>
        <v>1012.01068</v>
      </c>
      <c r="M4" s="67">
        <f>Fremtidsresultat!M8</f>
        <v>1278.6891700000001</v>
      </c>
      <c r="N4" s="67">
        <f>Fremtidsresultat!N8</f>
        <v>1568.411627213321</v>
      </c>
      <c r="O4" s="67">
        <f>Fremtidsresultat!O8</f>
        <v>1537.0433946690544</v>
      </c>
      <c r="P4" s="67">
        <f>Fremtidsresultat!P8</f>
        <v>1505.6751621247877</v>
      </c>
      <c r="Q4" s="67">
        <f>Fremtidsresultat!Q8</f>
        <v>1474.3069295805217</v>
      </c>
      <c r="R4" s="67">
        <f>Fremtidsresultat!R8</f>
        <v>1442.938697036255</v>
      </c>
      <c r="S4" s="67">
        <f>Fremtidsresultat!S8</f>
        <v>1325.6394345899976</v>
      </c>
      <c r="T4" s="67">
        <f>Fremtidsresultat!T8</f>
        <v>1212.1593290282735</v>
      </c>
      <c r="U4" s="67">
        <f>Fremtidsresultat!U8</f>
        <v>1020.386507333624</v>
      </c>
      <c r="V4" s="67">
        <f>Fremtidsresultat!V8</f>
        <v>473.99908892839812</v>
      </c>
      <c r="W4" s="67">
        <f>Fremtidsresultat!W8</f>
        <v>204.08530937934319</v>
      </c>
      <c r="X4" s="67">
        <f>Fremtidsresultat!X8</f>
        <v>199.10761890667629</v>
      </c>
    </row>
    <row r="5" spans="2:25" x14ac:dyDescent="0.2">
      <c r="B5" s="34" t="s">
        <v>226</v>
      </c>
      <c r="C5" s="67">
        <f>Fremtidsresultat!C10</f>
        <v>423.57527066400002</v>
      </c>
      <c r="D5" s="67">
        <f>Fremtidsresultat!D10</f>
        <v>451.98848410415997</v>
      </c>
      <c r="E5" s="67">
        <f>Fremtidsresultat!E10</f>
        <v>461.02825378624323</v>
      </c>
      <c r="F5" s="67">
        <f>Fremtidsresultat!F10</f>
        <v>470.24881886196806</v>
      </c>
      <c r="G5" s="67">
        <f>Fremtidsresultat!G10</f>
        <v>479.6537952392074</v>
      </c>
      <c r="H5" s="67">
        <f>Fremtidsresultat!H10</f>
        <v>489.2468711439916</v>
      </c>
      <c r="I5" s="67">
        <f>Fremtidsresultat!I10</f>
        <v>499.03180856687135</v>
      </c>
      <c r="J5" s="67">
        <f>Fremtidsresultat!J10</f>
        <v>509.01244473820884</v>
      </c>
      <c r="K5" s="67">
        <f>Fremtidsresultat!K10</f>
        <v>519.19269363297292</v>
      </c>
      <c r="L5" s="67">
        <f>Fremtidsresultat!L10</f>
        <v>529.57654750563256</v>
      </c>
      <c r="M5" s="67">
        <f>Fremtidsresultat!M10</f>
        <v>540.16807845574499</v>
      </c>
      <c r="N5" s="67">
        <f>Fremtidsresultat!N10</f>
        <v>550.97144002485993</v>
      </c>
      <c r="O5" s="67">
        <f>Fremtidsresultat!O10</f>
        <v>561.9908688253571</v>
      </c>
      <c r="P5" s="67">
        <f>Fremtidsresultat!P10</f>
        <v>573.23068620186439</v>
      </c>
      <c r="Q5" s="67">
        <f>Fremtidsresultat!Q10</f>
        <v>584.69529992590151</v>
      </c>
      <c r="R5" s="67">
        <f>Fremtidsresultat!R10</f>
        <v>560.60997113534518</v>
      </c>
      <c r="S5" s="67">
        <f>Fremtidsresultat!S10</f>
        <v>535.32735107319604</v>
      </c>
      <c r="T5" s="67">
        <f>Fremtidsresultat!T10</f>
        <v>471.58446634555389</v>
      </c>
      <c r="U5" s="67">
        <f>Fremtidsresultat!U10</f>
        <v>481.01615567246489</v>
      </c>
      <c r="V5" s="67">
        <f>Fremtidsresultat!V10</f>
        <v>154.94223374780404</v>
      </c>
      <c r="W5" s="67">
        <f>Fremtidsresultat!W10</f>
        <v>105.36071894850676</v>
      </c>
      <c r="X5" s="67">
        <f>Fremtidsresultat!X10</f>
        <v>107.4679333274769</v>
      </c>
    </row>
    <row r="6" spans="2:25" x14ac:dyDescent="0.2">
      <c r="B6" s="34" t="s">
        <v>266</v>
      </c>
      <c r="C6" s="67">
        <f>Fremtidsresultat!C9</f>
        <v>53.268191115599997</v>
      </c>
      <c r="D6" s="67">
        <f>Fremtidsresultat!D9</f>
        <v>54.333554937911998</v>
      </c>
      <c r="E6" s="67">
        <f>Fremtidsresultat!E9</f>
        <v>55.420226036670236</v>
      </c>
      <c r="F6" s="67">
        <f>Fremtidsresultat!F9</f>
        <v>56.528630557403631</v>
      </c>
      <c r="G6" s="67">
        <f>Fremtidsresultat!G9</f>
        <v>57.65920316855172</v>
      </c>
      <c r="H6" s="67">
        <f>Fremtidsresultat!H9</f>
        <v>58.812387231922749</v>
      </c>
      <c r="I6" s="67">
        <f>Fremtidsresultat!I9</f>
        <v>59.988634976561201</v>
      </c>
      <c r="J6" s="67">
        <f>Fremtidsresultat!J9</f>
        <v>61.188407676092424</v>
      </c>
      <c r="K6" s="67">
        <f>Fremtidsresultat!K9</f>
        <v>62.412175829614277</v>
      </c>
      <c r="L6" s="67">
        <f>Fremtidsresultat!L9</f>
        <v>63.66041934620656</v>
      </c>
      <c r="M6" s="67">
        <f>Fremtidsresultat!M9</f>
        <v>64.933627733130677</v>
      </c>
      <c r="N6" s="67">
        <f>Fremtidsresultat!N9</f>
        <v>66.232300287793308</v>
      </c>
      <c r="O6" s="67">
        <f>Fremtidsresultat!O9</f>
        <v>67.55694629354916</v>
      </c>
      <c r="P6" s="67">
        <f>Fremtidsresultat!P9</f>
        <v>68.908085219420158</v>
      </c>
      <c r="Q6" s="67">
        <f>Fremtidsresultat!Q9</f>
        <v>70.286246923808534</v>
      </c>
      <c r="R6" s="67">
        <f>Fremtidsresultat!R9</f>
        <v>66.571116729264375</v>
      </c>
      <c r="S6" s="67">
        <f>Fremtidsresultat!S9</f>
        <v>62.679266828168934</v>
      </c>
      <c r="T6" s="67">
        <f>Fremtidsresultat!T9</f>
        <v>53.277376803943582</v>
      </c>
      <c r="U6" s="67">
        <f>Fremtidsresultat!U9</f>
        <v>54.342924340022456</v>
      </c>
      <c r="V6" s="67">
        <f>Fremtidsresultat!V9</f>
        <v>16.628934848046875</v>
      </c>
      <c r="W6" s="67">
        <f>Fremtidsresultat!W9</f>
        <v>11.307675696671874</v>
      </c>
      <c r="X6" s="67">
        <f>Fremtidsresultat!X9</f>
        <v>11.53382921060531</v>
      </c>
    </row>
    <row r="7" spans="2:25" x14ac:dyDescent="0.2">
      <c r="B7" s="34" t="s">
        <v>317</v>
      </c>
      <c r="C7" s="67">
        <f>Fremtidsresultat!C12</f>
        <v>29.58</v>
      </c>
      <c r="D7" s="67">
        <f>Fremtidsresultat!D12</f>
        <v>59.16</v>
      </c>
      <c r="E7" s="67">
        <f>Fremtidsresultat!E12</f>
        <v>44.37</v>
      </c>
      <c r="F7" s="67">
        <f>Fremtidsresultat!F12</f>
        <v>19.72</v>
      </c>
      <c r="G7" s="67">
        <f>Fremtidsresultat!G12</f>
        <v>49.3</v>
      </c>
      <c r="H7" s="67">
        <f>Fremtidsresultat!H12</f>
        <v>39.44</v>
      </c>
      <c r="I7" s="67">
        <f>Fremtidsresultat!I12</f>
        <v>78.88</v>
      </c>
      <c r="J7" s="67">
        <f>Fremtidsresultat!J12</f>
        <v>59.16</v>
      </c>
      <c r="K7" s="67">
        <f>Fremtidsresultat!K12</f>
        <v>24.65</v>
      </c>
      <c r="L7" s="67">
        <f>Fremtidsresultat!L12</f>
        <v>64.09</v>
      </c>
      <c r="M7" s="67">
        <f>Fremtidsresultat!M12</f>
        <v>49.3</v>
      </c>
      <c r="N7" s="67">
        <f>Fremtidsresultat!N12</f>
        <v>130.64499999999998</v>
      </c>
      <c r="O7" s="67">
        <f>Fremtidsresultat!O12</f>
        <v>105.99499999999999</v>
      </c>
      <c r="P7" s="67">
        <f>Fremtidsresultat!P12</f>
        <v>103.53</v>
      </c>
      <c r="Q7" s="67">
        <f>Fremtidsresultat!Q12</f>
        <v>216.92</v>
      </c>
      <c r="R7" s="67">
        <f>Fremtidsresultat!R12</f>
        <v>175.01499999999999</v>
      </c>
      <c r="S7" s="67">
        <f>Fremtidsresultat!S12</f>
        <v>157.76</v>
      </c>
      <c r="T7" s="67">
        <f>Fremtidsresultat!T12</f>
        <v>182.41</v>
      </c>
      <c r="U7" s="67">
        <f>Fremtidsresultat!U12</f>
        <v>0</v>
      </c>
      <c r="V7" s="67">
        <f>Fremtidsresultat!V12</f>
        <v>78.88</v>
      </c>
      <c r="W7" s="67">
        <f>Fremtidsresultat!W12</f>
        <v>0</v>
      </c>
      <c r="X7" s="67">
        <f>Fremtidsresultat!X12</f>
        <v>0</v>
      </c>
    </row>
    <row r="8" spans="2:25" x14ac:dyDescent="0.2">
      <c r="B8" s="34" t="s">
        <v>318</v>
      </c>
      <c r="C8" s="67">
        <f>C4-C5-C6-C7</f>
        <v>3725.4582464269997</v>
      </c>
      <c r="D8" s="67">
        <f t="shared" ref="D8:X8" si="0">D4-D5-D6-D7</f>
        <v>5152.3591568099273</v>
      </c>
      <c r="E8" s="67">
        <f t="shared" si="0"/>
        <v>5718.2217509342863</v>
      </c>
      <c r="F8" s="67">
        <f t="shared" si="0"/>
        <v>4273.7958506030272</v>
      </c>
      <c r="G8" s="67">
        <f t="shared" si="0"/>
        <v>3755.4598515922403</v>
      </c>
      <c r="H8" s="67">
        <f t="shared" si="0"/>
        <v>1361.3050916240857</v>
      </c>
      <c r="I8" s="67">
        <f t="shared" si="0"/>
        <v>319.40695645656751</v>
      </c>
      <c r="J8" s="67">
        <f t="shared" si="0"/>
        <v>170.67461758569877</v>
      </c>
      <c r="K8" s="67">
        <f t="shared" si="0"/>
        <v>193.78060053741282</v>
      </c>
      <c r="L8" s="67">
        <f t="shared" si="0"/>
        <v>354.6837131481609</v>
      </c>
      <c r="M8" s="67">
        <f t="shared" si="0"/>
        <v>624.28746381112444</v>
      </c>
      <c r="N8" s="67">
        <f t="shared" si="0"/>
        <v>820.56288690066776</v>
      </c>
      <c r="O8" s="67">
        <f t="shared" si="0"/>
        <v>801.50057955014813</v>
      </c>
      <c r="P8" s="67">
        <f t="shared" si="0"/>
        <v>760.00639070350314</v>
      </c>
      <c r="Q8" s="67">
        <f t="shared" si="0"/>
        <v>602.40538273081165</v>
      </c>
      <c r="R8" s="67">
        <f t="shared" si="0"/>
        <v>640.74260917164543</v>
      </c>
      <c r="S8" s="67">
        <f t="shared" si="0"/>
        <v>569.87281668863261</v>
      </c>
      <c r="T8" s="67">
        <f t="shared" si="0"/>
        <v>504.88748587877615</v>
      </c>
      <c r="U8" s="67">
        <f t="shared" si="0"/>
        <v>485.02742732113654</v>
      </c>
      <c r="V8" s="67">
        <f t="shared" si="0"/>
        <v>223.54792033254722</v>
      </c>
      <c r="W8" s="67">
        <f t="shared" si="0"/>
        <v>87.41691473416455</v>
      </c>
      <c r="X8" s="67">
        <f t="shared" si="0"/>
        <v>80.10585636859409</v>
      </c>
    </row>
    <row r="9" spans="2:25" x14ac:dyDescent="0.2">
      <c r="B9" s="34" t="s">
        <v>319</v>
      </c>
      <c r="C9" s="67">
        <f>Fremtidsresultat!C17</f>
        <v>385.11574726915853</v>
      </c>
      <c r="D9" s="67">
        <f>Fremtidsresultat!D17</f>
        <v>340.63100762560333</v>
      </c>
      <c r="E9" s="67">
        <f>Fremtidsresultat!E17</f>
        <v>304.14524772680755</v>
      </c>
      <c r="F9" s="67">
        <f>Fremtidsresultat!F17</f>
        <v>274.95933322578992</v>
      </c>
      <c r="G9" s="67">
        <f>Fremtidsresultat!G17</f>
        <v>245.1858324672572</v>
      </c>
      <c r="H9" s="67">
        <f>Fremtidsresultat!H17</f>
        <v>219.55051149387592</v>
      </c>
      <c r="I9" s="67">
        <f>Fremtidsresultat!I17</f>
        <v>207.75283891370839</v>
      </c>
      <c r="J9" s="67">
        <f>Fremtidsresultat!J17</f>
        <v>195.95516633354089</v>
      </c>
      <c r="K9" s="67">
        <f>Fremtidsresultat!K17</f>
        <v>184.15749375337342</v>
      </c>
      <c r="L9" s="67">
        <f>Fremtidsresultat!L17</f>
        <v>172.35982117320592</v>
      </c>
      <c r="M9" s="67">
        <f>Fremtidsresultat!M17</f>
        <v>160.56214859303842</v>
      </c>
      <c r="N9" s="67">
        <f>Fremtidsresultat!N17</f>
        <v>148.76447601287094</v>
      </c>
      <c r="O9" s="67">
        <f>Fremtidsresultat!O17</f>
        <v>136.96680343270344</v>
      </c>
      <c r="P9" s="67">
        <f>Fremtidsresultat!P17</f>
        <v>125.16913085253594</v>
      </c>
      <c r="Q9" s="67">
        <f>Fremtidsresultat!Q17</f>
        <v>113.37145827236846</v>
      </c>
      <c r="R9" s="67">
        <f>Fremtidsresultat!R17</f>
        <v>101.57378569220099</v>
      </c>
      <c r="S9" s="67">
        <f>Fremtidsresultat!S17</f>
        <v>87.285625831083962</v>
      </c>
      <c r="T9" s="67">
        <f>Fremtidsresultat!T17</f>
        <v>73.570115594360317</v>
      </c>
      <c r="U9" s="67">
        <f>Fremtidsresultat!U17</f>
        <v>58.026530102764021</v>
      </c>
      <c r="V9" s="67">
        <f>Fremtidsresultat!V17</f>
        <v>27.042569684845457</v>
      </c>
      <c r="W9" s="67">
        <f>Fremtidsresultat!W17</f>
        <v>13.022976675747131</v>
      </c>
      <c r="X9" s="67">
        <f>Fremtidsresultat!X17</f>
        <v>10.797889364770116</v>
      </c>
    </row>
    <row r="10" spans="2:25" x14ac:dyDescent="0.2">
      <c r="B10" s="34" t="s">
        <v>320</v>
      </c>
      <c r="C10" s="67">
        <f>Balansen!F19/1000000-Fremtidsbalanse!C12</f>
        <v>356.67706886702899</v>
      </c>
      <c r="D10" s="67">
        <f>Fremtidsbalanse!C12-Fremtidsbalanse!D12</f>
        <v>144.42444014932391</v>
      </c>
      <c r="E10" s="67">
        <f>Fremtidsbalanse!D12-Fremtidsbalanse!E12</f>
        <v>135.83021456721917</v>
      </c>
      <c r="F10" s="67">
        <f>Fremtidsbalanse!E12-Fremtidsbalanse!F12</f>
        <v>211.50085005970482</v>
      </c>
      <c r="G10" s="67">
        <f>Fremtidsbalanse!F12-Fremtidsbalanse!G12</f>
        <v>114.34465061195715</v>
      </c>
      <c r="H10" s="67">
        <f>Fremtidsbalanse!G12-Fremtidsbalanse!H12</f>
        <v>30.079789537366878</v>
      </c>
      <c r="I10" s="67">
        <f>Fremtidsbalanse!H12-Fremtidsbalanse!I12</f>
        <v>30.079789537366764</v>
      </c>
      <c r="J10" s="67">
        <f>Fremtidsbalanse!I12-Fremtidsbalanse!J12</f>
        <v>30.079789537366878</v>
      </c>
      <c r="K10" s="67">
        <f>Fremtidsbalanse!J12-Fremtidsbalanse!K12</f>
        <v>30.079789537366821</v>
      </c>
      <c r="L10" s="67">
        <f>Fremtidsbalanse!K12-Fremtidsbalanse!L12</f>
        <v>30.079789537366821</v>
      </c>
      <c r="M10" s="67">
        <f>Fremtidsbalanse!L12-Fremtidsbalanse!M12</f>
        <v>30.079789537366821</v>
      </c>
      <c r="N10" s="67">
        <f>Fremtidsbalanse!M12-Fremtidsbalanse!N12</f>
        <v>30.079789537366878</v>
      </c>
      <c r="O10" s="67">
        <f>Fremtidsbalanse!N12-Fremtidsbalanse!O12</f>
        <v>30.079789537366821</v>
      </c>
      <c r="P10" s="67">
        <f>Fremtidsbalanse!O12-Fremtidsbalanse!P12</f>
        <v>30.079789537366821</v>
      </c>
      <c r="Q10" s="67">
        <f>Fremtidsbalanse!P12-Fremtidsbalanse!Q12</f>
        <v>30.079789537366764</v>
      </c>
      <c r="R10" s="67">
        <f>Fremtidsbalanse!Q12-Fremtidsbalanse!R12</f>
        <v>36.429629537366822</v>
      </c>
      <c r="S10" s="67">
        <f>Fremtidsbalanse!R12-Fremtidsbalanse!S12</f>
        <v>34.969580526567768</v>
      </c>
      <c r="T10" s="67">
        <f>Fremtidsbalanse!S12-Fremtidsbalanse!T12</f>
        <v>39.630509921868622</v>
      </c>
      <c r="U10" s="67">
        <f>Fremtidsbalanse!T12-Fremtidsbalanse!U12</f>
        <v>78.997870306370487</v>
      </c>
      <c r="V10" s="67">
        <f>Fremtidsbalanse!U12-Fremtidsbalanse!V12</f>
        <v>35.74488139483779</v>
      </c>
      <c r="W10" s="67">
        <f>Fremtidsbalanse!V12-Fremtidsbalanse!W12</f>
        <v>5.6731662589930778</v>
      </c>
      <c r="X10" s="67">
        <f>Fremtidsbalanse!W12-Fremtidsbalanse!X12</f>
        <v>27.530704665093086</v>
      </c>
    </row>
    <row r="11" spans="2:25" x14ac:dyDescent="0.2">
      <c r="B11" s="34" t="s">
        <v>242</v>
      </c>
      <c r="C11" s="67">
        <f>(Balansen!F45/1000000)-Fremtidsbalanse!C18</f>
        <v>866.85258638988398</v>
      </c>
      <c r="D11" s="67">
        <f>Gjeld!D7</f>
        <v>710.98034040654511</v>
      </c>
      <c r="E11" s="67">
        <f>Gjeld!E7</f>
        <v>568.73178699218261</v>
      </c>
      <c r="F11" s="67">
        <f>Gjeld!F7</f>
        <v>580.18179594211415</v>
      </c>
      <c r="G11" s="67">
        <f>Gjeld!G7</f>
        <v>499.54308975999265</v>
      </c>
      <c r="H11" s="67">
        <f>Gjeld!H7</f>
        <v>229.89553432130378</v>
      </c>
      <c r="I11" s="67">
        <f>Gjeld!I7</f>
        <v>229.89553432130378</v>
      </c>
      <c r="J11" s="67">
        <f>Gjeld!J7</f>
        <v>229.89553432130333</v>
      </c>
      <c r="K11" s="67">
        <f>Gjeld!K7</f>
        <v>229.89553432130378</v>
      </c>
      <c r="L11" s="67">
        <f>Gjeld!L7</f>
        <v>229.89553432130378</v>
      </c>
      <c r="M11" s="67">
        <f>Gjeld!M7</f>
        <v>229.89553432130288</v>
      </c>
      <c r="N11" s="67">
        <f>Gjeld!N7</f>
        <v>229.89553432130378</v>
      </c>
      <c r="O11" s="67">
        <f>Gjeld!O7</f>
        <v>229.89553432130378</v>
      </c>
      <c r="P11" s="67">
        <f>Gjeld!P7</f>
        <v>229.89553432130333</v>
      </c>
      <c r="Q11" s="67">
        <f>Gjeld!Q7</f>
        <v>229.89553432130333</v>
      </c>
      <c r="R11" s="67">
        <f>Gjeld!R7</f>
        <v>278.42645432130348</v>
      </c>
      <c r="S11" s="67">
        <f>Gjeld!S7</f>
        <v>267.26750831019626</v>
      </c>
      <c r="T11" s="67">
        <f>Gjeld!T7</f>
        <v>302.89032583142443</v>
      </c>
      <c r="U11" s="67">
        <f>Gjeld!U7</f>
        <v>603.76943734154565</v>
      </c>
      <c r="V11" s="67">
        <f>Gjeld!V7</f>
        <v>273.19302208911733</v>
      </c>
      <c r="W11" s="67">
        <f>Gjeld!W7</f>
        <v>43.359199265161408</v>
      </c>
      <c r="X11" s="67">
        <f>Gjeld!X7</f>
        <v>210.41324279749708</v>
      </c>
    </row>
    <row r="12" spans="2:25" x14ac:dyDescent="0.2">
      <c r="B12" s="34" t="s">
        <v>233</v>
      </c>
      <c r="C12" s="67">
        <f>'Avskrivninger og utrangering'!C37</f>
        <v>0</v>
      </c>
      <c r="D12" s="67">
        <f>'Avskrivninger og utrangering'!D37</f>
        <v>0</v>
      </c>
      <c r="E12" s="67">
        <f>'Avskrivninger og utrangering'!E37</f>
        <v>0</v>
      </c>
      <c r="F12" s="67">
        <f>'Avskrivninger og utrangering'!F37</f>
        <v>0</v>
      </c>
      <c r="G12" s="67">
        <f>'Avskrivninger og utrangering'!G37</f>
        <v>0</v>
      </c>
      <c r="H12" s="67">
        <f>'Avskrivninger og utrangering'!H37</f>
        <v>0</v>
      </c>
      <c r="I12" s="67">
        <f>'Avskrivninger og utrangering'!I37</f>
        <v>0</v>
      </c>
      <c r="J12" s="67">
        <f>'Avskrivninger og utrangering'!J37</f>
        <v>0</v>
      </c>
      <c r="K12" s="67">
        <f>'Avskrivninger og utrangering'!K37</f>
        <v>0</v>
      </c>
      <c r="L12" s="67">
        <f>'Avskrivninger og utrangering'!L37</f>
        <v>0</v>
      </c>
      <c r="M12" s="67">
        <f>'Avskrivninger og utrangering'!M37</f>
        <v>0</v>
      </c>
      <c r="N12" s="67">
        <f>'Avskrivninger og utrangering'!N37</f>
        <v>0</v>
      </c>
      <c r="O12" s="67">
        <f>'Avskrivninger og utrangering'!O37</f>
        <v>0</v>
      </c>
      <c r="P12" s="67">
        <f>'Avskrivninger og utrangering'!P37</f>
        <v>0</v>
      </c>
      <c r="Q12" s="67">
        <f>'Avskrivninger og utrangering'!Q37</f>
        <v>0</v>
      </c>
      <c r="R12" s="67">
        <f>'Avskrivninger og utrangering'!R37</f>
        <v>90.711999999999989</v>
      </c>
      <c r="S12" s="67">
        <f>'Avskrivninger og utrangering'!S37</f>
        <v>90.711999999999989</v>
      </c>
      <c r="T12" s="67">
        <f>'Avskrivninger og utrangering'!T37</f>
        <v>181.42399999999998</v>
      </c>
      <c r="U12" s="67">
        <f>'Avskrivninger og utrangering'!U37</f>
        <v>788.8</v>
      </c>
      <c r="V12" s="67">
        <f>'Avskrivninger og utrangering'!V37</f>
        <v>339.18399999999997</v>
      </c>
      <c r="W12" s="67">
        <f>'Avskrivninger og utrangering'!W37</f>
        <v>0</v>
      </c>
      <c r="X12" s="67">
        <f>'Avskrivninger og utrangering'!X37</f>
        <v>315.52</v>
      </c>
    </row>
    <row r="13" spans="2:25" x14ac:dyDescent="0.2">
      <c r="B13" s="34" t="s">
        <v>321</v>
      </c>
      <c r="C13" s="67">
        <f>Fremtidsbalanse!C6-Fremtidsbalanse!D6</f>
        <v>0</v>
      </c>
      <c r="D13" s="67">
        <f>Fremtidsbalanse!D6-Fremtidsbalanse!E6</f>
        <v>0</v>
      </c>
      <c r="E13" s="67">
        <f>Fremtidsbalanse!E6-Fremtidsbalanse!F6</f>
        <v>0</v>
      </c>
      <c r="F13" s="67">
        <f>Fremtidsbalanse!F6-Fremtidsbalanse!G6</f>
        <v>0</v>
      </c>
      <c r="G13" s="67">
        <f>Fremtidsbalanse!G6-Fremtidsbalanse!H6</f>
        <v>0</v>
      </c>
      <c r="H13" s="67">
        <f>Fremtidsbalanse!H6-Fremtidsbalanse!I6</f>
        <v>0</v>
      </c>
      <c r="I13" s="67">
        <f>Fremtidsbalanse!I6-Fremtidsbalanse!J6</f>
        <v>0</v>
      </c>
      <c r="J13" s="67">
        <f>Fremtidsbalanse!J6-Fremtidsbalanse!K6</f>
        <v>0</v>
      </c>
      <c r="K13" s="67">
        <f>Fremtidsbalanse!K6-Fremtidsbalanse!L6</f>
        <v>0</v>
      </c>
      <c r="L13" s="67">
        <f>Fremtidsbalanse!L6-Fremtidsbalanse!M6</f>
        <v>0</v>
      </c>
      <c r="M13" s="67">
        <f>Fremtidsbalanse!M6-Fremtidsbalanse!N6</f>
        <v>0</v>
      </c>
      <c r="N13" s="67">
        <f>Fremtidsbalanse!N6-Fremtidsbalanse!O6</f>
        <v>0</v>
      </c>
      <c r="O13" s="67">
        <f>Fremtidsbalanse!O6-Fremtidsbalanse!P6</f>
        <v>0</v>
      </c>
      <c r="P13" s="67">
        <f>Fremtidsbalanse!P6-Fremtidsbalanse!Q6</f>
        <v>0</v>
      </c>
      <c r="Q13" s="67">
        <f>Fremtidsbalanse!Q6-Fremtidsbalanse!R6</f>
        <v>0</v>
      </c>
      <c r="R13" s="67">
        <f>Fremtidsbalanse!R6-Fremtidsbalanse!S6</f>
        <v>3.2694513414285709</v>
      </c>
      <c r="S13" s="67">
        <f>Fremtidsbalanse!S6-Fremtidsbalanse!T6</f>
        <v>3.2694513414285709</v>
      </c>
      <c r="T13" s="67">
        <f>Fremtidsbalanse!T6-Fremtidsbalanse!U6</f>
        <v>6.5389026828571417</v>
      </c>
      <c r="U13" s="67">
        <f>Fremtidsbalanse!U6-Fremtidsbalanse!V6</f>
        <v>16.347256707142858</v>
      </c>
      <c r="V13" s="67">
        <f>Fremtidsbalanse!V6-Fremtidsbalanse!W6</f>
        <v>9.8083540242857161</v>
      </c>
      <c r="W13" s="67">
        <f>Fremtidsbalanse!W6-Fremtidsbalanse!X6</f>
        <v>6.5389026828571426</v>
      </c>
      <c r="X13" s="67">
        <f>Fremtidsbalanse!X6-Fremtidsbalanse!Y6</f>
        <v>0</v>
      </c>
      <c r="Y13" s="28"/>
    </row>
    <row r="14" spans="2:25" ht="16" thickBot="1" x14ac:dyDescent="0.25">
      <c r="B14" s="58" t="s">
        <v>322</v>
      </c>
      <c r="C14" s="68">
        <f>C8-C9+C10-C11+C12+C13</f>
        <v>2830.1669816349863</v>
      </c>
      <c r="D14" s="68">
        <f t="shared" ref="D14:X14" si="1">D8-D9+D10-D11+D12+D13</f>
        <v>4245.1722489271033</v>
      </c>
      <c r="E14" s="68">
        <f t="shared" si="1"/>
        <v>4981.1749307825157</v>
      </c>
      <c r="F14" s="68">
        <f t="shared" si="1"/>
        <v>3630.1555714948281</v>
      </c>
      <c r="G14" s="68">
        <f t="shared" si="1"/>
        <v>3125.0755799769477</v>
      </c>
      <c r="H14" s="68">
        <f t="shared" si="1"/>
        <v>941.93883534627275</v>
      </c>
      <c r="I14" s="68">
        <f t="shared" si="1"/>
        <v>-88.161627241077895</v>
      </c>
      <c r="J14" s="68">
        <f t="shared" si="1"/>
        <v>-225.09629353177857</v>
      </c>
      <c r="K14" s="68">
        <f t="shared" si="1"/>
        <v>-190.19263799989756</v>
      </c>
      <c r="L14" s="68">
        <f t="shared" si="1"/>
        <v>-17.491852808981974</v>
      </c>
      <c r="M14" s="68">
        <f t="shared" si="1"/>
        <v>263.90957043415</v>
      </c>
      <c r="N14" s="68">
        <f t="shared" si="1"/>
        <v>471.98266610385986</v>
      </c>
      <c r="O14" s="68">
        <f t="shared" si="1"/>
        <v>464.71803133350772</v>
      </c>
      <c r="P14" s="68">
        <f t="shared" si="1"/>
        <v>435.0215150670308</v>
      </c>
      <c r="Q14" s="68">
        <f t="shared" si="1"/>
        <v>289.2181796745067</v>
      </c>
      <c r="R14" s="68">
        <f t="shared" si="1"/>
        <v>391.15345003693636</v>
      </c>
      <c r="S14" s="68">
        <f t="shared" si="1"/>
        <v>344.27071441534878</v>
      </c>
      <c r="T14" s="68">
        <f t="shared" si="1"/>
        <v>356.02045705771712</v>
      </c>
      <c r="U14" s="68">
        <f t="shared" si="1"/>
        <v>707.37658689034015</v>
      </c>
      <c r="V14" s="68">
        <f t="shared" si="1"/>
        <v>308.04956397770792</v>
      </c>
      <c r="W14" s="68">
        <f t="shared" si="1"/>
        <v>43.246807735106231</v>
      </c>
      <c r="X14" s="68">
        <f t="shared" si="1"/>
        <v>201.94542887141995</v>
      </c>
    </row>
    <row r="15" spans="2:25" ht="16" thickTop="1" x14ac:dyDescent="0.2"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2:25" x14ac:dyDescent="0.2">
      <c r="B16" s="60" t="s">
        <v>313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2:24" x14ac:dyDescent="0.2">
      <c r="B17" s="34" t="str">
        <f>B3</f>
        <v>År</v>
      </c>
      <c r="C17" s="66" t="str">
        <f>C3</f>
        <v>E2023</v>
      </c>
      <c r="D17" s="66" t="str">
        <f t="shared" ref="D17:X17" si="2">D3</f>
        <v>E2024</v>
      </c>
      <c r="E17" s="66" t="str">
        <f t="shared" si="2"/>
        <v>E2025</v>
      </c>
      <c r="F17" s="66" t="str">
        <f t="shared" si="2"/>
        <v>E2026</v>
      </c>
      <c r="G17" s="66" t="str">
        <f t="shared" si="2"/>
        <v>E2027</v>
      </c>
      <c r="H17" s="66" t="str">
        <f t="shared" si="2"/>
        <v>E2028</v>
      </c>
      <c r="I17" s="66" t="str">
        <f t="shared" si="2"/>
        <v>E2029</v>
      </c>
      <c r="J17" s="66" t="str">
        <f t="shared" si="2"/>
        <v>E2030</v>
      </c>
      <c r="K17" s="66" t="str">
        <f t="shared" si="2"/>
        <v>E2031</v>
      </c>
      <c r="L17" s="66" t="str">
        <f t="shared" si="2"/>
        <v>E2032</v>
      </c>
      <c r="M17" s="66" t="str">
        <f t="shared" si="2"/>
        <v>E2033</v>
      </c>
      <c r="N17" s="66" t="str">
        <f t="shared" si="2"/>
        <v>E2034</v>
      </c>
      <c r="O17" s="66" t="str">
        <f t="shared" si="2"/>
        <v>E2035</v>
      </c>
      <c r="P17" s="66" t="str">
        <f t="shared" si="2"/>
        <v>E2036</v>
      </c>
      <c r="Q17" s="66" t="str">
        <f t="shared" si="2"/>
        <v>E2037</v>
      </c>
      <c r="R17" s="66" t="str">
        <f t="shared" si="2"/>
        <v>E2038</v>
      </c>
      <c r="S17" s="66" t="str">
        <f t="shared" si="2"/>
        <v>E2039</v>
      </c>
      <c r="T17" s="66" t="str">
        <f t="shared" si="2"/>
        <v>E2040</v>
      </c>
      <c r="U17" s="66" t="str">
        <f t="shared" si="2"/>
        <v>E2041</v>
      </c>
      <c r="V17" s="66" t="str">
        <f t="shared" si="2"/>
        <v>E2042</v>
      </c>
      <c r="W17" s="66" t="str">
        <f t="shared" si="2"/>
        <v>E2043</v>
      </c>
      <c r="X17" s="66" t="str">
        <f t="shared" si="2"/>
        <v>E2044</v>
      </c>
    </row>
    <row r="18" spans="2:24" x14ac:dyDescent="0.2">
      <c r="B18" s="34" t="str">
        <f t="shared" ref="B18:C27" si="3">B4</f>
        <v>TCE inntekter</v>
      </c>
      <c r="C18" s="67">
        <f>Fremtidsresultat!C21</f>
        <v>2342.8838999999998</v>
      </c>
      <c r="D18" s="67">
        <f>Fremtidsresultat!D21</f>
        <v>2342.8838999999998</v>
      </c>
      <c r="E18" s="67">
        <f>Fremtidsresultat!E21</f>
        <v>2342.8838999999998</v>
      </c>
      <c r="F18" s="67">
        <f>Fremtidsresultat!F21</f>
        <v>1819.3574875674517</v>
      </c>
      <c r="G18" s="67">
        <f>Fremtidsresultat!G21</f>
        <v>1787.9892550231857</v>
      </c>
      <c r="H18" s="67">
        <f>Fremtidsresultat!H21</f>
        <v>1756.6210224789195</v>
      </c>
      <c r="I18" s="67">
        <f>Fremtidsresultat!I21</f>
        <v>1725.252789934653</v>
      </c>
      <c r="J18" s="67">
        <f>Fremtidsresultat!J21</f>
        <v>1693.8845573903864</v>
      </c>
      <c r="K18" s="67">
        <f>Fremtidsresultat!K21</f>
        <v>1662.5163248461199</v>
      </c>
      <c r="L18" s="67">
        <f>Fremtidsresultat!L21</f>
        <v>1631.1480923018537</v>
      </c>
      <c r="M18" s="67">
        <f>Fremtidsresultat!M21</f>
        <v>1599.779859757587</v>
      </c>
      <c r="N18" s="67">
        <f>Fremtidsresultat!N21</f>
        <v>1568.411627213321</v>
      </c>
      <c r="O18" s="67">
        <f>Fremtidsresultat!O21</f>
        <v>1537.0433946690544</v>
      </c>
      <c r="P18" s="67">
        <f>Fremtidsresultat!P21</f>
        <v>1505.6751621247877</v>
      </c>
      <c r="Q18" s="67">
        <f>Fremtidsresultat!Q21</f>
        <v>1474.3069295805217</v>
      </c>
      <c r="R18" s="67">
        <f>Fremtidsresultat!R21</f>
        <v>1442.938697036255</v>
      </c>
      <c r="S18" s="67">
        <f>Fremtidsresultat!S21</f>
        <v>1325.6394345899976</v>
      </c>
      <c r="T18" s="67">
        <f>Fremtidsresultat!T21</f>
        <v>1212.1593290282735</v>
      </c>
      <c r="U18" s="67">
        <f>Fremtidsresultat!U21</f>
        <v>1020.386507333624</v>
      </c>
      <c r="V18" s="67">
        <f>Fremtidsresultat!V21</f>
        <v>473.99908892839812</v>
      </c>
      <c r="W18" s="67">
        <f>Fremtidsresultat!W21</f>
        <v>204.08530937934319</v>
      </c>
      <c r="X18" s="67">
        <f>Fremtidsresultat!X21</f>
        <v>199.10761890667629</v>
      </c>
    </row>
    <row r="19" spans="2:24" x14ac:dyDescent="0.2">
      <c r="B19" s="34" t="str">
        <f t="shared" si="3"/>
        <v>OPEX</v>
      </c>
      <c r="C19" s="67">
        <f>C5</f>
        <v>423.57527066400002</v>
      </c>
      <c r="D19" s="67">
        <f t="shared" ref="D19:X19" si="4">D5</f>
        <v>451.98848410415997</v>
      </c>
      <c r="E19" s="67">
        <f t="shared" si="4"/>
        <v>461.02825378624323</v>
      </c>
      <c r="F19" s="67">
        <f t="shared" si="4"/>
        <v>470.24881886196806</v>
      </c>
      <c r="G19" s="67">
        <f t="shared" si="4"/>
        <v>479.6537952392074</v>
      </c>
      <c r="H19" s="67">
        <f t="shared" si="4"/>
        <v>489.2468711439916</v>
      </c>
      <c r="I19" s="67">
        <f t="shared" si="4"/>
        <v>499.03180856687135</v>
      </c>
      <c r="J19" s="67">
        <f t="shared" si="4"/>
        <v>509.01244473820884</v>
      </c>
      <c r="K19" s="67">
        <f t="shared" si="4"/>
        <v>519.19269363297292</v>
      </c>
      <c r="L19" s="67">
        <f t="shared" si="4"/>
        <v>529.57654750563256</v>
      </c>
      <c r="M19" s="67">
        <f t="shared" si="4"/>
        <v>540.16807845574499</v>
      </c>
      <c r="N19" s="67">
        <f t="shared" si="4"/>
        <v>550.97144002485993</v>
      </c>
      <c r="O19" s="67">
        <f t="shared" si="4"/>
        <v>561.9908688253571</v>
      </c>
      <c r="P19" s="67">
        <f t="shared" si="4"/>
        <v>573.23068620186439</v>
      </c>
      <c r="Q19" s="67">
        <f t="shared" si="4"/>
        <v>584.69529992590151</v>
      </c>
      <c r="R19" s="67">
        <f t="shared" si="4"/>
        <v>560.60997113534518</v>
      </c>
      <c r="S19" s="67">
        <f t="shared" si="4"/>
        <v>535.32735107319604</v>
      </c>
      <c r="T19" s="67">
        <f t="shared" si="4"/>
        <v>471.58446634555389</v>
      </c>
      <c r="U19" s="67">
        <f t="shared" si="4"/>
        <v>481.01615567246489</v>
      </c>
      <c r="V19" s="67">
        <f t="shared" si="4"/>
        <v>154.94223374780404</v>
      </c>
      <c r="W19" s="67">
        <f t="shared" si="4"/>
        <v>105.36071894850676</v>
      </c>
      <c r="X19" s="67">
        <f t="shared" si="4"/>
        <v>107.4679333274769</v>
      </c>
    </row>
    <row r="20" spans="2:24" x14ac:dyDescent="0.2">
      <c r="B20" s="34" t="str">
        <f t="shared" si="3"/>
        <v>G og A</v>
      </c>
      <c r="C20" s="67">
        <f t="shared" si="3"/>
        <v>53.268191115599997</v>
      </c>
      <c r="D20" s="67">
        <f t="shared" ref="D20:X20" si="5">D6</f>
        <v>54.333554937911998</v>
      </c>
      <c r="E20" s="67">
        <f t="shared" si="5"/>
        <v>55.420226036670236</v>
      </c>
      <c r="F20" s="67">
        <f t="shared" si="5"/>
        <v>56.528630557403631</v>
      </c>
      <c r="G20" s="67">
        <f t="shared" si="5"/>
        <v>57.65920316855172</v>
      </c>
      <c r="H20" s="67">
        <f t="shared" si="5"/>
        <v>58.812387231922749</v>
      </c>
      <c r="I20" s="67">
        <f t="shared" si="5"/>
        <v>59.988634976561201</v>
      </c>
      <c r="J20" s="67">
        <f t="shared" si="5"/>
        <v>61.188407676092424</v>
      </c>
      <c r="K20" s="67">
        <f t="shared" si="5"/>
        <v>62.412175829614277</v>
      </c>
      <c r="L20" s="67">
        <f t="shared" si="5"/>
        <v>63.66041934620656</v>
      </c>
      <c r="M20" s="67">
        <f t="shared" si="5"/>
        <v>64.933627733130677</v>
      </c>
      <c r="N20" s="67">
        <f t="shared" si="5"/>
        <v>66.232300287793308</v>
      </c>
      <c r="O20" s="67">
        <f t="shared" si="5"/>
        <v>67.55694629354916</v>
      </c>
      <c r="P20" s="67">
        <f t="shared" si="5"/>
        <v>68.908085219420158</v>
      </c>
      <c r="Q20" s="67">
        <f t="shared" si="5"/>
        <v>70.286246923808534</v>
      </c>
      <c r="R20" s="67">
        <f t="shared" si="5"/>
        <v>66.571116729264375</v>
      </c>
      <c r="S20" s="67">
        <f t="shared" si="5"/>
        <v>62.679266828168934</v>
      </c>
      <c r="T20" s="67">
        <f t="shared" si="5"/>
        <v>53.277376803943582</v>
      </c>
      <c r="U20" s="67">
        <f t="shared" si="5"/>
        <v>54.342924340022456</v>
      </c>
      <c r="V20" s="67">
        <f t="shared" si="5"/>
        <v>16.628934848046875</v>
      </c>
      <c r="W20" s="67">
        <f t="shared" si="5"/>
        <v>11.307675696671874</v>
      </c>
      <c r="X20" s="67">
        <f t="shared" si="5"/>
        <v>11.53382921060531</v>
      </c>
    </row>
    <row r="21" spans="2:24" x14ac:dyDescent="0.2">
      <c r="B21" s="34" t="str">
        <f t="shared" si="3"/>
        <v>Tørrdokk</v>
      </c>
      <c r="C21" s="67">
        <f t="shared" si="3"/>
        <v>29.58</v>
      </c>
      <c r="D21" s="67">
        <f t="shared" ref="D21:X21" si="6">D7</f>
        <v>59.16</v>
      </c>
      <c r="E21" s="67">
        <f t="shared" si="6"/>
        <v>44.37</v>
      </c>
      <c r="F21" s="67">
        <f t="shared" si="6"/>
        <v>19.72</v>
      </c>
      <c r="G21" s="67">
        <f t="shared" si="6"/>
        <v>49.3</v>
      </c>
      <c r="H21" s="67">
        <f t="shared" si="6"/>
        <v>39.44</v>
      </c>
      <c r="I21" s="67">
        <f t="shared" si="6"/>
        <v>78.88</v>
      </c>
      <c r="J21" s="67">
        <f t="shared" si="6"/>
        <v>59.16</v>
      </c>
      <c r="K21" s="67">
        <f t="shared" si="6"/>
        <v>24.65</v>
      </c>
      <c r="L21" s="67">
        <f t="shared" si="6"/>
        <v>64.09</v>
      </c>
      <c r="M21" s="67">
        <f t="shared" si="6"/>
        <v>49.3</v>
      </c>
      <c r="N21" s="67">
        <f t="shared" si="6"/>
        <v>130.64499999999998</v>
      </c>
      <c r="O21" s="67">
        <f t="shared" si="6"/>
        <v>105.99499999999999</v>
      </c>
      <c r="P21" s="67">
        <f t="shared" si="6"/>
        <v>103.53</v>
      </c>
      <c r="Q21" s="67">
        <f t="shared" si="6"/>
        <v>216.92</v>
      </c>
      <c r="R21" s="67">
        <f t="shared" si="6"/>
        <v>175.01499999999999</v>
      </c>
      <c r="S21" s="67">
        <f t="shared" si="6"/>
        <v>157.76</v>
      </c>
      <c r="T21" s="67">
        <f t="shared" si="6"/>
        <v>182.41</v>
      </c>
      <c r="U21" s="67">
        <f t="shared" si="6"/>
        <v>0</v>
      </c>
      <c r="V21" s="67">
        <f t="shared" si="6"/>
        <v>78.88</v>
      </c>
      <c r="W21" s="67">
        <f t="shared" si="6"/>
        <v>0</v>
      </c>
      <c r="X21" s="67">
        <f t="shared" si="6"/>
        <v>0</v>
      </c>
    </row>
    <row r="22" spans="2:24" x14ac:dyDescent="0.2">
      <c r="B22" s="34" t="str">
        <f t="shared" si="3"/>
        <v>kontantstrøm fra drift</v>
      </c>
      <c r="C22" s="67">
        <f>C18-C19-C20-C21</f>
        <v>1836.4604382203997</v>
      </c>
      <c r="D22" s="67">
        <f t="shared" ref="D22:X22" si="7">D18-D19-D20-D21</f>
        <v>1777.401860957928</v>
      </c>
      <c r="E22" s="67">
        <f t="shared" si="7"/>
        <v>1782.0654201770865</v>
      </c>
      <c r="F22" s="67">
        <f t="shared" si="7"/>
        <v>1272.8600381480799</v>
      </c>
      <c r="G22" s="67">
        <f t="shared" si="7"/>
        <v>1201.3762566154267</v>
      </c>
      <c r="H22" s="67">
        <f t="shared" si="7"/>
        <v>1169.121764103005</v>
      </c>
      <c r="I22" s="67">
        <f t="shared" si="7"/>
        <v>1087.3523463912206</v>
      </c>
      <c r="J22" s="67">
        <f t="shared" si="7"/>
        <v>1064.5237049760851</v>
      </c>
      <c r="K22" s="67">
        <f t="shared" si="7"/>
        <v>1056.2614553835328</v>
      </c>
      <c r="L22" s="67">
        <f t="shared" si="7"/>
        <v>973.82112545001462</v>
      </c>
      <c r="M22" s="67">
        <f t="shared" si="7"/>
        <v>945.37815356871135</v>
      </c>
      <c r="N22" s="67">
        <f t="shared" si="7"/>
        <v>820.56288690066776</v>
      </c>
      <c r="O22" s="67">
        <f t="shared" si="7"/>
        <v>801.50057955014813</v>
      </c>
      <c r="P22" s="67">
        <f t="shared" si="7"/>
        <v>760.00639070350314</v>
      </c>
      <c r="Q22" s="67">
        <f t="shared" si="7"/>
        <v>602.40538273081165</v>
      </c>
      <c r="R22" s="67">
        <f t="shared" si="7"/>
        <v>640.74260917164543</v>
      </c>
      <c r="S22" s="67">
        <f t="shared" si="7"/>
        <v>569.87281668863261</v>
      </c>
      <c r="T22" s="67">
        <f t="shared" si="7"/>
        <v>504.88748587877615</v>
      </c>
      <c r="U22" s="67">
        <f t="shared" si="7"/>
        <v>485.02742732113654</v>
      </c>
      <c r="V22" s="67">
        <f t="shared" si="7"/>
        <v>223.54792033254722</v>
      </c>
      <c r="W22" s="67">
        <f t="shared" si="7"/>
        <v>87.41691473416455</v>
      </c>
      <c r="X22" s="67">
        <f t="shared" si="7"/>
        <v>80.10585636859409</v>
      </c>
    </row>
    <row r="23" spans="2:24" x14ac:dyDescent="0.2">
      <c r="B23" s="34" t="str">
        <f t="shared" si="3"/>
        <v>finankostnader</v>
      </c>
      <c r="C23" s="67">
        <f>C9</f>
        <v>385.11574726915853</v>
      </c>
      <c r="D23" s="67">
        <f t="shared" ref="D23:X23" si="8">D9</f>
        <v>340.63100762560333</v>
      </c>
      <c r="E23" s="67">
        <f t="shared" si="8"/>
        <v>304.14524772680755</v>
      </c>
      <c r="F23" s="67">
        <f t="shared" si="8"/>
        <v>274.95933322578992</v>
      </c>
      <c r="G23" s="67">
        <f t="shared" si="8"/>
        <v>245.1858324672572</v>
      </c>
      <c r="H23" s="67">
        <f t="shared" si="8"/>
        <v>219.55051149387592</v>
      </c>
      <c r="I23" s="67">
        <f t="shared" si="8"/>
        <v>207.75283891370839</v>
      </c>
      <c r="J23" s="67">
        <f t="shared" si="8"/>
        <v>195.95516633354089</v>
      </c>
      <c r="K23" s="67">
        <f t="shared" si="8"/>
        <v>184.15749375337342</v>
      </c>
      <c r="L23" s="67">
        <f t="shared" si="8"/>
        <v>172.35982117320592</v>
      </c>
      <c r="M23" s="67">
        <f t="shared" si="8"/>
        <v>160.56214859303842</v>
      </c>
      <c r="N23" s="67">
        <f t="shared" si="8"/>
        <v>148.76447601287094</v>
      </c>
      <c r="O23" s="67">
        <f t="shared" si="8"/>
        <v>136.96680343270344</v>
      </c>
      <c r="P23" s="67">
        <f t="shared" si="8"/>
        <v>125.16913085253594</v>
      </c>
      <c r="Q23" s="67">
        <f t="shared" si="8"/>
        <v>113.37145827236846</v>
      </c>
      <c r="R23" s="67">
        <f t="shared" si="8"/>
        <v>101.57378569220099</v>
      </c>
      <c r="S23" s="67">
        <f t="shared" si="8"/>
        <v>87.285625831083962</v>
      </c>
      <c r="T23" s="67">
        <f t="shared" si="8"/>
        <v>73.570115594360317</v>
      </c>
      <c r="U23" s="67">
        <f t="shared" si="8"/>
        <v>58.026530102764021</v>
      </c>
      <c r="V23" s="67">
        <f t="shared" si="8"/>
        <v>27.042569684845457</v>
      </c>
      <c r="W23" s="67">
        <f t="shared" si="8"/>
        <v>13.022976675747131</v>
      </c>
      <c r="X23" s="67">
        <f t="shared" si="8"/>
        <v>10.797889364770116</v>
      </c>
    </row>
    <row r="24" spans="2:24" x14ac:dyDescent="0.2">
      <c r="B24" s="34" t="str">
        <f t="shared" si="3"/>
        <v>endring omløpsmidler</v>
      </c>
      <c r="C24" s="67">
        <f>C10</f>
        <v>356.67706886702899</v>
      </c>
      <c r="D24" s="67">
        <f t="shared" ref="D24:X24" si="9">D10</f>
        <v>144.42444014932391</v>
      </c>
      <c r="E24" s="67">
        <f t="shared" si="9"/>
        <v>135.83021456721917</v>
      </c>
      <c r="F24" s="67">
        <f t="shared" si="9"/>
        <v>211.50085005970482</v>
      </c>
      <c r="G24" s="67">
        <f t="shared" si="9"/>
        <v>114.34465061195715</v>
      </c>
      <c r="H24" s="67">
        <f t="shared" si="9"/>
        <v>30.079789537366878</v>
      </c>
      <c r="I24" s="67">
        <f t="shared" si="9"/>
        <v>30.079789537366764</v>
      </c>
      <c r="J24" s="67">
        <f t="shared" si="9"/>
        <v>30.079789537366878</v>
      </c>
      <c r="K24" s="67">
        <f t="shared" si="9"/>
        <v>30.079789537366821</v>
      </c>
      <c r="L24" s="67">
        <f t="shared" si="9"/>
        <v>30.079789537366821</v>
      </c>
      <c r="M24" s="67">
        <f t="shared" si="9"/>
        <v>30.079789537366821</v>
      </c>
      <c r="N24" s="67">
        <f t="shared" si="9"/>
        <v>30.079789537366878</v>
      </c>
      <c r="O24" s="67">
        <f t="shared" si="9"/>
        <v>30.079789537366821</v>
      </c>
      <c r="P24" s="67">
        <f t="shared" si="9"/>
        <v>30.079789537366821</v>
      </c>
      <c r="Q24" s="67">
        <f t="shared" si="9"/>
        <v>30.079789537366764</v>
      </c>
      <c r="R24" s="67">
        <f t="shared" si="9"/>
        <v>36.429629537366822</v>
      </c>
      <c r="S24" s="67">
        <f t="shared" si="9"/>
        <v>34.969580526567768</v>
      </c>
      <c r="T24" s="67">
        <f t="shared" si="9"/>
        <v>39.630509921868622</v>
      </c>
      <c r="U24" s="67">
        <f t="shared" si="9"/>
        <v>78.997870306370487</v>
      </c>
      <c r="V24" s="67">
        <f t="shared" si="9"/>
        <v>35.74488139483779</v>
      </c>
      <c r="W24" s="67">
        <f t="shared" si="9"/>
        <v>5.6731662589930778</v>
      </c>
      <c r="X24" s="67">
        <f t="shared" si="9"/>
        <v>27.530704665093086</v>
      </c>
    </row>
    <row r="25" spans="2:24" x14ac:dyDescent="0.2">
      <c r="B25" s="34" t="str">
        <f t="shared" si="3"/>
        <v>avdrag</v>
      </c>
      <c r="C25" s="67">
        <f>C11</f>
        <v>866.85258638988398</v>
      </c>
      <c r="D25" s="67">
        <f t="shared" ref="D25:X25" si="10">D11</f>
        <v>710.98034040654511</v>
      </c>
      <c r="E25" s="67">
        <f t="shared" si="10"/>
        <v>568.73178699218261</v>
      </c>
      <c r="F25" s="67">
        <f t="shared" si="10"/>
        <v>580.18179594211415</v>
      </c>
      <c r="G25" s="67">
        <f t="shared" si="10"/>
        <v>499.54308975999265</v>
      </c>
      <c r="H25" s="67">
        <f t="shared" si="10"/>
        <v>229.89553432130378</v>
      </c>
      <c r="I25" s="67">
        <f t="shared" si="10"/>
        <v>229.89553432130378</v>
      </c>
      <c r="J25" s="67">
        <f t="shared" si="10"/>
        <v>229.89553432130333</v>
      </c>
      <c r="K25" s="67">
        <f t="shared" si="10"/>
        <v>229.89553432130378</v>
      </c>
      <c r="L25" s="67">
        <f t="shared" si="10"/>
        <v>229.89553432130378</v>
      </c>
      <c r="M25" s="67">
        <f t="shared" si="10"/>
        <v>229.89553432130288</v>
      </c>
      <c r="N25" s="67">
        <f t="shared" si="10"/>
        <v>229.89553432130378</v>
      </c>
      <c r="O25" s="67">
        <f t="shared" si="10"/>
        <v>229.89553432130378</v>
      </c>
      <c r="P25" s="67">
        <f t="shared" si="10"/>
        <v>229.89553432130333</v>
      </c>
      <c r="Q25" s="67">
        <f t="shared" si="10"/>
        <v>229.89553432130333</v>
      </c>
      <c r="R25" s="67">
        <f t="shared" si="10"/>
        <v>278.42645432130348</v>
      </c>
      <c r="S25" s="67">
        <f t="shared" si="10"/>
        <v>267.26750831019626</v>
      </c>
      <c r="T25" s="67">
        <f t="shared" si="10"/>
        <v>302.89032583142443</v>
      </c>
      <c r="U25" s="67">
        <f t="shared" si="10"/>
        <v>603.76943734154565</v>
      </c>
      <c r="V25" s="67">
        <f t="shared" si="10"/>
        <v>273.19302208911733</v>
      </c>
      <c r="W25" s="67">
        <f t="shared" si="10"/>
        <v>43.359199265161408</v>
      </c>
      <c r="X25" s="67">
        <f t="shared" si="10"/>
        <v>210.41324279749708</v>
      </c>
    </row>
    <row r="26" spans="2:24" x14ac:dyDescent="0.2">
      <c r="B26" s="34" t="str">
        <f t="shared" si="3"/>
        <v>Utrangering</v>
      </c>
      <c r="C26" s="67">
        <f>C12</f>
        <v>0</v>
      </c>
      <c r="D26" s="67">
        <f t="shared" ref="D26:X26" si="11">D12</f>
        <v>0</v>
      </c>
      <c r="E26" s="67">
        <f t="shared" si="11"/>
        <v>0</v>
      </c>
      <c r="F26" s="67">
        <f t="shared" si="11"/>
        <v>0</v>
      </c>
      <c r="G26" s="67">
        <f t="shared" si="11"/>
        <v>0</v>
      </c>
      <c r="H26" s="67">
        <f t="shared" si="11"/>
        <v>0</v>
      </c>
      <c r="I26" s="67">
        <f t="shared" si="11"/>
        <v>0</v>
      </c>
      <c r="J26" s="67">
        <f t="shared" si="11"/>
        <v>0</v>
      </c>
      <c r="K26" s="67">
        <f t="shared" si="11"/>
        <v>0</v>
      </c>
      <c r="L26" s="67">
        <f t="shared" si="11"/>
        <v>0</v>
      </c>
      <c r="M26" s="67">
        <f t="shared" si="11"/>
        <v>0</v>
      </c>
      <c r="N26" s="67">
        <f t="shared" si="11"/>
        <v>0</v>
      </c>
      <c r="O26" s="67">
        <f t="shared" si="11"/>
        <v>0</v>
      </c>
      <c r="P26" s="67">
        <f t="shared" si="11"/>
        <v>0</v>
      </c>
      <c r="Q26" s="67">
        <f t="shared" si="11"/>
        <v>0</v>
      </c>
      <c r="R26" s="67">
        <f t="shared" si="11"/>
        <v>90.711999999999989</v>
      </c>
      <c r="S26" s="67">
        <f t="shared" si="11"/>
        <v>90.711999999999989</v>
      </c>
      <c r="T26" s="67">
        <f t="shared" si="11"/>
        <v>181.42399999999998</v>
      </c>
      <c r="U26" s="67">
        <f t="shared" si="11"/>
        <v>788.8</v>
      </c>
      <c r="V26" s="67">
        <f t="shared" si="11"/>
        <v>339.18399999999997</v>
      </c>
      <c r="W26" s="67">
        <f t="shared" si="11"/>
        <v>0</v>
      </c>
      <c r="X26" s="67">
        <f t="shared" si="11"/>
        <v>315.52</v>
      </c>
    </row>
    <row r="27" spans="2:24" x14ac:dyDescent="0.2">
      <c r="B27" s="34" t="str">
        <f t="shared" si="3"/>
        <v>endring andre anleggsmidler</v>
      </c>
      <c r="C27" s="67">
        <f>C13</f>
        <v>0</v>
      </c>
      <c r="D27" s="67">
        <f t="shared" ref="D27:X27" si="12">D13</f>
        <v>0</v>
      </c>
      <c r="E27" s="67">
        <f t="shared" si="12"/>
        <v>0</v>
      </c>
      <c r="F27" s="67">
        <f t="shared" si="12"/>
        <v>0</v>
      </c>
      <c r="G27" s="67">
        <f t="shared" si="12"/>
        <v>0</v>
      </c>
      <c r="H27" s="67">
        <f t="shared" si="12"/>
        <v>0</v>
      </c>
      <c r="I27" s="67">
        <f t="shared" si="12"/>
        <v>0</v>
      </c>
      <c r="J27" s="67">
        <f t="shared" si="12"/>
        <v>0</v>
      </c>
      <c r="K27" s="67">
        <f t="shared" si="12"/>
        <v>0</v>
      </c>
      <c r="L27" s="67">
        <f t="shared" si="12"/>
        <v>0</v>
      </c>
      <c r="M27" s="67">
        <f t="shared" si="12"/>
        <v>0</v>
      </c>
      <c r="N27" s="67">
        <f t="shared" si="12"/>
        <v>0</v>
      </c>
      <c r="O27" s="67">
        <f t="shared" si="12"/>
        <v>0</v>
      </c>
      <c r="P27" s="67">
        <f t="shared" si="12"/>
        <v>0</v>
      </c>
      <c r="Q27" s="67">
        <f t="shared" si="12"/>
        <v>0</v>
      </c>
      <c r="R27" s="67">
        <f t="shared" si="12"/>
        <v>3.2694513414285709</v>
      </c>
      <c r="S27" s="67">
        <f t="shared" si="12"/>
        <v>3.2694513414285709</v>
      </c>
      <c r="T27" s="67">
        <f t="shared" si="12"/>
        <v>6.5389026828571417</v>
      </c>
      <c r="U27" s="67">
        <f t="shared" si="12"/>
        <v>16.347256707142858</v>
      </c>
      <c r="V27" s="67">
        <f t="shared" si="12"/>
        <v>9.8083540242857161</v>
      </c>
      <c r="W27" s="67">
        <f t="shared" si="12"/>
        <v>6.5389026828571426</v>
      </c>
      <c r="X27" s="67">
        <f t="shared" si="12"/>
        <v>0</v>
      </c>
    </row>
    <row r="28" spans="2:24" ht="16" thickBot="1" x14ac:dyDescent="0.25">
      <c r="B28" s="58" t="str">
        <f>B14</f>
        <v>Kontantstrøm</v>
      </c>
      <c r="C28" s="68">
        <f>C22-C23+C24-C25+C26+C27</f>
        <v>941.16917342838633</v>
      </c>
      <c r="D28" s="68">
        <f t="shared" ref="D28:X28" si="13">D22-D23+D24-D25+D26+D27</f>
        <v>870.21495307510349</v>
      </c>
      <c r="E28" s="68">
        <f t="shared" si="13"/>
        <v>1045.0186000253154</v>
      </c>
      <c r="F28" s="68">
        <f t="shared" si="13"/>
        <v>629.2197590398805</v>
      </c>
      <c r="G28" s="68">
        <f t="shared" si="13"/>
        <v>570.99198500013381</v>
      </c>
      <c r="H28" s="68">
        <f t="shared" si="13"/>
        <v>749.75550782519224</v>
      </c>
      <c r="I28" s="68">
        <f t="shared" si="13"/>
        <v>679.78376269357523</v>
      </c>
      <c r="J28" s="68">
        <f t="shared" si="13"/>
        <v>668.75279385860779</v>
      </c>
      <c r="K28" s="68">
        <f t="shared" si="13"/>
        <v>672.28821684622244</v>
      </c>
      <c r="L28" s="68">
        <f t="shared" si="13"/>
        <v>601.64555949287183</v>
      </c>
      <c r="M28" s="68">
        <f t="shared" si="13"/>
        <v>585.00026019173697</v>
      </c>
      <c r="N28" s="68">
        <f t="shared" si="13"/>
        <v>471.98266610385986</v>
      </c>
      <c r="O28" s="68">
        <f t="shared" si="13"/>
        <v>464.71803133350772</v>
      </c>
      <c r="P28" s="68">
        <f t="shared" si="13"/>
        <v>435.0215150670308</v>
      </c>
      <c r="Q28" s="68">
        <f t="shared" si="13"/>
        <v>289.2181796745067</v>
      </c>
      <c r="R28" s="68">
        <f t="shared" si="13"/>
        <v>391.15345003693636</v>
      </c>
      <c r="S28" s="68">
        <f t="shared" si="13"/>
        <v>344.27071441534878</v>
      </c>
      <c r="T28" s="68">
        <f t="shared" si="13"/>
        <v>356.02045705771712</v>
      </c>
      <c r="U28" s="68">
        <f t="shared" si="13"/>
        <v>707.37658689034015</v>
      </c>
      <c r="V28" s="68">
        <f t="shared" si="13"/>
        <v>308.04956397770792</v>
      </c>
      <c r="W28" s="68">
        <f t="shared" si="13"/>
        <v>43.246807735106231</v>
      </c>
      <c r="X28" s="68">
        <f t="shared" si="13"/>
        <v>201.94542887141995</v>
      </c>
    </row>
    <row r="29" spans="2:24" ht="16" thickTop="1" x14ac:dyDescent="0.2"/>
    <row r="30" spans="2:24" x14ac:dyDescent="0.2">
      <c r="B30" s="70"/>
      <c r="C30" s="62" t="str">
        <f>C17</f>
        <v>E2023</v>
      </c>
      <c r="D30" s="62" t="str">
        <f t="shared" ref="D30:X30" si="14">D17</f>
        <v>E2024</v>
      </c>
      <c r="E30" s="62" t="str">
        <f t="shared" si="14"/>
        <v>E2025</v>
      </c>
      <c r="F30" s="62" t="str">
        <f t="shared" si="14"/>
        <v>E2026</v>
      </c>
      <c r="G30" s="62" t="str">
        <f t="shared" si="14"/>
        <v>E2027</v>
      </c>
      <c r="H30" s="62" t="str">
        <f t="shared" si="14"/>
        <v>E2028</v>
      </c>
      <c r="I30" s="62" t="str">
        <f t="shared" si="14"/>
        <v>E2029</v>
      </c>
      <c r="J30" s="62" t="str">
        <f t="shared" si="14"/>
        <v>E2030</v>
      </c>
      <c r="K30" s="62" t="str">
        <f t="shared" si="14"/>
        <v>E2031</v>
      </c>
      <c r="L30" s="62" t="str">
        <f t="shared" si="14"/>
        <v>E2032</v>
      </c>
      <c r="M30" s="62" t="str">
        <f t="shared" si="14"/>
        <v>E2033</v>
      </c>
      <c r="N30" s="62" t="str">
        <f t="shared" si="14"/>
        <v>E2034</v>
      </c>
      <c r="O30" s="62" t="str">
        <f t="shared" si="14"/>
        <v>E2035</v>
      </c>
      <c r="P30" s="62" t="str">
        <f t="shared" si="14"/>
        <v>E2036</v>
      </c>
      <c r="Q30" s="62" t="str">
        <f t="shared" si="14"/>
        <v>E2037</v>
      </c>
      <c r="R30" s="62" t="str">
        <f t="shared" si="14"/>
        <v>E2038</v>
      </c>
      <c r="S30" s="62" t="str">
        <f t="shared" si="14"/>
        <v>E2039</v>
      </c>
      <c r="T30" s="62" t="str">
        <f t="shared" si="14"/>
        <v>E2040</v>
      </c>
      <c r="U30" s="62" t="str">
        <f t="shared" si="14"/>
        <v>E2041</v>
      </c>
      <c r="V30" s="62" t="str">
        <f t="shared" si="14"/>
        <v>E2042</v>
      </c>
      <c r="W30" s="62" t="str">
        <f t="shared" si="14"/>
        <v>E2043</v>
      </c>
      <c r="X30" s="62" t="str">
        <f t="shared" si="14"/>
        <v>E2044</v>
      </c>
    </row>
    <row r="31" spans="2:24" x14ac:dyDescent="0.2">
      <c r="B31" t="s">
        <v>335</v>
      </c>
      <c r="C31" s="62">
        <f>C14</f>
        <v>2830.1669816349863</v>
      </c>
      <c r="D31" s="62">
        <f t="shared" ref="D31:X31" si="15">D14</f>
        <v>4245.1722489271033</v>
      </c>
      <c r="E31" s="62">
        <f t="shared" si="15"/>
        <v>4981.1749307825157</v>
      </c>
      <c r="F31" s="62">
        <f t="shared" si="15"/>
        <v>3630.1555714948281</v>
      </c>
      <c r="G31" s="62">
        <f t="shared" si="15"/>
        <v>3125.0755799769477</v>
      </c>
      <c r="H31" s="62">
        <f t="shared" si="15"/>
        <v>941.93883534627275</v>
      </c>
      <c r="I31" s="62">
        <f t="shared" si="15"/>
        <v>-88.161627241077895</v>
      </c>
      <c r="J31" s="62">
        <f t="shared" si="15"/>
        <v>-225.09629353177857</v>
      </c>
      <c r="K31" s="62">
        <f t="shared" si="15"/>
        <v>-190.19263799989756</v>
      </c>
      <c r="L31" s="62">
        <f t="shared" si="15"/>
        <v>-17.491852808981974</v>
      </c>
      <c r="M31" s="62">
        <f t="shared" si="15"/>
        <v>263.90957043415</v>
      </c>
      <c r="N31" s="62">
        <f t="shared" si="15"/>
        <v>471.98266610385986</v>
      </c>
      <c r="O31" s="62">
        <f t="shared" si="15"/>
        <v>464.71803133350772</v>
      </c>
      <c r="P31" s="62">
        <f t="shared" si="15"/>
        <v>435.0215150670308</v>
      </c>
      <c r="Q31" s="62">
        <f t="shared" si="15"/>
        <v>289.2181796745067</v>
      </c>
      <c r="R31" s="62">
        <f t="shared" si="15"/>
        <v>391.15345003693636</v>
      </c>
      <c r="S31" s="62">
        <f t="shared" si="15"/>
        <v>344.27071441534878</v>
      </c>
      <c r="T31" s="62">
        <f t="shared" si="15"/>
        <v>356.02045705771712</v>
      </c>
      <c r="U31" s="62">
        <f t="shared" si="15"/>
        <v>707.37658689034015</v>
      </c>
      <c r="V31" s="62">
        <f t="shared" si="15"/>
        <v>308.04956397770792</v>
      </c>
      <c r="W31" s="62">
        <f t="shared" si="15"/>
        <v>43.246807735106231</v>
      </c>
      <c r="X31" s="62">
        <f t="shared" si="15"/>
        <v>201.94542887141995</v>
      </c>
    </row>
    <row r="32" spans="2:24" x14ac:dyDescent="0.2">
      <c r="B32" t="s">
        <v>338</v>
      </c>
      <c r="C32" s="62">
        <f>C28</f>
        <v>941.16917342838633</v>
      </c>
      <c r="D32" s="62">
        <f t="shared" ref="D32:X32" si="16">D28</f>
        <v>870.21495307510349</v>
      </c>
      <c r="E32" s="62">
        <f t="shared" si="16"/>
        <v>1045.0186000253154</v>
      </c>
      <c r="F32" s="62">
        <f t="shared" si="16"/>
        <v>629.2197590398805</v>
      </c>
      <c r="G32" s="62">
        <f t="shared" si="16"/>
        <v>570.99198500013381</v>
      </c>
      <c r="H32" s="62">
        <f t="shared" si="16"/>
        <v>749.75550782519224</v>
      </c>
      <c r="I32" s="62">
        <f t="shared" si="16"/>
        <v>679.78376269357523</v>
      </c>
      <c r="J32" s="62">
        <f t="shared" si="16"/>
        <v>668.75279385860779</v>
      </c>
      <c r="K32" s="62">
        <f t="shared" si="16"/>
        <v>672.28821684622244</v>
      </c>
      <c r="L32" s="62">
        <f t="shared" si="16"/>
        <v>601.64555949287183</v>
      </c>
      <c r="M32" s="62">
        <f t="shared" si="16"/>
        <v>585.00026019173697</v>
      </c>
      <c r="N32" s="62">
        <f t="shared" si="16"/>
        <v>471.98266610385986</v>
      </c>
      <c r="O32" s="62">
        <f t="shared" si="16"/>
        <v>464.71803133350772</v>
      </c>
      <c r="P32" s="62">
        <f t="shared" si="16"/>
        <v>435.0215150670308</v>
      </c>
      <c r="Q32" s="62">
        <f t="shared" si="16"/>
        <v>289.2181796745067</v>
      </c>
      <c r="R32" s="62">
        <f t="shared" si="16"/>
        <v>391.15345003693636</v>
      </c>
      <c r="S32" s="62">
        <f t="shared" si="16"/>
        <v>344.27071441534878</v>
      </c>
      <c r="T32" s="62">
        <f t="shared" si="16"/>
        <v>356.02045705771712</v>
      </c>
      <c r="U32" s="62">
        <f t="shared" si="16"/>
        <v>707.37658689034015</v>
      </c>
      <c r="V32" s="62">
        <f t="shared" si="16"/>
        <v>308.04956397770792</v>
      </c>
      <c r="W32" s="62">
        <f t="shared" si="16"/>
        <v>43.246807735106231</v>
      </c>
      <c r="X32" s="62">
        <f t="shared" si="16"/>
        <v>201.94542887141995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FE72-4770-A948-B888-0DB94CAE6447}">
  <dimension ref="B1:X7"/>
  <sheetViews>
    <sheetView workbookViewId="0">
      <selection activeCell="B8" sqref="B8"/>
    </sheetView>
  </sheetViews>
  <sheetFormatPr baseColWidth="10" defaultRowHeight="15" x14ac:dyDescent="0.2"/>
  <cols>
    <col min="2" max="2" width="13.83203125" customWidth="1"/>
    <col min="3" max="3" width="12.1640625" bestFit="1" customWidth="1"/>
  </cols>
  <sheetData>
    <row r="1" spans="2:24" x14ac:dyDescent="0.2">
      <c r="B1" t="s">
        <v>241</v>
      </c>
    </row>
    <row r="2" spans="2:24" x14ac:dyDescent="0.2">
      <c r="B2" t="s">
        <v>0</v>
      </c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  <c r="I2" t="s">
        <v>297</v>
      </c>
      <c r="J2" t="s">
        <v>298</v>
      </c>
      <c r="K2" t="s">
        <v>299</v>
      </c>
      <c r="L2" t="s">
        <v>300</v>
      </c>
      <c r="M2" t="s">
        <v>301</v>
      </c>
      <c r="N2" t="s">
        <v>302</v>
      </c>
      <c r="O2" t="s">
        <v>303</v>
      </c>
      <c r="P2" t="s">
        <v>304</v>
      </c>
      <c r="Q2" t="s">
        <v>305</v>
      </c>
      <c r="R2" t="s">
        <v>306</v>
      </c>
      <c r="S2" t="s">
        <v>307</v>
      </c>
      <c r="T2" t="s">
        <v>308</v>
      </c>
      <c r="U2" t="s">
        <v>309</v>
      </c>
      <c r="V2" t="s">
        <v>310</v>
      </c>
      <c r="W2" t="s">
        <v>311</v>
      </c>
      <c r="X2" t="s">
        <v>312</v>
      </c>
    </row>
    <row r="3" spans="2:24" x14ac:dyDescent="0.2">
      <c r="B3" t="s">
        <v>182</v>
      </c>
      <c r="C3" s="23">
        <v>0.61</v>
      </c>
      <c r="D3" s="12">
        <v>0.57499999999999996</v>
      </c>
      <c r="E3" s="12">
        <f>D3-2.5%</f>
        <v>0.54999999999999993</v>
      </c>
      <c r="F3" s="12">
        <f>E3-2.5%</f>
        <v>0.52499999999999991</v>
      </c>
      <c r="G3" s="12">
        <f>F3-2.5%</f>
        <v>0.49999999999999989</v>
      </c>
      <c r="H3" s="12">
        <f>G3</f>
        <v>0.49999999999999989</v>
      </c>
      <c r="I3" s="12">
        <f t="shared" ref="I3:X3" si="0">H3</f>
        <v>0.49999999999999989</v>
      </c>
      <c r="J3" s="12">
        <f t="shared" si="0"/>
        <v>0.49999999999999989</v>
      </c>
      <c r="K3" s="12">
        <f t="shared" si="0"/>
        <v>0.49999999999999989</v>
      </c>
      <c r="L3" s="12">
        <f t="shared" si="0"/>
        <v>0.49999999999999989</v>
      </c>
      <c r="M3" s="12">
        <f t="shared" si="0"/>
        <v>0.49999999999999989</v>
      </c>
      <c r="N3" s="12">
        <f t="shared" si="0"/>
        <v>0.49999999999999989</v>
      </c>
      <c r="O3" s="12">
        <f t="shared" si="0"/>
        <v>0.49999999999999989</v>
      </c>
      <c r="P3" s="12">
        <f t="shared" si="0"/>
        <v>0.49999999999999989</v>
      </c>
      <c r="Q3" s="12">
        <f t="shared" si="0"/>
        <v>0.49999999999999989</v>
      </c>
      <c r="R3" s="12">
        <f t="shared" si="0"/>
        <v>0.49999999999999989</v>
      </c>
      <c r="S3" s="12">
        <f t="shared" si="0"/>
        <v>0.49999999999999989</v>
      </c>
      <c r="T3" s="12">
        <f t="shared" si="0"/>
        <v>0.49999999999999989</v>
      </c>
      <c r="U3" s="12">
        <f t="shared" si="0"/>
        <v>0.49999999999999989</v>
      </c>
      <c r="V3" s="12">
        <f t="shared" si="0"/>
        <v>0.49999999999999989</v>
      </c>
      <c r="W3" s="12">
        <f t="shared" si="0"/>
        <v>0.49999999999999989</v>
      </c>
      <c r="X3" s="12">
        <f t="shared" si="0"/>
        <v>0.49999999999999989</v>
      </c>
    </row>
    <row r="4" spans="2:24" x14ac:dyDescent="0.2">
      <c r="B4" t="s">
        <v>183</v>
      </c>
      <c r="C4" s="28">
        <f>C3*Fremtidsbalanse!C14</f>
        <v>6637.7115462701149</v>
      </c>
      <c r="D4" s="28">
        <f>D3*Fremtidsbalanse!D14</f>
        <v>5926.7312058635698</v>
      </c>
      <c r="E4" s="28">
        <f>E3*Fremtidsbalanse!E14</f>
        <v>5357.9994188713872</v>
      </c>
      <c r="F4" s="28">
        <f>F3*Fremtidsbalanse!F14</f>
        <v>4777.8176229292731</v>
      </c>
      <c r="G4" s="28">
        <f>G3*Fremtidsbalanse!G14</f>
        <v>4278.2745331692804</v>
      </c>
      <c r="H4" s="28">
        <f>H3*Fremtidsbalanse!H14</f>
        <v>4048.3789988479766</v>
      </c>
      <c r="I4" s="28">
        <f>I3*Fremtidsbalanse!I14</f>
        <v>3818.4834645266728</v>
      </c>
      <c r="J4" s="28">
        <f>J3*Fremtidsbalanse!J14</f>
        <v>3588.5879302053695</v>
      </c>
      <c r="K4" s="28">
        <f>K3*Fremtidsbalanse!K14</f>
        <v>3358.6923958840657</v>
      </c>
      <c r="L4" s="28">
        <f>L3*Fremtidsbalanse!L14</f>
        <v>3128.7968615627619</v>
      </c>
      <c r="M4" s="28">
        <f>M3*Fremtidsbalanse!M14</f>
        <v>2898.9013272414591</v>
      </c>
      <c r="N4" s="28">
        <f>N3*Fremtidsbalanse!N14</f>
        <v>2669.0057929201553</v>
      </c>
      <c r="O4" s="28">
        <f>O3*Fremtidsbalanse!O14</f>
        <v>2439.1102585988515</v>
      </c>
      <c r="P4" s="28">
        <f>P3*Fremtidsbalanse!P14</f>
        <v>2209.2147242775482</v>
      </c>
      <c r="Q4" s="28">
        <f>Q3*Fremtidsbalanse!Q14</f>
        <v>1979.3191899562448</v>
      </c>
      <c r="R4" s="28">
        <f>R3*Fremtidsbalanse!R14</f>
        <v>1700.8927356349413</v>
      </c>
      <c r="S4" s="28">
        <f>S3*Fremtidsbalanse!S14</f>
        <v>1433.6252273247451</v>
      </c>
      <c r="T4" s="28">
        <f>T3*Fremtidsbalanse!T14</f>
        <v>1130.7349014933206</v>
      </c>
      <c r="U4" s="28">
        <f>U3*Fremtidsbalanse!U14</f>
        <v>526.965464151775</v>
      </c>
      <c r="V4" s="28">
        <f>V3*Fremtidsbalanse!V14</f>
        <v>253.77244206265769</v>
      </c>
      <c r="W4" s="28">
        <f>W3*Fremtidsbalanse!W14</f>
        <v>210.41324279749628</v>
      </c>
      <c r="X4" s="28">
        <f>X3*Fremtidsbalanse!X14</f>
        <v>-7.9069195635383929E-13</v>
      </c>
    </row>
    <row r="5" spans="2:24" ht="16" x14ac:dyDescent="0.2">
      <c r="B5" s="40" t="s">
        <v>85</v>
      </c>
      <c r="C5" s="12">
        <f>Gjeldsrente!$C$39</f>
        <v>5.1317536963023325E-2</v>
      </c>
      <c r="D5" s="12">
        <f>Gjeldsrente!$C$39</f>
        <v>5.1317536963023325E-2</v>
      </c>
      <c r="E5" s="12">
        <f>Gjeldsrente!$C$39</f>
        <v>5.1317536963023325E-2</v>
      </c>
      <c r="F5" s="12">
        <f>Gjeldsrente!$C$39</f>
        <v>5.1317536963023325E-2</v>
      </c>
      <c r="G5" s="12">
        <f>Gjeldsrente!$C$39</f>
        <v>5.1317536963023325E-2</v>
      </c>
      <c r="H5" s="12">
        <f>Gjeldsrente!$C$39</f>
        <v>5.1317536963023325E-2</v>
      </c>
      <c r="I5" s="12">
        <f>Gjeldsrente!$C$39</f>
        <v>5.1317536963023325E-2</v>
      </c>
      <c r="J5" s="12">
        <f>Gjeldsrente!$C$39</f>
        <v>5.1317536963023325E-2</v>
      </c>
      <c r="K5" s="12">
        <f>Gjeldsrente!$C$39</f>
        <v>5.1317536963023325E-2</v>
      </c>
      <c r="L5" s="12">
        <f>Gjeldsrente!$C$39</f>
        <v>5.1317536963023325E-2</v>
      </c>
      <c r="M5" s="12">
        <f>Gjeldsrente!$C$39</f>
        <v>5.1317536963023325E-2</v>
      </c>
      <c r="N5" s="12">
        <f>Gjeldsrente!$C$39</f>
        <v>5.1317536963023325E-2</v>
      </c>
      <c r="O5" s="12">
        <f>Gjeldsrente!$C$39</f>
        <v>5.1317536963023325E-2</v>
      </c>
      <c r="P5" s="12">
        <f>Gjeldsrente!$C$39</f>
        <v>5.1317536963023325E-2</v>
      </c>
      <c r="Q5" s="12">
        <f>Gjeldsrente!$C$39</f>
        <v>5.1317536963023325E-2</v>
      </c>
      <c r="R5" s="12">
        <f>Gjeldsrente!$C$39</f>
        <v>5.1317536963023325E-2</v>
      </c>
      <c r="S5" s="12">
        <f>Gjeldsrente!$C$39</f>
        <v>5.1317536963023325E-2</v>
      </c>
      <c r="T5" s="12">
        <f>Gjeldsrente!$C$39</f>
        <v>5.1317536963023325E-2</v>
      </c>
      <c r="U5" s="12">
        <f>Gjeldsrente!$C$39</f>
        <v>5.1317536963023325E-2</v>
      </c>
      <c r="V5" s="12">
        <f>Gjeldsrente!$C$39</f>
        <v>5.1317536963023325E-2</v>
      </c>
      <c r="W5" s="12">
        <f>Gjeldsrente!$C$39</f>
        <v>5.1317536963023325E-2</v>
      </c>
      <c r="X5" s="12">
        <f>Gjeldsrente!$C$39</f>
        <v>5.1317536963023325E-2</v>
      </c>
    </row>
    <row r="6" spans="2:24" x14ac:dyDescent="0.2">
      <c r="B6" t="s">
        <v>372</v>
      </c>
      <c r="C6" s="6">
        <f>(Balansen!F45*C5)/1000000</f>
        <v>385.11574726915853</v>
      </c>
      <c r="D6" s="28">
        <f>D5*C4</f>
        <v>340.63100762560333</v>
      </c>
      <c r="E6" s="28">
        <f t="shared" ref="E6:X6" si="1">E5*D4</f>
        <v>304.14524772680755</v>
      </c>
      <c r="F6" s="28">
        <f t="shared" si="1"/>
        <v>274.95933322578992</v>
      </c>
      <c r="G6" s="28">
        <f t="shared" si="1"/>
        <v>245.1858324672572</v>
      </c>
      <c r="H6" s="28">
        <f t="shared" si="1"/>
        <v>219.55051149387592</v>
      </c>
      <c r="I6" s="28">
        <f t="shared" si="1"/>
        <v>207.75283891370839</v>
      </c>
      <c r="J6" s="28">
        <f t="shared" si="1"/>
        <v>195.95516633354089</v>
      </c>
      <c r="K6" s="28">
        <f t="shared" si="1"/>
        <v>184.15749375337342</v>
      </c>
      <c r="L6" s="28">
        <f t="shared" si="1"/>
        <v>172.35982117320592</v>
      </c>
      <c r="M6" s="28">
        <f t="shared" si="1"/>
        <v>160.56214859303842</v>
      </c>
      <c r="N6" s="28">
        <f t="shared" si="1"/>
        <v>148.76447601287094</v>
      </c>
      <c r="O6" s="28">
        <f t="shared" si="1"/>
        <v>136.96680343270344</v>
      </c>
      <c r="P6" s="28">
        <f t="shared" si="1"/>
        <v>125.16913085253594</v>
      </c>
      <c r="Q6" s="28">
        <f t="shared" si="1"/>
        <v>113.37145827236846</v>
      </c>
      <c r="R6" s="28">
        <f t="shared" si="1"/>
        <v>101.57378569220099</v>
      </c>
      <c r="S6" s="28">
        <f t="shared" si="1"/>
        <v>87.285625831083962</v>
      </c>
      <c r="T6" s="28">
        <f t="shared" si="1"/>
        <v>73.570115594360317</v>
      </c>
      <c r="U6" s="28">
        <f t="shared" si="1"/>
        <v>58.026530102764021</v>
      </c>
      <c r="V6" s="28">
        <f t="shared" si="1"/>
        <v>27.042569684845457</v>
      </c>
      <c r="W6" s="28">
        <f t="shared" si="1"/>
        <v>13.022976675747131</v>
      </c>
      <c r="X6" s="28">
        <f t="shared" si="1"/>
        <v>10.797889364770116</v>
      </c>
    </row>
    <row r="7" spans="2:24" x14ac:dyDescent="0.2">
      <c r="B7" t="s">
        <v>373</v>
      </c>
      <c r="C7" s="6">
        <f>Balansen!F45/1000000-C4</f>
        <v>866.85258638988398</v>
      </c>
      <c r="D7" s="6">
        <f>C4-D4</f>
        <v>710.98034040654511</v>
      </c>
      <c r="E7" s="6">
        <f t="shared" ref="E7:X7" si="2">D4-E4</f>
        <v>568.73178699218261</v>
      </c>
      <c r="F7" s="6">
        <f t="shared" si="2"/>
        <v>580.18179594211415</v>
      </c>
      <c r="G7" s="6">
        <f t="shared" si="2"/>
        <v>499.54308975999265</v>
      </c>
      <c r="H7" s="6">
        <f t="shared" si="2"/>
        <v>229.89553432130378</v>
      </c>
      <c r="I7" s="6">
        <f t="shared" si="2"/>
        <v>229.89553432130378</v>
      </c>
      <c r="J7" s="6">
        <f t="shared" si="2"/>
        <v>229.89553432130333</v>
      </c>
      <c r="K7" s="6">
        <f t="shared" si="2"/>
        <v>229.89553432130378</v>
      </c>
      <c r="L7" s="6">
        <f t="shared" si="2"/>
        <v>229.89553432130378</v>
      </c>
      <c r="M7" s="6">
        <f t="shared" si="2"/>
        <v>229.89553432130288</v>
      </c>
      <c r="N7" s="6">
        <f t="shared" si="2"/>
        <v>229.89553432130378</v>
      </c>
      <c r="O7" s="6">
        <f t="shared" si="2"/>
        <v>229.89553432130378</v>
      </c>
      <c r="P7" s="6">
        <f t="shared" si="2"/>
        <v>229.89553432130333</v>
      </c>
      <c r="Q7" s="6">
        <f t="shared" si="2"/>
        <v>229.89553432130333</v>
      </c>
      <c r="R7" s="6">
        <f t="shared" si="2"/>
        <v>278.42645432130348</v>
      </c>
      <c r="S7" s="6">
        <f t="shared" si="2"/>
        <v>267.26750831019626</v>
      </c>
      <c r="T7" s="6">
        <f t="shared" si="2"/>
        <v>302.89032583142443</v>
      </c>
      <c r="U7" s="6">
        <f t="shared" si="2"/>
        <v>603.76943734154565</v>
      </c>
      <c r="V7" s="6">
        <f t="shared" si="2"/>
        <v>273.19302208911733</v>
      </c>
      <c r="W7" s="6">
        <f t="shared" si="2"/>
        <v>43.359199265161408</v>
      </c>
      <c r="X7" s="6">
        <f t="shared" si="2"/>
        <v>210.41324279749708</v>
      </c>
    </row>
  </sheetData>
  <phoneticPr fontId="7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AFCFF-1394-3B4A-89BD-50748BCF8A53}">
  <dimension ref="B1:X9"/>
  <sheetViews>
    <sheetView workbookViewId="0">
      <selection activeCell="C17" sqref="C17"/>
    </sheetView>
  </sheetViews>
  <sheetFormatPr baseColWidth="10" defaultColWidth="10.83203125" defaultRowHeight="16" x14ac:dyDescent="0.2"/>
  <cols>
    <col min="1" max="2" width="10.83203125" style="24"/>
    <col min="3" max="3" width="17" style="24" bestFit="1" customWidth="1"/>
    <col min="4" max="4" width="17.33203125" style="24" customWidth="1"/>
    <col min="5" max="19" width="10.83203125" style="24"/>
    <col min="20" max="20" width="13.5" style="24" customWidth="1"/>
    <col min="21" max="21" width="14.1640625" style="24" customWidth="1"/>
    <col min="22" max="22" width="12.83203125" style="24" customWidth="1"/>
    <col min="23" max="23" width="13.83203125" style="24" customWidth="1"/>
    <col min="24" max="24" width="15" style="24" customWidth="1"/>
    <col min="25" max="16384" width="10.83203125" style="24"/>
  </cols>
  <sheetData>
    <row r="1" spans="2:24" x14ac:dyDescent="0.2">
      <c r="B1" s="24" t="s">
        <v>226</v>
      </c>
      <c r="C1" s="24" t="s">
        <v>284</v>
      </c>
    </row>
    <row r="2" spans="2:24" x14ac:dyDescent="0.2">
      <c r="B2" s="24" t="s">
        <v>0</v>
      </c>
      <c r="C2" s="79" t="s">
        <v>291</v>
      </c>
      <c r="D2" s="79" t="s">
        <v>292</v>
      </c>
      <c r="E2" s="79" t="s">
        <v>293</v>
      </c>
      <c r="F2" s="79" t="s">
        <v>294</v>
      </c>
      <c r="G2" s="79" t="s">
        <v>295</v>
      </c>
      <c r="H2" s="79" t="s">
        <v>296</v>
      </c>
      <c r="I2" s="79" t="s">
        <v>297</v>
      </c>
      <c r="J2" s="79" t="s">
        <v>298</v>
      </c>
      <c r="K2" s="79" t="s">
        <v>299</v>
      </c>
      <c r="L2" s="79" t="s">
        <v>300</v>
      </c>
      <c r="M2" s="79" t="s">
        <v>301</v>
      </c>
      <c r="N2" s="79" t="s">
        <v>302</v>
      </c>
      <c r="O2" s="79" t="s">
        <v>303</v>
      </c>
      <c r="P2" s="79" t="s">
        <v>304</v>
      </c>
      <c r="Q2" s="79" t="s">
        <v>305</v>
      </c>
      <c r="R2" s="79" t="s">
        <v>306</v>
      </c>
      <c r="S2" s="79" t="s">
        <v>307</v>
      </c>
      <c r="T2" s="79" t="s">
        <v>308</v>
      </c>
      <c r="U2" s="79" t="s">
        <v>309</v>
      </c>
      <c r="V2" s="79" t="s">
        <v>310</v>
      </c>
      <c r="W2" s="79" t="s">
        <v>311</v>
      </c>
      <c r="X2" s="79" t="s">
        <v>312</v>
      </c>
    </row>
    <row r="3" spans="2:24" x14ac:dyDescent="0.2">
      <c r="B3" s="24" t="s">
        <v>214</v>
      </c>
      <c r="C3" s="25">
        <f>(-'Estimert dagrate steady state'!D21*9.86)/1000000</f>
        <v>26.584498476</v>
      </c>
      <c r="D3" s="25">
        <f>(-'Estimert dagrate steady state'!E21*9.86)/1000000</f>
        <v>27.116188445519999</v>
      </c>
      <c r="E3" s="25">
        <f>(-'Estimert dagrate steady state'!F21*9.86)/1000000</f>
        <v>27.658512214430399</v>
      </c>
      <c r="F3" s="25">
        <f>(-'Estimert dagrate steady state'!G21*9.86)/1000000</f>
        <v>28.211682458719007</v>
      </c>
      <c r="G3" s="25">
        <f>(-'Estimert dagrate steady state'!H21*9.86)/1000000</f>
        <v>28.775916107893384</v>
      </c>
      <c r="H3" s="25">
        <f>(-'Estimert dagrate steady state'!I21*9.86)/1000000</f>
        <v>29.351434430051256</v>
      </c>
      <c r="I3" s="25">
        <f>(-'Estimert dagrate steady state'!J21*9.86)/1000000</f>
        <v>29.938463118652272</v>
      </c>
      <c r="J3" s="25">
        <f>(-'Estimert dagrate steady state'!K21*9.86)/1000000</f>
        <v>30.537232381025323</v>
      </c>
      <c r="K3" s="25">
        <f>(-'Estimert dagrate steady state'!L21*9.86)/1000000</f>
        <v>31.14797702864583</v>
      </c>
      <c r="L3" s="25">
        <f>(-'Estimert dagrate steady state'!M21*9.86)/1000000</f>
        <v>31.770936569218751</v>
      </c>
      <c r="M3" s="25">
        <f>(-'Estimert dagrate steady state'!N21*9.86)/1000000</f>
        <v>32.406355300603117</v>
      </c>
      <c r="N3" s="25">
        <f>(-'Estimert dagrate steady state'!O21*9.86)/1000000</f>
        <v>33.054482406615186</v>
      </c>
      <c r="O3" s="25">
        <f>(-'Estimert dagrate steady state'!P21*9.86)/1000000</f>
        <v>33.715572054747483</v>
      </c>
      <c r="P3" s="25">
        <f>(-'Estimert dagrate steady state'!Q21*9.86)/1000000</f>
        <v>34.38988349584244</v>
      </c>
      <c r="Q3" s="25">
        <f>(-'Estimert dagrate steady state'!R21*9.86)/1000000</f>
        <v>35.07768116575928</v>
      </c>
      <c r="R3" s="25">
        <f>(-'Estimert dagrate steady state'!S21*9.86)/1000000</f>
        <v>35.779234789074465</v>
      </c>
      <c r="S3" s="25">
        <f>(-'Estimert dagrate steady state'!T21*9.86)/1000000</f>
        <v>36.494819484855967</v>
      </c>
      <c r="T3" s="25">
        <f>(-'Estimert dagrate steady state'!U21*9.86)/1000000</f>
        <v>37.224715874553077</v>
      </c>
      <c r="U3" s="25">
        <f>(-'Estimert dagrate steady state'!V21*9.86)/1000000</f>
        <v>37.969210192044137</v>
      </c>
      <c r="V3" s="25">
        <f>(-'Estimert dagrate steady state'!W21*9.86)/1000000</f>
        <v>38.728594395885018</v>
      </c>
      <c r="W3" s="25">
        <f>(-'Estimert dagrate steady state'!X21*9.86)/1000000</f>
        <v>39.50316628380272</v>
      </c>
      <c r="X3" s="25">
        <f>(-'Estimert dagrate steady state'!Y21*9.86)/1000000</f>
        <v>40.293229609478779</v>
      </c>
    </row>
    <row r="4" spans="2:24" x14ac:dyDescent="0.2">
      <c r="B4" s="24" t="s">
        <v>215</v>
      </c>
      <c r="C4" s="25">
        <f>(-'Estimert dagrate steady state'!D8*9.86)/1000000</f>
        <v>33.008534976</v>
      </c>
      <c r="D4" s="25">
        <f>(-'Estimert dagrate steady state'!E8*10.59)/1000000</f>
        <v>36.161419178879996</v>
      </c>
      <c r="E4" s="25">
        <f>(-'Estimert dagrate steady state'!F8*10.59)/1000000</f>
        <v>36.884647562457602</v>
      </c>
      <c r="F4" s="25">
        <f>(-'Estimert dagrate steady state'!G8*10.59)/1000000</f>
        <v>37.622340513706753</v>
      </c>
      <c r="G4" s="25">
        <f>(-'Estimert dagrate steady state'!H8*10.59)/1000000</f>
        <v>38.37478732398089</v>
      </c>
      <c r="H4" s="25">
        <f>(-'Estimert dagrate steady state'!I8*10.59)/1000000</f>
        <v>39.142283070460508</v>
      </c>
      <c r="I4" s="25">
        <f>(-'Estimert dagrate steady state'!J8*10.59)/1000000</f>
        <v>39.925128731869712</v>
      </c>
      <c r="J4" s="25">
        <f>(-'Estimert dagrate steady state'!K8*10.59)/1000000</f>
        <v>40.723631306507109</v>
      </c>
      <c r="K4" s="25">
        <f>(-'Estimert dagrate steady state'!L8*10.59)/1000000</f>
        <v>41.538103932637242</v>
      </c>
      <c r="L4" s="25">
        <f>(-'Estimert dagrate steady state'!M8*10.59)/1000000</f>
        <v>42.368866011290002</v>
      </c>
      <c r="M4" s="25">
        <f>(-'Estimert dagrate steady state'!N8*10.59)/1000000</f>
        <v>43.216243331515791</v>
      </c>
      <c r="N4" s="25">
        <f>(-'Estimert dagrate steady state'!O8*10.59)/1000000</f>
        <v>44.080568198146111</v>
      </c>
      <c r="O4" s="25">
        <f>(-'Estimert dagrate steady state'!P8*10.59)/1000000</f>
        <v>44.962179562109021</v>
      </c>
      <c r="P4" s="25">
        <f>(-'Estimert dagrate steady state'!Q8*10.59)/1000000</f>
        <v>45.861423153351218</v>
      </c>
      <c r="Q4" s="25">
        <f>(-'Estimert dagrate steady state'!R8*10.59)/1000000</f>
        <v>46.77865161641823</v>
      </c>
      <c r="R4" s="25">
        <f>(-'Estimert dagrate steady state'!S8*10.59)/1000000</f>
        <v>47.714224648746601</v>
      </c>
      <c r="S4" s="25">
        <f>(-'Estimert dagrate steady state'!T8*10.59)/1000000</f>
        <v>48.668509141721529</v>
      </c>
      <c r="T4" s="25">
        <f>(-'Estimert dagrate steady state'!U8*10.59)/1000000</f>
        <v>49.641879324555966</v>
      </c>
      <c r="U4" s="25">
        <f>(-'Estimert dagrate steady state'!V8*10.59)/1000000</f>
        <v>50.634716911047079</v>
      </c>
      <c r="V4" s="25">
        <f>(-'Estimert dagrate steady state'!W8*10.59)/1000000</f>
        <v>51.647411249268018</v>
      </c>
      <c r="W4" s="25">
        <f>(-'Estimert dagrate steady state'!X8*10.59)/1000000</f>
        <v>52.680359474253379</v>
      </c>
      <c r="X4" s="25">
        <f>(-'Estimert dagrate steady state'!Y8*10.59)/1000000</f>
        <v>53.73396666373845</v>
      </c>
    </row>
    <row r="5" spans="2:24" x14ac:dyDescent="0.2">
      <c r="B5" s="24" t="s">
        <v>283</v>
      </c>
      <c r="C5" s="25">
        <f>'Opex og G og A'!C4*'Kladd TCE'!D11+'Kladd TCE'!D10*'Opex og G og A'!C3</f>
        <v>423.57527066400002</v>
      </c>
      <c r="D5" s="25">
        <f>'Opex og G og A'!D4*'Kladd TCE'!E11+'Kladd TCE'!E10*'Opex og G og A'!D3</f>
        <v>451.98848410415997</v>
      </c>
      <c r="E5" s="25">
        <f>'Opex og G og A'!E4*'Kladd TCE'!F11+'Kladd TCE'!F10*'Opex og G og A'!E3</f>
        <v>461.02825378624323</v>
      </c>
      <c r="F5" s="25">
        <f>'Opex og G og A'!F4*'Kladd TCE'!G11+'Kladd TCE'!G10*'Opex og G og A'!F3</f>
        <v>470.24881886196806</v>
      </c>
      <c r="G5" s="25">
        <f>'Opex og G og A'!G4*'Kladd TCE'!H11+'Kladd TCE'!H10*'Opex og G og A'!G3</f>
        <v>479.6537952392074</v>
      </c>
      <c r="H5" s="25">
        <f>'Opex og G og A'!H4*'Kladd TCE'!I11+'Kladd TCE'!I10*'Opex og G og A'!H3</f>
        <v>489.2468711439916</v>
      </c>
      <c r="I5" s="25">
        <f>'Opex og G og A'!I4*'Kladd TCE'!J11+'Kladd TCE'!J10*'Opex og G og A'!I3</f>
        <v>499.03180856687135</v>
      </c>
      <c r="J5" s="25">
        <f>'Opex og G og A'!J4*'Kladd TCE'!K11+'Kladd TCE'!K10*'Opex og G og A'!J3</f>
        <v>509.01244473820884</v>
      </c>
      <c r="K5" s="25">
        <f>'Opex og G og A'!K4*'Kladd TCE'!L11+'Kladd TCE'!L10*'Opex og G og A'!K3</f>
        <v>519.19269363297292</v>
      </c>
      <c r="L5" s="25">
        <f>'Opex og G og A'!L4*'Kladd TCE'!M11+'Kladd TCE'!M10*'Opex og G og A'!L3</f>
        <v>529.57654750563256</v>
      </c>
      <c r="M5" s="25">
        <f>'Opex og G og A'!M4*'Kladd TCE'!N11+'Kladd TCE'!N10*'Opex og G og A'!M3</f>
        <v>540.16807845574499</v>
      </c>
      <c r="N5" s="25">
        <f>'Opex og G og A'!N4*'Kladd TCE'!O11+'Kladd TCE'!O10*'Opex og G og A'!N3</f>
        <v>550.97144002485993</v>
      </c>
      <c r="O5" s="25">
        <f>'Opex og G og A'!O4*'Kladd TCE'!P11+'Kladd TCE'!P10*'Opex og G og A'!O3</f>
        <v>561.9908688253571</v>
      </c>
      <c r="P5" s="25">
        <f>'Opex og G og A'!P4*'Kladd TCE'!Q11+'Kladd TCE'!Q10*'Opex og G og A'!P3</f>
        <v>573.23068620186439</v>
      </c>
      <c r="Q5" s="25">
        <f>'Opex og G og A'!Q4*'Kladd TCE'!R11+'Kladd TCE'!R10*'Opex og G og A'!Q3</f>
        <v>584.69529992590151</v>
      </c>
      <c r="R5" s="25">
        <f>'Opex og G og A'!R4*'Kladd TCE'!S11+'Kladd TCE'!S10*'Opex og G og A'!R3</f>
        <v>560.60997113534518</v>
      </c>
      <c r="S5" s="25">
        <f>'Opex og G og A'!S4*'Kladd TCE'!T11+'Kladd TCE'!T10*'Opex og G og A'!S3</f>
        <v>535.32735107319604</v>
      </c>
      <c r="T5" s="25">
        <f>'Opex og G og A'!T4*'Kladd TCE'!U11+'Kladd TCE'!U10*'Opex og G og A'!T3</f>
        <v>471.58446634555389</v>
      </c>
      <c r="U5" s="25">
        <f>'Opex og G og A'!U4*'Kladd TCE'!V11+'Kladd TCE'!V10*'Opex og G og A'!U3</f>
        <v>481.01615567246489</v>
      </c>
      <c r="V5" s="25">
        <f>'Opex og G og A'!V4*'Kladd TCE'!W11+'Kladd TCE'!W10*'Opex og G og A'!V3</f>
        <v>154.94223374780404</v>
      </c>
      <c r="W5" s="25">
        <f>'Opex og G og A'!W4*'Kladd TCE'!X11+'Kladd TCE'!X10*'Opex og G og A'!W3</f>
        <v>105.36071894850676</v>
      </c>
      <c r="X5" s="25">
        <f>'Opex og G og A'!X4*'Kladd TCE'!Y11+'Kladd TCE'!Y10*'Opex og G og A'!X3</f>
        <v>107.4679333274769</v>
      </c>
    </row>
    <row r="7" spans="2:24" x14ac:dyDescent="0.2">
      <c r="B7" s="24" t="s">
        <v>266</v>
      </c>
      <c r="C7" s="78">
        <f>-Resultatregnskapet!F11/1000000</f>
        <v>52.223716779999997</v>
      </c>
    </row>
    <row r="8" spans="2:24" x14ac:dyDescent="0.2">
      <c r="B8" s="24" t="s">
        <v>0</v>
      </c>
      <c r="C8" s="79" t="s">
        <v>291</v>
      </c>
      <c r="D8" s="79" t="s">
        <v>292</v>
      </c>
      <c r="E8" s="79" t="s">
        <v>293</v>
      </c>
      <c r="F8" s="79" t="s">
        <v>294</v>
      </c>
      <c r="G8" s="79" t="s">
        <v>295</v>
      </c>
      <c r="H8" s="79" t="s">
        <v>296</v>
      </c>
      <c r="I8" s="79" t="s">
        <v>297</v>
      </c>
      <c r="J8" s="79" t="s">
        <v>298</v>
      </c>
      <c r="K8" s="79" t="s">
        <v>299</v>
      </c>
      <c r="L8" s="79" t="s">
        <v>300</v>
      </c>
      <c r="M8" s="79" t="s">
        <v>301</v>
      </c>
      <c r="N8" s="79" t="s">
        <v>302</v>
      </c>
      <c r="O8" s="79" t="s">
        <v>303</v>
      </c>
      <c r="P8" s="79" t="s">
        <v>304</v>
      </c>
      <c r="Q8" s="79" t="s">
        <v>305</v>
      </c>
      <c r="R8" s="79" t="s">
        <v>306</v>
      </c>
      <c r="S8" s="79" t="s">
        <v>307</v>
      </c>
      <c r="T8" s="79" t="s">
        <v>308</v>
      </c>
      <c r="U8" s="79" t="s">
        <v>309</v>
      </c>
      <c r="V8" s="79" t="s">
        <v>310</v>
      </c>
      <c r="W8" s="79" t="s">
        <v>311</v>
      </c>
      <c r="X8" s="79" t="s">
        <v>312</v>
      </c>
    </row>
    <row r="9" spans="2:24" x14ac:dyDescent="0.2">
      <c r="B9" s="24" t="s">
        <v>266</v>
      </c>
      <c r="C9" s="25">
        <f>(($C$7*1.02^('Kladd TCE'!D4-2022))/14)*('Kladd TCE'!D10+'Kladd TCE'!D11)</f>
        <v>53.268191115599997</v>
      </c>
      <c r="D9" s="25">
        <f>(($C$7*1.02^('Kladd TCE'!E4-2022))/14)*('Kladd TCE'!E10+'Kladd TCE'!E11)</f>
        <v>54.333554937911998</v>
      </c>
      <c r="E9" s="25">
        <f>(($C$7*1.02^('Kladd TCE'!F4-2022))/14)*('Kladd TCE'!F10+'Kladd TCE'!F11)</f>
        <v>55.420226036670236</v>
      </c>
      <c r="F9" s="25">
        <f>(($C$7*1.02^('Kladd TCE'!G4-2022))/14)*('Kladd TCE'!G10+'Kladd TCE'!G11)</f>
        <v>56.528630557403631</v>
      </c>
      <c r="G9" s="25">
        <f>(($C$7*1.02^('Kladd TCE'!H4-2022))/14)*('Kladd TCE'!H10+'Kladd TCE'!H11)</f>
        <v>57.65920316855172</v>
      </c>
      <c r="H9" s="25">
        <f>(($C$7*1.02^('Kladd TCE'!I4-2022))/14)*('Kladd TCE'!I10+'Kladd TCE'!I11)</f>
        <v>58.812387231922749</v>
      </c>
      <c r="I9" s="25">
        <f>(($C$7*1.02^('Kladd TCE'!J4-2022))/14)*('Kladd TCE'!J10+'Kladd TCE'!J11)</f>
        <v>59.988634976561201</v>
      </c>
      <c r="J9" s="25">
        <f>(($C$7*1.02^('Kladd TCE'!K4-2022))/14)*('Kladd TCE'!K10+'Kladd TCE'!K11)</f>
        <v>61.188407676092424</v>
      </c>
      <c r="K9" s="25">
        <f>(($C$7*1.02^('Kladd TCE'!L4-2022))/14)*('Kladd TCE'!L10+'Kladd TCE'!L11)</f>
        <v>62.412175829614277</v>
      </c>
      <c r="L9" s="25">
        <f>(($C$7*1.02^('Kladd TCE'!M4-2022))/14)*('Kladd TCE'!M10+'Kladd TCE'!M11)</f>
        <v>63.66041934620656</v>
      </c>
      <c r="M9" s="25">
        <f>(($C$7*1.02^('Kladd TCE'!N4-2022))/14)*('Kladd TCE'!N10+'Kladd TCE'!N11)</f>
        <v>64.933627733130677</v>
      </c>
      <c r="N9" s="25">
        <f>(($C$7*1.02^('Kladd TCE'!O4-2022))/14)*('Kladd TCE'!O10+'Kladd TCE'!O11)</f>
        <v>66.232300287793308</v>
      </c>
      <c r="O9" s="25">
        <f>(($C$7*1.02^('Kladd TCE'!P4-2022))/14)*('Kladd TCE'!P10+'Kladd TCE'!P11)</f>
        <v>67.55694629354916</v>
      </c>
      <c r="P9" s="25">
        <f>(($C$7*1.02^('Kladd TCE'!Q4-2022))/14)*('Kladd TCE'!Q10+'Kladd TCE'!Q11)</f>
        <v>68.908085219420158</v>
      </c>
      <c r="Q9" s="25">
        <f>(($C$7*1.02^('Kladd TCE'!R4-2022))/14)*('Kladd TCE'!R10+'Kladd TCE'!R11)</f>
        <v>70.286246923808534</v>
      </c>
      <c r="R9" s="25">
        <f>(($C$7*1.02^('Kladd TCE'!S4-2022))/14)*('Kladd TCE'!S10+'Kladd TCE'!S11)</f>
        <v>66.571116729264375</v>
      </c>
      <c r="S9" s="25">
        <f>(($C$7*1.02^('Kladd TCE'!T4-2022))/14)*('Kladd TCE'!T10+'Kladd TCE'!T11)</f>
        <v>62.679266828168934</v>
      </c>
      <c r="T9" s="25">
        <f>(($C$7*1.02^('Kladd TCE'!U4-2022))/14)*('Kladd TCE'!U10+'Kladd TCE'!U11)</f>
        <v>53.277376803943582</v>
      </c>
      <c r="U9" s="25">
        <f>(($C$7*1.02^('Kladd TCE'!V4-2022))/14)*('Kladd TCE'!V10+'Kladd TCE'!V11)</f>
        <v>54.342924340022456</v>
      </c>
      <c r="V9" s="25">
        <f>(($C$7*1.02^('Kladd TCE'!W4-2022))/14)*('Kladd TCE'!W10+'Kladd TCE'!W11)</f>
        <v>16.628934848046875</v>
      </c>
      <c r="W9" s="25">
        <f>(($C$7*1.02^('Kladd TCE'!X4-2022))/14)*('Kladd TCE'!X10+'Kladd TCE'!X11)</f>
        <v>11.307675696671874</v>
      </c>
      <c r="X9" s="25">
        <f>(($C$7*1.02^('Kladd TCE'!Y4-2022))/14)*('Kladd TCE'!Y10+'Kladd TCE'!Y11)</f>
        <v>11.53382921060531</v>
      </c>
    </row>
  </sheetData>
  <phoneticPr fontId="7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71B42-3276-8549-979C-678F003D8278}">
  <dimension ref="B4:Z64"/>
  <sheetViews>
    <sheetView topLeftCell="A2" zoomScale="90" zoomScaleNormal="90" workbookViewId="0">
      <selection activeCell="C12" sqref="C12"/>
    </sheetView>
  </sheetViews>
  <sheetFormatPr baseColWidth="10" defaultColWidth="10.83203125" defaultRowHeight="16" x14ac:dyDescent="0.2"/>
  <cols>
    <col min="1" max="1" width="10.83203125" style="24"/>
    <col min="2" max="2" width="23" style="24" customWidth="1"/>
    <col min="3" max="3" width="21.33203125" style="24" customWidth="1"/>
    <col min="4" max="4" width="22" style="24" customWidth="1"/>
    <col min="5" max="5" width="18.83203125" style="24" customWidth="1"/>
    <col min="6" max="6" width="18.6640625" style="24" bestFit="1" customWidth="1"/>
    <col min="7" max="7" width="17" style="24" customWidth="1"/>
    <col min="8" max="8" width="18.1640625" style="24" customWidth="1"/>
    <col min="9" max="9" width="17" style="24" customWidth="1"/>
    <col min="10" max="10" width="17.83203125" style="24" customWidth="1"/>
    <col min="11" max="11" width="18" style="24" customWidth="1"/>
    <col min="12" max="12" width="17.1640625" style="24" customWidth="1"/>
    <col min="13" max="13" width="18.1640625" style="24" customWidth="1"/>
    <col min="14" max="14" width="17.33203125" style="24" customWidth="1"/>
    <col min="15" max="15" width="18.6640625" style="24" customWidth="1"/>
    <col min="16" max="16" width="19.33203125" style="24" customWidth="1"/>
    <col min="17" max="17" width="16.6640625" style="24" customWidth="1"/>
    <col min="18" max="18" width="18.1640625" style="24" customWidth="1"/>
    <col min="19" max="19" width="17.6640625" style="24" customWidth="1"/>
    <col min="20" max="20" width="17" style="24" customWidth="1"/>
    <col min="21" max="21" width="18" style="24" customWidth="1"/>
    <col min="22" max="22" width="17" style="24" customWidth="1"/>
    <col min="23" max="23" width="20.33203125" style="24" customWidth="1"/>
    <col min="24" max="24" width="17.33203125" style="24" customWidth="1"/>
    <col min="25" max="25" width="18.33203125" style="24" customWidth="1"/>
    <col min="26" max="26" width="16.83203125" style="24" bestFit="1" customWidth="1"/>
    <col min="27" max="16384" width="10.83203125" style="24"/>
  </cols>
  <sheetData>
    <row r="4" spans="2:26" x14ac:dyDescent="0.2">
      <c r="B4" s="95" t="s">
        <v>0</v>
      </c>
      <c r="C4" s="24">
        <v>0</v>
      </c>
      <c r="D4" s="24">
        <v>1</v>
      </c>
      <c r="E4" s="24">
        <f t="shared" ref="E4:Y4" si="0">D4+1</f>
        <v>2</v>
      </c>
      <c r="F4" s="24">
        <f t="shared" si="0"/>
        <v>3</v>
      </c>
      <c r="G4" s="24">
        <f t="shared" si="0"/>
        <v>4</v>
      </c>
      <c r="H4" s="24">
        <f t="shared" si="0"/>
        <v>5</v>
      </c>
      <c r="I4" s="24">
        <f t="shared" si="0"/>
        <v>6</v>
      </c>
      <c r="J4" s="24">
        <f t="shared" si="0"/>
        <v>7</v>
      </c>
      <c r="K4" s="24">
        <f t="shared" si="0"/>
        <v>8</v>
      </c>
      <c r="L4" s="24">
        <f t="shared" si="0"/>
        <v>9</v>
      </c>
      <c r="M4" s="24">
        <f t="shared" si="0"/>
        <v>10</v>
      </c>
      <c r="N4" s="24">
        <f t="shared" si="0"/>
        <v>11</v>
      </c>
      <c r="O4" s="24">
        <f t="shared" si="0"/>
        <v>12</v>
      </c>
      <c r="P4" s="24">
        <f t="shared" si="0"/>
        <v>13</v>
      </c>
      <c r="Q4" s="24">
        <f t="shared" si="0"/>
        <v>14</v>
      </c>
      <c r="R4" s="24">
        <f t="shared" si="0"/>
        <v>15</v>
      </c>
      <c r="S4" s="24">
        <f t="shared" si="0"/>
        <v>16</v>
      </c>
      <c r="T4" s="24">
        <f t="shared" si="0"/>
        <v>17</v>
      </c>
      <c r="U4" s="24">
        <f t="shared" si="0"/>
        <v>18</v>
      </c>
      <c r="V4" s="24">
        <f t="shared" si="0"/>
        <v>19</v>
      </c>
      <c r="W4" s="24">
        <f t="shared" si="0"/>
        <v>20</v>
      </c>
      <c r="X4" s="24">
        <f t="shared" si="0"/>
        <v>21</v>
      </c>
      <c r="Y4" s="24">
        <f t="shared" si="0"/>
        <v>22</v>
      </c>
    </row>
    <row r="5" spans="2:26" x14ac:dyDescent="0.2">
      <c r="B5" s="24" t="s">
        <v>232</v>
      </c>
      <c r="C5" s="25">
        <v>-110000000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>
        <f>400*40000</f>
        <v>16000000</v>
      </c>
    </row>
    <row r="6" spans="2:26" x14ac:dyDescent="0.2">
      <c r="B6" s="24" t="s">
        <v>224</v>
      </c>
      <c r="C6" s="25"/>
      <c r="D6" s="25"/>
      <c r="E6" s="25"/>
      <c r="F6" s="25"/>
      <c r="G6" s="25"/>
      <c r="H6" s="25">
        <f>+G6-1500000</f>
        <v>-1500000</v>
      </c>
      <c r="I6" s="25"/>
      <c r="J6" s="25"/>
      <c r="K6" s="25"/>
      <c r="L6" s="25"/>
      <c r="M6" s="25">
        <f>-+F6-2000000</f>
        <v>-2000000</v>
      </c>
      <c r="N6" s="25"/>
      <c r="O6" s="25"/>
      <c r="P6" s="25"/>
      <c r="Q6" s="25"/>
      <c r="R6" s="25">
        <f>+L6-2500000</f>
        <v>-2500000</v>
      </c>
      <c r="S6" s="25"/>
      <c r="T6" s="25"/>
      <c r="U6" s="25">
        <v>-3250000</v>
      </c>
      <c r="V6" s="25"/>
      <c r="W6" s="25">
        <f>-4000000</f>
        <v>-4000000</v>
      </c>
      <c r="X6" s="25"/>
      <c r="Y6" s="25">
        <f>V6</f>
        <v>0</v>
      </c>
    </row>
    <row r="7" spans="2:26" ht="17" customHeight="1" x14ac:dyDescent="0.2">
      <c r="B7" s="24" t="s">
        <v>231</v>
      </c>
      <c r="C7" s="25"/>
      <c r="D7" s="25">
        <f t="shared" ref="D7:Y7" si="1">$C$15*365*0.95</f>
        <v>12620919.048344085</v>
      </c>
      <c r="E7" s="25">
        <f>$C$15*365*0.95</f>
        <v>12620919.048344085</v>
      </c>
      <c r="F7" s="25">
        <f t="shared" si="1"/>
        <v>12620919.048344085</v>
      </c>
      <c r="G7" s="25">
        <f t="shared" si="1"/>
        <v>12620919.048344085</v>
      </c>
      <c r="H7" s="25">
        <f t="shared" si="1"/>
        <v>12620919.048344085</v>
      </c>
      <c r="I7" s="25">
        <f t="shared" si="1"/>
        <v>12620919.048344085</v>
      </c>
      <c r="J7" s="25">
        <f t="shared" si="1"/>
        <v>12620919.048344085</v>
      </c>
      <c r="K7" s="25">
        <f t="shared" si="1"/>
        <v>12620919.048344085</v>
      </c>
      <c r="L7" s="25">
        <f t="shared" si="1"/>
        <v>12620919.048344085</v>
      </c>
      <c r="M7" s="25">
        <f t="shared" si="1"/>
        <v>12620919.048344085</v>
      </c>
      <c r="N7" s="25">
        <f t="shared" si="1"/>
        <v>12620919.048344085</v>
      </c>
      <c r="O7" s="25">
        <f t="shared" si="1"/>
        <v>12620919.048344085</v>
      </c>
      <c r="P7" s="25">
        <f t="shared" si="1"/>
        <v>12620919.048344085</v>
      </c>
      <c r="Q7" s="25">
        <f t="shared" si="1"/>
        <v>12620919.048344085</v>
      </c>
      <c r="R7" s="25">
        <f t="shared" si="1"/>
        <v>12620919.048344085</v>
      </c>
      <c r="S7" s="25">
        <f t="shared" si="1"/>
        <v>12620919.048344085</v>
      </c>
      <c r="T7" s="25">
        <f t="shared" si="1"/>
        <v>12620919.048344085</v>
      </c>
      <c r="U7" s="25">
        <f t="shared" si="1"/>
        <v>12620919.048344085</v>
      </c>
      <c r="V7" s="25">
        <f t="shared" si="1"/>
        <v>12620919.048344085</v>
      </c>
      <c r="W7" s="25">
        <f t="shared" si="1"/>
        <v>12620919.048344085</v>
      </c>
      <c r="X7" s="25">
        <f t="shared" si="1"/>
        <v>12620919.048344085</v>
      </c>
      <c r="Y7" s="25">
        <f t="shared" si="1"/>
        <v>12620919.048344085</v>
      </c>
    </row>
    <row r="8" spans="2:26" x14ac:dyDescent="0.2">
      <c r="B8" s="24" t="s">
        <v>226</v>
      </c>
      <c r="C8" s="25"/>
      <c r="D8" s="25">
        <f t="shared" ref="D8:Y8" si="2">-(8242+750)*365*1.02^D4</f>
        <v>-3347721.6</v>
      </c>
      <c r="E8" s="25">
        <f t="shared" si="2"/>
        <v>-3414676.0320000001</v>
      </c>
      <c r="F8" s="25">
        <f t="shared" si="2"/>
        <v>-3482969.5526399999</v>
      </c>
      <c r="G8" s="25">
        <f t="shared" si="2"/>
        <v>-3552628.9436928001</v>
      </c>
      <c r="H8" s="25">
        <f t="shared" si="2"/>
        <v>-3623681.5225666561</v>
      </c>
      <c r="I8" s="25">
        <f t="shared" si="2"/>
        <v>-3696155.1530179894</v>
      </c>
      <c r="J8" s="25">
        <f t="shared" si="2"/>
        <v>-3770078.2560783485</v>
      </c>
      <c r="K8" s="25">
        <f t="shared" si="2"/>
        <v>-3845479.8211999158</v>
      </c>
      <c r="L8" s="25">
        <f t="shared" si="2"/>
        <v>-3922389.4176239138</v>
      </c>
      <c r="M8" s="25">
        <f t="shared" si="2"/>
        <v>-4000837.2059763926</v>
      </c>
      <c r="N8" s="25">
        <f t="shared" si="2"/>
        <v>-4080853.9500959194</v>
      </c>
      <c r="O8" s="25">
        <f t="shared" si="2"/>
        <v>-4162471.0290978388</v>
      </c>
      <c r="P8" s="25">
        <f t="shared" si="2"/>
        <v>-4245720.4496797947</v>
      </c>
      <c r="Q8" s="25">
        <f t="shared" si="2"/>
        <v>-4330634.8586733919</v>
      </c>
      <c r="R8" s="25">
        <f t="shared" si="2"/>
        <v>-4417247.5558468578</v>
      </c>
      <c r="S8" s="25">
        <f t="shared" si="2"/>
        <v>-4505592.506963796</v>
      </c>
      <c r="T8" s="25">
        <f t="shared" si="2"/>
        <v>-4595704.3571030721</v>
      </c>
      <c r="U8" s="25">
        <f t="shared" si="2"/>
        <v>-4687618.4442451335</v>
      </c>
      <c r="V8" s="25">
        <f t="shared" si="2"/>
        <v>-4781370.813130036</v>
      </c>
      <c r="W8" s="25">
        <f t="shared" si="2"/>
        <v>-4876998.2293926366</v>
      </c>
      <c r="X8" s="25">
        <f t="shared" si="2"/>
        <v>-4974538.1939804889</v>
      </c>
      <c r="Y8" s="25">
        <f t="shared" si="2"/>
        <v>-5074028.9578600992</v>
      </c>
    </row>
    <row r="9" spans="2:26" x14ac:dyDescent="0.2">
      <c r="B9" s="24" t="s">
        <v>225</v>
      </c>
      <c r="C9" s="25"/>
      <c r="D9" s="25">
        <f>-C33*Gjeld!C5</f>
        <v>-3951450.3461527959</v>
      </c>
      <c r="E9" s="25">
        <f>-D33*Gjeld!D5</f>
        <v>-3662322.6776724895</v>
      </c>
      <c r="F9" s="25">
        <f>-E33*Gjeld!E5</f>
        <v>-3384158.3011797387</v>
      </c>
      <c r="G9" s="25">
        <f>-F33*Gjeld!F5</f>
        <v>-3116957.2166745421</v>
      </c>
      <c r="H9" s="25">
        <f>-G33*Gjeld!G5</f>
        <v>-2860719.424156901</v>
      </c>
      <c r="I9" s="25">
        <f>-H33*Gjeld!H5</f>
        <v>-2615444.9236268145</v>
      </c>
      <c r="J9" s="25">
        <f>-I33*Gjeld!I5</f>
        <v>-2381133.7150842836</v>
      </c>
      <c r="K9" s="25">
        <f>-J33*Gjeld!J5</f>
        <v>-2157785.7985293069</v>
      </c>
      <c r="L9" s="25">
        <f>-K33*Gjeld!K5</f>
        <v>-1945401.1739618855</v>
      </c>
      <c r="M9" s="25">
        <f>-L33*Gjeld!L5</f>
        <v>-1835768.2540863359</v>
      </c>
      <c r="N9" s="25">
        <f>-M33*Gjeld!M5</f>
        <v>-1726135.3342107863</v>
      </c>
      <c r="O9" s="25">
        <f>-N33*Gjeld!N5</f>
        <v>-1616502.4143352364</v>
      </c>
      <c r="P9" s="25">
        <f>-O33*Gjeld!O5</f>
        <v>-1506869.4944596866</v>
      </c>
      <c r="Q9" s="25">
        <f>-P33*Gjeld!P5</f>
        <v>-1397236.5745841367</v>
      </c>
      <c r="R9" s="25">
        <f>-Q33*Gjeld!Q5</f>
        <v>-1287603.6547085869</v>
      </c>
      <c r="S9" s="25">
        <f>-R33*Gjeld!R5</f>
        <v>-1177970.734833037</v>
      </c>
      <c r="T9" s="25">
        <f>-S33*Gjeld!S5</f>
        <v>-1068337.8149574872</v>
      </c>
      <c r="U9" s="25">
        <f>-T33*Gjeld!T5</f>
        <v>-958704.89508193731</v>
      </c>
      <c r="V9" s="25">
        <f>-U33*Gjeld!U5</f>
        <v>-849071.97520638746</v>
      </c>
      <c r="W9" s="25">
        <f>-V33*Gjeld!V5</f>
        <v>-739439.05533083761</v>
      </c>
      <c r="X9" s="25">
        <f>-W33*Gjeld!W5</f>
        <v>-629806.13545528788</v>
      </c>
      <c r="Y9" s="25">
        <f>-X33*Gjeld!X5</f>
        <v>-520173.21557973797</v>
      </c>
    </row>
    <row r="10" spans="2:26" x14ac:dyDescent="0.2">
      <c r="B10" s="24" t="s">
        <v>230</v>
      </c>
      <c r="C10" s="25">
        <f>-C5*0.7</f>
        <v>77000000</v>
      </c>
      <c r="D10" s="25">
        <f t="shared" ref="D10:X10" si="3">-(C33-D33)</f>
        <v>-5634090.9090909064</v>
      </c>
      <c r="E10" s="25">
        <f t="shared" si="3"/>
        <v>-5420454.5454545394</v>
      </c>
      <c r="F10" s="25">
        <f t="shared" si="3"/>
        <v>-5206818.1818181798</v>
      </c>
      <c r="G10" s="25">
        <f t="shared" si="3"/>
        <v>-4993181.8181818128</v>
      </c>
      <c r="H10" s="25">
        <f t="shared" si="3"/>
        <v>-4779545.4545454532</v>
      </c>
      <c r="I10" s="25">
        <f t="shared" si="3"/>
        <v>-4565909.0909090787</v>
      </c>
      <c r="J10" s="25">
        <f t="shared" si="3"/>
        <v>-4352272.727272734</v>
      </c>
      <c r="K10" s="25">
        <f t="shared" si="3"/>
        <v>-4138636.3636363596</v>
      </c>
      <c r="L10" s="25">
        <f t="shared" si="3"/>
        <v>-2136363.636363633</v>
      </c>
      <c r="M10" s="25">
        <f t="shared" si="3"/>
        <v>-2136363.636363633</v>
      </c>
      <c r="N10" s="25">
        <f t="shared" si="3"/>
        <v>-2136363.6363636367</v>
      </c>
      <c r="O10" s="25">
        <f t="shared" si="3"/>
        <v>-2136363.6363636367</v>
      </c>
      <c r="P10" s="25">
        <f t="shared" si="3"/>
        <v>-2136363.6363636367</v>
      </c>
      <c r="Q10" s="25">
        <f t="shared" si="3"/>
        <v>-2136363.6363636367</v>
      </c>
      <c r="R10" s="25">
        <f t="shared" si="3"/>
        <v>-2136363.6363636367</v>
      </c>
      <c r="S10" s="25">
        <f t="shared" si="3"/>
        <v>-2136363.6363636367</v>
      </c>
      <c r="T10" s="25">
        <f t="shared" si="3"/>
        <v>-2136363.6363636367</v>
      </c>
      <c r="U10" s="25">
        <f t="shared" si="3"/>
        <v>-2136363.6363636367</v>
      </c>
      <c r="V10" s="25">
        <f t="shared" si="3"/>
        <v>-2136363.6363636367</v>
      </c>
      <c r="W10" s="25">
        <f t="shared" si="3"/>
        <v>-2136363.6363636367</v>
      </c>
      <c r="X10" s="25">
        <f t="shared" si="3"/>
        <v>-2136363.6363636367</v>
      </c>
      <c r="Y10" s="25">
        <f>-X33</f>
        <v>-10136363.636363667</v>
      </c>
      <c r="Z10" s="25"/>
    </row>
    <row r="11" spans="2:26" x14ac:dyDescent="0.2">
      <c r="B11" s="24" t="s">
        <v>223</v>
      </c>
      <c r="C11" s="25">
        <f t="shared" ref="C11:Y11" si="4">SUM(C5:C10)</f>
        <v>-33000000</v>
      </c>
      <c r="D11" s="25">
        <f t="shared" si="4"/>
        <v>-312343.80689961649</v>
      </c>
      <c r="E11" s="25">
        <f t="shared" si="4"/>
        <v>123465.79321705643</v>
      </c>
      <c r="F11" s="25">
        <f t="shared" si="4"/>
        <v>546973.01270616613</v>
      </c>
      <c r="G11" s="25">
        <f t="shared" si="4"/>
        <v>958151.06979493052</v>
      </c>
      <c r="H11" s="25">
        <f t="shared" si="4"/>
        <v>-143027.35292492434</v>
      </c>
      <c r="I11" s="25">
        <f t="shared" si="4"/>
        <v>1743409.8807902038</v>
      </c>
      <c r="J11" s="25">
        <f t="shared" si="4"/>
        <v>2117434.3499087179</v>
      </c>
      <c r="K11" s="25">
        <f t="shared" si="4"/>
        <v>2479017.0649785027</v>
      </c>
      <c r="L11" s="25">
        <f t="shared" si="4"/>
        <v>4616764.8203946538</v>
      </c>
      <c r="M11" s="25">
        <f t="shared" si="4"/>
        <v>2647949.9519177228</v>
      </c>
      <c r="N11" s="25">
        <f t="shared" si="4"/>
        <v>4677566.1276737424</v>
      </c>
      <c r="O11" s="25">
        <f t="shared" si="4"/>
        <v>4705581.968547374</v>
      </c>
      <c r="P11" s="25">
        <f t="shared" si="4"/>
        <v>4731965.4678409668</v>
      </c>
      <c r="Q11" s="25">
        <f t="shared" si="4"/>
        <v>4756683.9787229197</v>
      </c>
      <c r="R11" s="25">
        <f t="shared" si="4"/>
        <v>2279704.2014250038</v>
      </c>
      <c r="S11" s="25">
        <f t="shared" si="4"/>
        <v>4800992.1701836158</v>
      </c>
      <c r="T11" s="25">
        <f t="shared" si="4"/>
        <v>4820513.2399198888</v>
      </c>
      <c r="U11" s="25">
        <f t="shared" si="4"/>
        <v>1588232.0726533774</v>
      </c>
      <c r="V11" s="25">
        <f t="shared" si="4"/>
        <v>4854112.6236440251</v>
      </c>
      <c r="W11" s="25">
        <f t="shared" si="4"/>
        <v>868118.12725697411</v>
      </c>
      <c r="X11" s="25">
        <f t="shared" si="4"/>
        <v>4880211.0825446714</v>
      </c>
      <c r="Y11" s="25">
        <f t="shared" si="4"/>
        <v>12890353.238540582</v>
      </c>
    </row>
    <row r="12" spans="2:26" x14ac:dyDescent="0.2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2:26" x14ac:dyDescent="0.2">
      <c r="C13" s="53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2:26" x14ac:dyDescent="0.2">
      <c r="B14" s="24" t="s">
        <v>229</v>
      </c>
      <c r="C14" s="32">
        <f>NPV(0.054,C11:Y11)</f>
        <v>-3.534431023208647E-9</v>
      </c>
    </row>
    <row r="15" spans="2:26" x14ac:dyDescent="0.2">
      <c r="B15" s="24" t="s">
        <v>221</v>
      </c>
      <c r="C15" s="31">
        <v>36397.747796233845</v>
      </c>
    </row>
    <row r="16" spans="2:26" x14ac:dyDescent="0.2">
      <c r="C16" s="31"/>
    </row>
    <row r="17" spans="2:26" x14ac:dyDescent="0.2">
      <c r="C17" s="25"/>
    </row>
    <row r="18" spans="2:26" x14ac:dyDescent="0.2">
      <c r="B18" s="24" t="s">
        <v>228</v>
      </c>
      <c r="C18" s="25">
        <v>-80000000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>
        <f>23000*400</f>
        <v>9200000</v>
      </c>
    </row>
    <row r="19" spans="2:26" x14ac:dyDescent="0.2">
      <c r="B19" s="24" t="s">
        <v>227</v>
      </c>
      <c r="C19" s="25">
        <f>-C18*0.7</f>
        <v>56000000</v>
      </c>
      <c r="D19" s="25">
        <f t="shared" ref="D19:X19" si="5">-(C34-D34)</f>
        <v>-4172272.7272727191</v>
      </c>
      <c r="E19" s="25">
        <f t="shared" si="5"/>
        <v>-4011363.636363633</v>
      </c>
      <c r="F19" s="25">
        <f t="shared" si="5"/>
        <v>-3850454.5454545468</v>
      </c>
      <c r="G19" s="25">
        <f t="shared" si="5"/>
        <v>-3689545.4545454532</v>
      </c>
      <c r="H19" s="25">
        <f t="shared" si="5"/>
        <v>-3528636.363636367</v>
      </c>
      <c r="I19" s="25">
        <f t="shared" si="5"/>
        <v>-3367727.2727272697</v>
      </c>
      <c r="J19" s="25">
        <f t="shared" si="5"/>
        <v>-3206818.1818181835</v>
      </c>
      <c r="K19" s="25">
        <f t="shared" si="5"/>
        <v>-3045909.0909090936</v>
      </c>
      <c r="L19" s="25">
        <f t="shared" si="5"/>
        <v>-1609090.9090909101</v>
      </c>
      <c r="M19" s="25">
        <f t="shared" si="5"/>
        <v>-1609090.9090909101</v>
      </c>
      <c r="N19" s="25">
        <f t="shared" si="5"/>
        <v>-1609090.9090909101</v>
      </c>
      <c r="O19" s="25">
        <f t="shared" si="5"/>
        <v>-1609090.9090909101</v>
      </c>
      <c r="P19" s="25">
        <f t="shared" si="5"/>
        <v>-1609090.9090909101</v>
      </c>
      <c r="Q19" s="25">
        <f t="shared" si="5"/>
        <v>-1609090.9090909101</v>
      </c>
      <c r="R19" s="25">
        <f t="shared" si="5"/>
        <v>-1609090.9090909101</v>
      </c>
      <c r="S19" s="25">
        <f t="shared" si="5"/>
        <v>-1609090.9090909101</v>
      </c>
      <c r="T19" s="25">
        <f t="shared" si="5"/>
        <v>-1609090.9090909101</v>
      </c>
      <c r="U19" s="25">
        <f t="shared" si="5"/>
        <v>-1609090.9090909101</v>
      </c>
      <c r="V19" s="25">
        <f t="shared" si="5"/>
        <v>-1609090.9090909101</v>
      </c>
      <c r="W19" s="25">
        <f t="shared" si="5"/>
        <v>-1609090.9090909092</v>
      </c>
      <c r="X19" s="25">
        <f t="shared" si="5"/>
        <v>-1609090.9090909092</v>
      </c>
      <c r="Y19" s="25">
        <f>-X34</f>
        <v>-6209090.9090909045</v>
      </c>
      <c r="Z19" s="25"/>
    </row>
    <row r="20" spans="2:26" x14ac:dyDescent="0.2">
      <c r="B20" s="24" t="s">
        <v>221</v>
      </c>
      <c r="C20" s="25"/>
      <c r="D20" s="25">
        <f t="shared" ref="D20:Y20" si="6">$C$27*365*0.95</f>
        <v>9683460.6605804507</v>
      </c>
      <c r="E20" s="25">
        <f t="shared" si="6"/>
        <v>9683460.6605804507</v>
      </c>
      <c r="F20" s="25">
        <f t="shared" si="6"/>
        <v>9683460.6605804507</v>
      </c>
      <c r="G20" s="25">
        <f t="shared" si="6"/>
        <v>9683460.6605804507</v>
      </c>
      <c r="H20" s="25">
        <f t="shared" si="6"/>
        <v>9683460.6605804507</v>
      </c>
      <c r="I20" s="25">
        <f t="shared" si="6"/>
        <v>9683460.6605804507</v>
      </c>
      <c r="J20" s="25">
        <f t="shared" si="6"/>
        <v>9683460.6605804507</v>
      </c>
      <c r="K20" s="25">
        <f t="shared" si="6"/>
        <v>9683460.6605804507</v>
      </c>
      <c r="L20" s="25">
        <f t="shared" si="6"/>
        <v>9683460.6605804507</v>
      </c>
      <c r="M20" s="25">
        <f t="shared" si="6"/>
        <v>9683460.6605804507</v>
      </c>
      <c r="N20" s="25">
        <f t="shared" si="6"/>
        <v>9683460.6605804507</v>
      </c>
      <c r="O20" s="25">
        <f t="shared" si="6"/>
        <v>9683460.6605804507</v>
      </c>
      <c r="P20" s="25">
        <f t="shared" si="6"/>
        <v>9683460.6605804507</v>
      </c>
      <c r="Q20" s="25">
        <f t="shared" si="6"/>
        <v>9683460.6605804507</v>
      </c>
      <c r="R20" s="25">
        <f t="shared" si="6"/>
        <v>9683460.6605804507</v>
      </c>
      <c r="S20" s="25">
        <f t="shared" si="6"/>
        <v>9683460.6605804507</v>
      </c>
      <c r="T20" s="25">
        <f t="shared" si="6"/>
        <v>9683460.6605804507</v>
      </c>
      <c r="U20" s="25">
        <f t="shared" si="6"/>
        <v>9683460.6605804507</v>
      </c>
      <c r="V20" s="25">
        <f t="shared" si="6"/>
        <v>9683460.6605804507</v>
      </c>
      <c r="W20" s="25">
        <f t="shared" si="6"/>
        <v>9683460.6605804507</v>
      </c>
      <c r="X20" s="25">
        <f t="shared" si="6"/>
        <v>9683460.6605804507</v>
      </c>
      <c r="Y20" s="25">
        <f t="shared" si="6"/>
        <v>9683460.6605804507</v>
      </c>
    </row>
    <row r="21" spans="2:26" x14ac:dyDescent="0.2">
      <c r="B21" s="24" t="s">
        <v>226</v>
      </c>
      <c r="C21" s="25"/>
      <c r="D21" s="25">
        <f t="shared" ref="D21:Y21" si="7">-(8242-1000)*365*1.02^D4</f>
        <v>-2696196.6</v>
      </c>
      <c r="E21" s="25">
        <f t="shared" si="7"/>
        <v>-2750120.5320000001</v>
      </c>
      <c r="F21" s="25">
        <f t="shared" si="7"/>
        <v>-2805122.94264</v>
      </c>
      <c r="G21" s="25">
        <f t="shared" si="7"/>
        <v>-2861225.4014928001</v>
      </c>
      <c r="H21" s="25">
        <f t="shared" si="7"/>
        <v>-2918449.9095226559</v>
      </c>
      <c r="I21" s="25">
        <f t="shared" si="7"/>
        <v>-2976818.9077131092</v>
      </c>
      <c r="J21" s="25">
        <f t="shared" si="7"/>
        <v>-3036355.2858673707</v>
      </c>
      <c r="K21" s="25">
        <f t="shared" si="7"/>
        <v>-3097082.3915847186</v>
      </c>
      <c r="L21" s="25">
        <f t="shared" si="7"/>
        <v>-3159024.0394164128</v>
      </c>
      <c r="M21" s="25">
        <f t="shared" si="7"/>
        <v>-3222204.5202047415</v>
      </c>
      <c r="N21" s="25">
        <f t="shared" si="7"/>
        <v>-3286648.6106088357</v>
      </c>
      <c r="O21" s="25">
        <f t="shared" si="7"/>
        <v>-3352381.5828210129</v>
      </c>
      <c r="P21" s="25">
        <f t="shared" si="7"/>
        <v>-3419429.2144774329</v>
      </c>
      <c r="Q21" s="25">
        <f t="shared" si="7"/>
        <v>-3487817.7987669818</v>
      </c>
      <c r="R21" s="25">
        <f t="shared" si="7"/>
        <v>-3557574.1547423205</v>
      </c>
      <c r="S21" s="25">
        <f t="shared" si="7"/>
        <v>-3628725.6378371674</v>
      </c>
      <c r="T21" s="25">
        <f t="shared" si="7"/>
        <v>-3701300.1505939113</v>
      </c>
      <c r="U21" s="25">
        <f t="shared" si="7"/>
        <v>-3775326.1536057889</v>
      </c>
      <c r="V21" s="25">
        <f t="shared" si="7"/>
        <v>-3850832.6766779046</v>
      </c>
      <c r="W21" s="25">
        <f t="shared" si="7"/>
        <v>-3927849.3302114629</v>
      </c>
      <c r="X21" s="25">
        <f t="shared" si="7"/>
        <v>-4006406.316815692</v>
      </c>
      <c r="Y21" s="25">
        <f t="shared" si="7"/>
        <v>-4086534.4431520062</v>
      </c>
      <c r="Z21" s="25"/>
    </row>
    <row r="22" spans="2:26" x14ac:dyDescent="0.2">
      <c r="B22" s="24" t="s">
        <v>225</v>
      </c>
      <c r="C22" s="25"/>
      <c r="D22" s="25">
        <f>-C34*Gjeld!C5</f>
        <v>-2873782.0699293064</v>
      </c>
      <c r="E22" s="25">
        <f>-D34*Gjeld!D5</f>
        <v>-2659671.3100276743</v>
      </c>
      <c r="F22" s="25">
        <f>-E34*Gjeld!E5</f>
        <v>-2453818.0083464561</v>
      </c>
      <c r="G22" s="25">
        <f>-F34*Gjeld!F5</f>
        <v>-2256222.1648856509</v>
      </c>
      <c r="H22" s="25">
        <f>-G34*Gjeld!G5</f>
        <v>-2066883.77964526</v>
      </c>
      <c r="I22" s="25">
        <f>-H34*Gjeld!H5</f>
        <v>-1885802.8526252825</v>
      </c>
      <c r="J22" s="25">
        <f>-I34*Gjeld!I5</f>
        <v>-1712979.3838257191</v>
      </c>
      <c r="K22" s="25">
        <f>-J34*Gjeld!J5</f>
        <v>-1548413.3732465692</v>
      </c>
      <c r="L22" s="25">
        <f>-K34*Gjeld!K5</f>
        <v>-1392104.8208878331</v>
      </c>
      <c r="M22" s="25">
        <f>-L34*Gjeld!L5</f>
        <v>-1309530.2386836954</v>
      </c>
      <c r="N22" s="25">
        <f>-M34*Gjeld!M5</f>
        <v>-1226955.656479558</v>
      </c>
      <c r="O22" s="25">
        <f>-N34*Gjeld!N5</f>
        <v>-1144381.0742754203</v>
      </c>
      <c r="P22" s="25">
        <f>-O34*Gjeld!O5</f>
        <v>-1061806.4920712828</v>
      </c>
      <c r="Q22" s="25">
        <f>-P34*Gjeld!P5</f>
        <v>-979231.90986714512</v>
      </c>
      <c r="R22" s="25">
        <f>-Q34*Gjeld!Q5</f>
        <v>-896657.32766300754</v>
      </c>
      <c r="S22" s="25">
        <f>-R34*Gjeld!R5</f>
        <v>-814082.74545886996</v>
      </c>
      <c r="T22" s="25">
        <f>-S34*Gjeld!S5</f>
        <v>-731508.16325473238</v>
      </c>
      <c r="U22" s="25">
        <f>-T34*Gjeld!T5</f>
        <v>-648933.5810505948</v>
      </c>
      <c r="V22" s="25">
        <f>-U34*Gjeld!U5</f>
        <v>-566358.99884645722</v>
      </c>
      <c r="W22" s="25">
        <f>-V34*Gjeld!V5</f>
        <v>-483784.41664231964</v>
      </c>
      <c r="X22" s="25">
        <f>-W34*Gjeld!W5</f>
        <v>-401209.83443818212</v>
      </c>
      <c r="Y22" s="25">
        <f>-X34*Gjeld!X5</f>
        <v>-318635.2522340446</v>
      </c>
    </row>
    <row r="23" spans="2:26" x14ac:dyDescent="0.2">
      <c r="B23" s="24" t="s">
        <v>224</v>
      </c>
      <c r="C23" s="25"/>
      <c r="D23" s="25">
        <f t="shared" ref="D23:Y23" si="8">D6</f>
        <v>0</v>
      </c>
      <c r="E23" s="25">
        <f t="shared" si="8"/>
        <v>0</v>
      </c>
      <c r="F23" s="25">
        <f t="shared" si="8"/>
        <v>0</v>
      </c>
      <c r="G23" s="25">
        <f t="shared" si="8"/>
        <v>0</v>
      </c>
      <c r="H23" s="25">
        <f t="shared" si="8"/>
        <v>-1500000</v>
      </c>
      <c r="I23" s="25">
        <f t="shared" si="8"/>
        <v>0</v>
      </c>
      <c r="J23" s="25">
        <f t="shared" si="8"/>
        <v>0</v>
      </c>
      <c r="K23" s="25">
        <f t="shared" si="8"/>
        <v>0</v>
      </c>
      <c r="L23" s="25">
        <f t="shared" si="8"/>
        <v>0</v>
      </c>
      <c r="M23" s="25">
        <f t="shared" si="8"/>
        <v>-2000000</v>
      </c>
      <c r="N23" s="25">
        <f t="shared" si="8"/>
        <v>0</v>
      </c>
      <c r="O23" s="25">
        <f t="shared" si="8"/>
        <v>0</v>
      </c>
      <c r="P23" s="25">
        <f t="shared" si="8"/>
        <v>0</v>
      </c>
      <c r="Q23" s="25">
        <f t="shared" si="8"/>
        <v>0</v>
      </c>
      <c r="R23" s="25">
        <f t="shared" si="8"/>
        <v>-2500000</v>
      </c>
      <c r="S23" s="25">
        <f t="shared" si="8"/>
        <v>0</v>
      </c>
      <c r="T23" s="25">
        <f t="shared" si="8"/>
        <v>0</v>
      </c>
      <c r="U23" s="25">
        <f t="shared" si="8"/>
        <v>-3250000</v>
      </c>
      <c r="V23" s="25">
        <f t="shared" si="8"/>
        <v>0</v>
      </c>
      <c r="W23" s="25">
        <f t="shared" si="8"/>
        <v>-4000000</v>
      </c>
      <c r="X23" s="25">
        <f t="shared" si="8"/>
        <v>0</v>
      </c>
      <c r="Y23" s="25">
        <f t="shared" si="8"/>
        <v>0</v>
      </c>
    </row>
    <row r="24" spans="2:26" x14ac:dyDescent="0.2">
      <c r="B24" s="24" t="s">
        <v>223</v>
      </c>
      <c r="C24" s="25">
        <f t="shared" ref="C24:Y24" si="9">SUM(C18:C23)</f>
        <v>-24000000</v>
      </c>
      <c r="D24" s="25">
        <f t="shared" si="9"/>
        <v>-58790.736621574964</v>
      </c>
      <c r="E24" s="25">
        <f t="shared" si="9"/>
        <v>262305.18218914326</v>
      </c>
      <c r="F24" s="25">
        <f t="shared" si="9"/>
        <v>574065.16413944773</v>
      </c>
      <c r="G24" s="25">
        <f t="shared" si="9"/>
        <v>876467.63965654653</v>
      </c>
      <c r="H24" s="25">
        <f t="shared" si="9"/>
        <v>-330509.3922238322</v>
      </c>
      <c r="I24" s="25">
        <f t="shared" si="9"/>
        <v>1453111.6275147893</v>
      </c>
      <c r="J24" s="25">
        <f t="shared" si="9"/>
        <v>1727307.8090691774</v>
      </c>
      <c r="K24" s="25">
        <f t="shared" si="9"/>
        <v>1992055.8048400693</v>
      </c>
      <c r="L24" s="25">
        <f t="shared" si="9"/>
        <v>3523240.8911852948</v>
      </c>
      <c r="M24" s="25">
        <f t="shared" si="9"/>
        <v>1542634.9926011036</v>
      </c>
      <c r="N24" s="25">
        <f t="shared" si="9"/>
        <v>3560765.4844011469</v>
      </c>
      <c r="O24" s="25">
        <f t="shared" si="9"/>
        <v>3577607.0943931071</v>
      </c>
      <c r="P24" s="25">
        <f t="shared" si="9"/>
        <v>3593134.0449408246</v>
      </c>
      <c r="Q24" s="25">
        <f t="shared" si="9"/>
        <v>3607320.0428554136</v>
      </c>
      <c r="R24" s="25">
        <f t="shared" si="9"/>
        <v>1120138.2690842119</v>
      </c>
      <c r="S24" s="25">
        <f t="shared" si="9"/>
        <v>3631561.3681935025</v>
      </c>
      <c r="T24" s="25">
        <f t="shared" si="9"/>
        <v>3641561.437640897</v>
      </c>
      <c r="U24" s="25">
        <f t="shared" si="9"/>
        <v>400110.01683315681</v>
      </c>
      <c r="V24" s="25">
        <f t="shared" si="9"/>
        <v>3657178.0759651782</v>
      </c>
      <c r="W24" s="25">
        <f t="shared" si="9"/>
        <v>-337263.9953642413</v>
      </c>
      <c r="X24" s="25">
        <f t="shared" si="9"/>
        <v>3666753.6002356675</v>
      </c>
      <c r="Y24" s="25">
        <f t="shared" si="9"/>
        <v>8269200.0561034949</v>
      </c>
    </row>
    <row r="25" spans="2:26" x14ac:dyDescent="0.2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2:26" x14ac:dyDescent="0.2">
      <c r="B26" s="24" t="s">
        <v>222</v>
      </c>
      <c r="C26" s="30">
        <f>NPV(0.054,D24:Y24)+C24</f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2:26" x14ac:dyDescent="0.2">
      <c r="B27" s="24" t="s">
        <v>221</v>
      </c>
      <c r="C27" s="30">
        <v>27926.346533757613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2:26" x14ac:dyDescent="0.2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2:26" x14ac:dyDescent="0.2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2:26" x14ac:dyDescent="0.2">
      <c r="B30" s="24" t="s">
        <v>220</v>
      </c>
    </row>
    <row r="31" spans="2:26" x14ac:dyDescent="0.2">
      <c r="B31" s="24" t="s">
        <v>210</v>
      </c>
      <c r="C31" s="24">
        <f t="shared" ref="C31:Y31" si="10">C4</f>
        <v>0</v>
      </c>
      <c r="D31" s="24">
        <f t="shared" si="10"/>
        <v>1</v>
      </c>
      <c r="E31" s="24">
        <f t="shared" si="10"/>
        <v>2</v>
      </c>
      <c r="F31" s="24">
        <f t="shared" si="10"/>
        <v>3</v>
      </c>
      <c r="G31" s="24">
        <f t="shared" si="10"/>
        <v>4</v>
      </c>
      <c r="H31" s="24">
        <f t="shared" si="10"/>
        <v>5</v>
      </c>
      <c r="I31" s="24">
        <f t="shared" si="10"/>
        <v>6</v>
      </c>
      <c r="J31" s="24">
        <f t="shared" si="10"/>
        <v>7</v>
      </c>
      <c r="K31" s="24">
        <f t="shared" si="10"/>
        <v>8</v>
      </c>
      <c r="L31" s="24">
        <f t="shared" si="10"/>
        <v>9</v>
      </c>
      <c r="M31" s="24">
        <f t="shared" si="10"/>
        <v>10</v>
      </c>
      <c r="N31" s="24">
        <f t="shared" si="10"/>
        <v>11</v>
      </c>
      <c r="O31" s="24">
        <f t="shared" si="10"/>
        <v>12</v>
      </c>
      <c r="P31" s="24">
        <f t="shared" si="10"/>
        <v>13</v>
      </c>
      <c r="Q31" s="24">
        <f t="shared" si="10"/>
        <v>14</v>
      </c>
      <c r="R31" s="24">
        <f t="shared" si="10"/>
        <v>15</v>
      </c>
      <c r="S31" s="24">
        <f t="shared" si="10"/>
        <v>16</v>
      </c>
      <c r="T31" s="24">
        <f t="shared" si="10"/>
        <v>17</v>
      </c>
      <c r="U31" s="24">
        <f t="shared" si="10"/>
        <v>18</v>
      </c>
      <c r="V31" s="24">
        <f t="shared" si="10"/>
        <v>19</v>
      </c>
      <c r="W31" s="24">
        <f t="shared" si="10"/>
        <v>20</v>
      </c>
      <c r="X31" s="24">
        <f t="shared" si="10"/>
        <v>21</v>
      </c>
      <c r="Y31" s="24">
        <f t="shared" si="10"/>
        <v>22</v>
      </c>
    </row>
    <row r="32" spans="2:26" x14ac:dyDescent="0.2">
      <c r="B32" s="24" t="s">
        <v>219</v>
      </c>
      <c r="C32" s="29">
        <v>0.7</v>
      </c>
      <c r="D32" s="26">
        <v>0.67500000000000004</v>
      </c>
      <c r="E32" s="29">
        <v>0.65</v>
      </c>
      <c r="F32" s="26">
        <v>0.625</v>
      </c>
      <c r="G32" s="29">
        <v>0.6</v>
      </c>
      <c r="H32" s="29">
        <v>0.57499999999999996</v>
      </c>
      <c r="I32" s="29">
        <v>0.55000000000000004</v>
      </c>
      <c r="J32" s="29">
        <v>0.52500000000000002</v>
      </c>
      <c r="K32" s="29">
        <v>0.5</v>
      </c>
      <c r="L32" s="29">
        <f t="shared" ref="L32:Y32" si="11">K32</f>
        <v>0.5</v>
      </c>
      <c r="M32" s="29">
        <f t="shared" si="11"/>
        <v>0.5</v>
      </c>
      <c r="N32" s="29">
        <f t="shared" si="11"/>
        <v>0.5</v>
      </c>
      <c r="O32" s="29">
        <f t="shared" si="11"/>
        <v>0.5</v>
      </c>
      <c r="P32" s="29">
        <f t="shared" si="11"/>
        <v>0.5</v>
      </c>
      <c r="Q32" s="29">
        <f t="shared" si="11"/>
        <v>0.5</v>
      </c>
      <c r="R32" s="29">
        <f t="shared" si="11"/>
        <v>0.5</v>
      </c>
      <c r="S32" s="29">
        <f t="shared" si="11"/>
        <v>0.5</v>
      </c>
      <c r="T32" s="29">
        <f t="shared" si="11"/>
        <v>0.5</v>
      </c>
      <c r="U32" s="29">
        <f t="shared" si="11"/>
        <v>0.5</v>
      </c>
      <c r="V32" s="29">
        <f t="shared" si="11"/>
        <v>0.5</v>
      </c>
      <c r="W32" s="29">
        <f t="shared" si="11"/>
        <v>0.5</v>
      </c>
      <c r="X32" s="29">
        <f t="shared" si="11"/>
        <v>0.5</v>
      </c>
      <c r="Y32" s="29">
        <f t="shared" si="11"/>
        <v>0.5</v>
      </c>
    </row>
    <row r="33" spans="2:26" x14ac:dyDescent="0.2">
      <c r="B33" s="24" t="s">
        <v>218</v>
      </c>
      <c r="C33" s="25">
        <f>C32*-C5</f>
        <v>77000000</v>
      </c>
      <c r="D33" s="25">
        <f t="shared" ref="D33:Y33" si="12">D39*D32</f>
        <v>71365909.090909094</v>
      </c>
      <c r="E33" s="25">
        <f t="shared" si="12"/>
        <v>65945454.545454554</v>
      </c>
      <c r="F33" s="25">
        <f t="shared" si="12"/>
        <v>60738636.363636374</v>
      </c>
      <c r="G33" s="25">
        <f t="shared" si="12"/>
        <v>55745454.545454562</v>
      </c>
      <c r="H33" s="25">
        <f t="shared" si="12"/>
        <v>50965909.090909109</v>
      </c>
      <c r="I33" s="25">
        <f t="shared" si="12"/>
        <v>46400000.00000003</v>
      </c>
      <c r="J33" s="25">
        <f t="shared" si="12"/>
        <v>42047727.272727296</v>
      </c>
      <c r="K33" s="25">
        <f t="shared" si="12"/>
        <v>37909090.909090936</v>
      </c>
      <c r="L33" s="25">
        <f t="shared" si="12"/>
        <v>35772727.272727303</v>
      </c>
      <c r="M33" s="25">
        <f t="shared" si="12"/>
        <v>33636363.63636367</v>
      </c>
      <c r="N33" s="25">
        <f t="shared" si="12"/>
        <v>31500000.000000034</v>
      </c>
      <c r="O33" s="25">
        <f t="shared" si="12"/>
        <v>29363636.363636397</v>
      </c>
      <c r="P33" s="25">
        <f t="shared" si="12"/>
        <v>27227272.72727276</v>
      </c>
      <c r="Q33" s="25">
        <f t="shared" si="12"/>
        <v>25090909.090909123</v>
      </c>
      <c r="R33" s="25">
        <f t="shared" si="12"/>
        <v>22954545.454545487</v>
      </c>
      <c r="S33" s="25">
        <f t="shared" si="12"/>
        <v>20818181.81818185</v>
      </c>
      <c r="T33" s="25">
        <f t="shared" si="12"/>
        <v>18681818.181818213</v>
      </c>
      <c r="U33" s="25">
        <f t="shared" si="12"/>
        <v>16545454.545454577</v>
      </c>
      <c r="V33" s="25">
        <f t="shared" si="12"/>
        <v>14409090.90909094</v>
      </c>
      <c r="W33" s="25">
        <f t="shared" si="12"/>
        <v>12272727.272727303</v>
      </c>
      <c r="X33" s="25">
        <f t="shared" si="12"/>
        <v>10136363.636363667</v>
      </c>
      <c r="Y33" s="25">
        <f t="shared" si="12"/>
        <v>8000000.0000000298</v>
      </c>
    </row>
    <row r="34" spans="2:26" x14ac:dyDescent="0.2">
      <c r="B34" s="24" t="s">
        <v>217</v>
      </c>
      <c r="C34" s="25">
        <f>C32*-C18</f>
        <v>56000000</v>
      </c>
      <c r="D34" s="25">
        <f t="shared" ref="D34:Y34" si="13">D40*D32</f>
        <v>51827727.272727281</v>
      </c>
      <c r="E34" s="25">
        <f t="shared" si="13"/>
        <v>47816363.636363648</v>
      </c>
      <c r="F34" s="25">
        <f t="shared" si="13"/>
        <v>43965909.090909101</v>
      </c>
      <c r="G34" s="25">
        <f t="shared" si="13"/>
        <v>40276363.636363648</v>
      </c>
      <c r="H34" s="25">
        <f t="shared" si="13"/>
        <v>36747727.272727281</v>
      </c>
      <c r="I34" s="25">
        <f t="shared" si="13"/>
        <v>33380000.000000011</v>
      </c>
      <c r="J34" s="25">
        <f t="shared" si="13"/>
        <v>30173181.818181828</v>
      </c>
      <c r="K34" s="25">
        <f t="shared" si="13"/>
        <v>27127272.727272734</v>
      </c>
      <c r="L34" s="25">
        <f t="shared" si="13"/>
        <v>25518181.818181824</v>
      </c>
      <c r="M34" s="25">
        <f t="shared" si="13"/>
        <v>23909090.909090914</v>
      </c>
      <c r="N34" s="25">
        <f t="shared" si="13"/>
        <v>22300000.000000004</v>
      </c>
      <c r="O34" s="25">
        <f t="shared" si="13"/>
        <v>20690909.090909094</v>
      </c>
      <c r="P34" s="25">
        <f t="shared" si="13"/>
        <v>19081818.181818184</v>
      </c>
      <c r="Q34" s="25">
        <f t="shared" si="13"/>
        <v>17472727.272727273</v>
      </c>
      <c r="R34" s="25">
        <f t="shared" si="13"/>
        <v>15863636.363636363</v>
      </c>
      <c r="S34" s="25">
        <f t="shared" si="13"/>
        <v>14254545.454545453</v>
      </c>
      <c r="T34" s="25">
        <f t="shared" si="13"/>
        <v>12645454.545454543</v>
      </c>
      <c r="U34" s="25">
        <f t="shared" si="13"/>
        <v>11036363.636363633</v>
      </c>
      <c r="V34" s="25">
        <f t="shared" si="13"/>
        <v>9427272.7272727229</v>
      </c>
      <c r="W34" s="25">
        <f t="shared" si="13"/>
        <v>7818181.8181818137</v>
      </c>
      <c r="X34" s="25">
        <f t="shared" si="13"/>
        <v>6209090.9090909045</v>
      </c>
      <c r="Y34" s="25">
        <f t="shared" si="13"/>
        <v>4599999.9999999953</v>
      </c>
    </row>
    <row r="36" spans="2:26" x14ac:dyDescent="0.2">
      <c r="B36" s="24" t="s">
        <v>216</v>
      </c>
      <c r="C36" s="24">
        <v>0</v>
      </c>
      <c r="D36" s="24">
        <f t="shared" ref="D36:Y36" si="14">C36+1</f>
        <v>1</v>
      </c>
      <c r="E36" s="24">
        <f t="shared" si="14"/>
        <v>2</v>
      </c>
      <c r="F36" s="24">
        <f t="shared" si="14"/>
        <v>3</v>
      </c>
      <c r="G36" s="24">
        <f t="shared" si="14"/>
        <v>4</v>
      </c>
      <c r="H36" s="24">
        <f t="shared" si="14"/>
        <v>5</v>
      </c>
      <c r="I36" s="24">
        <f t="shared" si="14"/>
        <v>6</v>
      </c>
      <c r="J36" s="24">
        <f t="shared" si="14"/>
        <v>7</v>
      </c>
      <c r="K36" s="24">
        <f t="shared" si="14"/>
        <v>8</v>
      </c>
      <c r="L36" s="24">
        <f t="shared" si="14"/>
        <v>9</v>
      </c>
      <c r="M36" s="24">
        <f t="shared" si="14"/>
        <v>10</v>
      </c>
      <c r="N36" s="24">
        <f t="shared" si="14"/>
        <v>11</v>
      </c>
      <c r="O36" s="24">
        <f t="shared" si="14"/>
        <v>12</v>
      </c>
      <c r="P36" s="24">
        <f t="shared" si="14"/>
        <v>13</v>
      </c>
      <c r="Q36" s="24">
        <f t="shared" si="14"/>
        <v>14</v>
      </c>
      <c r="R36" s="24">
        <f t="shared" si="14"/>
        <v>15</v>
      </c>
      <c r="S36" s="24">
        <f t="shared" si="14"/>
        <v>16</v>
      </c>
      <c r="T36" s="24">
        <f t="shared" si="14"/>
        <v>17</v>
      </c>
      <c r="U36" s="24">
        <f t="shared" si="14"/>
        <v>18</v>
      </c>
      <c r="V36" s="24">
        <f t="shared" si="14"/>
        <v>19</v>
      </c>
      <c r="W36" s="24">
        <f t="shared" si="14"/>
        <v>20</v>
      </c>
      <c r="X36" s="24">
        <f t="shared" si="14"/>
        <v>21</v>
      </c>
      <c r="Y36" s="24">
        <f t="shared" si="14"/>
        <v>22</v>
      </c>
    </row>
    <row r="37" spans="2:26" x14ac:dyDescent="0.2">
      <c r="B37" s="24" t="s">
        <v>215</v>
      </c>
      <c r="D37" s="25">
        <f t="shared" ref="D37:Y37" si="15">(-$C$5-$Y$5)/22</f>
        <v>4272727.2727272725</v>
      </c>
      <c r="E37" s="25">
        <f t="shared" si="15"/>
        <v>4272727.2727272725</v>
      </c>
      <c r="F37" s="25">
        <f t="shared" si="15"/>
        <v>4272727.2727272725</v>
      </c>
      <c r="G37" s="25">
        <f t="shared" si="15"/>
        <v>4272727.2727272725</v>
      </c>
      <c r="H37" s="25">
        <f t="shared" si="15"/>
        <v>4272727.2727272725</v>
      </c>
      <c r="I37" s="25">
        <f t="shared" si="15"/>
        <v>4272727.2727272725</v>
      </c>
      <c r="J37" s="25">
        <f t="shared" si="15"/>
        <v>4272727.2727272725</v>
      </c>
      <c r="K37" s="25">
        <f t="shared" si="15"/>
        <v>4272727.2727272725</v>
      </c>
      <c r="L37" s="25">
        <f t="shared" si="15"/>
        <v>4272727.2727272725</v>
      </c>
      <c r="M37" s="25">
        <f t="shared" si="15"/>
        <v>4272727.2727272725</v>
      </c>
      <c r="N37" s="25">
        <f t="shared" si="15"/>
        <v>4272727.2727272725</v>
      </c>
      <c r="O37" s="25">
        <f t="shared" si="15"/>
        <v>4272727.2727272725</v>
      </c>
      <c r="P37" s="25">
        <f t="shared" si="15"/>
        <v>4272727.2727272725</v>
      </c>
      <c r="Q37" s="25">
        <f t="shared" si="15"/>
        <v>4272727.2727272725</v>
      </c>
      <c r="R37" s="25">
        <f t="shared" si="15"/>
        <v>4272727.2727272725</v>
      </c>
      <c r="S37" s="25">
        <f t="shared" si="15"/>
        <v>4272727.2727272725</v>
      </c>
      <c r="T37" s="25">
        <f t="shared" si="15"/>
        <v>4272727.2727272725</v>
      </c>
      <c r="U37" s="25">
        <f t="shared" si="15"/>
        <v>4272727.2727272725</v>
      </c>
      <c r="V37" s="25">
        <f t="shared" si="15"/>
        <v>4272727.2727272725</v>
      </c>
      <c r="W37" s="25">
        <f t="shared" si="15"/>
        <v>4272727.2727272725</v>
      </c>
      <c r="X37" s="25">
        <f t="shared" si="15"/>
        <v>4272727.2727272725</v>
      </c>
      <c r="Y37" s="25">
        <f t="shared" si="15"/>
        <v>4272727.2727272725</v>
      </c>
      <c r="Z37" s="25"/>
    </row>
    <row r="38" spans="2:26" x14ac:dyDescent="0.2">
      <c r="B38" s="24" t="s">
        <v>214</v>
      </c>
      <c r="D38" s="25">
        <f t="shared" ref="D38:Y38" si="16">(-$C$18-$Y$18)/22</f>
        <v>3218181.8181818184</v>
      </c>
      <c r="E38" s="25">
        <f t="shared" si="16"/>
        <v>3218181.8181818184</v>
      </c>
      <c r="F38" s="25">
        <f t="shared" si="16"/>
        <v>3218181.8181818184</v>
      </c>
      <c r="G38" s="25">
        <f t="shared" si="16"/>
        <v>3218181.8181818184</v>
      </c>
      <c r="H38" s="25">
        <f t="shared" si="16"/>
        <v>3218181.8181818184</v>
      </c>
      <c r="I38" s="25">
        <f t="shared" si="16"/>
        <v>3218181.8181818184</v>
      </c>
      <c r="J38" s="25">
        <f t="shared" si="16"/>
        <v>3218181.8181818184</v>
      </c>
      <c r="K38" s="25">
        <f t="shared" si="16"/>
        <v>3218181.8181818184</v>
      </c>
      <c r="L38" s="25">
        <f t="shared" si="16"/>
        <v>3218181.8181818184</v>
      </c>
      <c r="M38" s="25">
        <f t="shared" si="16"/>
        <v>3218181.8181818184</v>
      </c>
      <c r="N38" s="25">
        <f t="shared" si="16"/>
        <v>3218181.8181818184</v>
      </c>
      <c r="O38" s="25">
        <f t="shared" si="16"/>
        <v>3218181.8181818184</v>
      </c>
      <c r="P38" s="25">
        <f t="shared" si="16"/>
        <v>3218181.8181818184</v>
      </c>
      <c r="Q38" s="25">
        <f t="shared" si="16"/>
        <v>3218181.8181818184</v>
      </c>
      <c r="R38" s="25">
        <f t="shared" si="16"/>
        <v>3218181.8181818184</v>
      </c>
      <c r="S38" s="25">
        <f t="shared" si="16"/>
        <v>3218181.8181818184</v>
      </c>
      <c r="T38" s="25">
        <f t="shared" si="16"/>
        <v>3218181.8181818184</v>
      </c>
      <c r="U38" s="25">
        <f t="shared" si="16"/>
        <v>3218181.8181818184</v>
      </c>
      <c r="V38" s="25">
        <f t="shared" si="16"/>
        <v>3218181.8181818184</v>
      </c>
      <c r="W38" s="25">
        <f t="shared" si="16"/>
        <v>3218181.8181818184</v>
      </c>
      <c r="X38" s="25">
        <f t="shared" si="16"/>
        <v>3218181.8181818184</v>
      </c>
      <c r="Y38" s="25">
        <f t="shared" si="16"/>
        <v>3218181.8181818184</v>
      </c>
      <c r="Z38" s="25"/>
    </row>
    <row r="39" spans="2:26" x14ac:dyDescent="0.2">
      <c r="B39" s="24" t="s">
        <v>213</v>
      </c>
      <c r="C39" s="25">
        <f>-C5</f>
        <v>110000000</v>
      </c>
      <c r="D39" s="25">
        <f>-C5-D37</f>
        <v>105727272.72727273</v>
      </c>
      <c r="E39" s="25">
        <f t="shared" ref="E39:Y39" si="17">D39-E37</f>
        <v>101454545.45454547</v>
      </c>
      <c r="F39" s="25">
        <f t="shared" si="17"/>
        <v>97181818.181818202</v>
      </c>
      <c r="G39" s="25">
        <f t="shared" si="17"/>
        <v>92909090.909090936</v>
      </c>
      <c r="H39" s="25">
        <f t="shared" si="17"/>
        <v>88636363.63636367</v>
      </c>
      <c r="I39" s="25">
        <f t="shared" si="17"/>
        <v>84363636.363636404</v>
      </c>
      <c r="J39" s="25">
        <f t="shared" si="17"/>
        <v>80090909.090909138</v>
      </c>
      <c r="K39" s="25">
        <f t="shared" si="17"/>
        <v>75818181.818181872</v>
      </c>
      <c r="L39" s="25">
        <f t="shared" si="17"/>
        <v>71545454.545454606</v>
      </c>
      <c r="M39" s="25">
        <f t="shared" si="17"/>
        <v>67272727.27272734</v>
      </c>
      <c r="N39" s="25">
        <f t="shared" si="17"/>
        <v>63000000.000000067</v>
      </c>
      <c r="O39" s="25">
        <f t="shared" si="17"/>
        <v>58727272.727272794</v>
      </c>
      <c r="P39" s="25">
        <f t="shared" si="17"/>
        <v>54454545.45454552</v>
      </c>
      <c r="Q39" s="25">
        <f t="shared" si="17"/>
        <v>50181818.181818247</v>
      </c>
      <c r="R39" s="25">
        <f t="shared" si="17"/>
        <v>45909090.909090973</v>
      </c>
      <c r="S39" s="25">
        <f t="shared" si="17"/>
        <v>41636363.6363637</v>
      </c>
      <c r="T39" s="25">
        <f t="shared" si="17"/>
        <v>37363636.363636427</v>
      </c>
      <c r="U39" s="25">
        <f t="shared" si="17"/>
        <v>33090909.090909153</v>
      </c>
      <c r="V39" s="25">
        <f t="shared" si="17"/>
        <v>28818181.81818188</v>
      </c>
      <c r="W39" s="25">
        <f t="shared" si="17"/>
        <v>24545454.545454606</v>
      </c>
      <c r="X39" s="25">
        <f t="shared" si="17"/>
        <v>20272727.272727333</v>
      </c>
      <c r="Y39" s="25">
        <f t="shared" si="17"/>
        <v>16000000.00000006</v>
      </c>
    </row>
    <row r="40" spans="2:26" x14ac:dyDescent="0.2">
      <c r="B40" s="24" t="s">
        <v>212</v>
      </c>
      <c r="C40" s="25">
        <f>-C18</f>
        <v>80000000</v>
      </c>
      <c r="D40" s="25">
        <f>-C18-D38</f>
        <v>76781818.181818187</v>
      </c>
      <c r="E40" s="25">
        <f t="shared" ref="E40:Y40" si="18">D40-E38</f>
        <v>73563636.363636374</v>
      </c>
      <c r="F40" s="25">
        <f t="shared" si="18"/>
        <v>70345454.545454562</v>
      </c>
      <c r="G40" s="25">
        <f t="shared" si="18"/>
        <v>67127272.727272749</v>
      </c>
      <c r="H40" s="25">
        <f t="shared" si="18"/>
        <v>63909090.909090929</v>
      </c>
      <c r="I40" s="25">
        <f t="shared" si="18"/>
        <v>60690909.090909109</v>
      </c>
      <c r="J40" s="25">
        <f t="shared" si="18"/>
        <v>57472727.272727288</v>
      </c>
      <c r="K40" s="25">
        <f t="shared" si="18"/>
        <v>54254545.454545468</v>
      </c>
      <c r="L40" s="25">
        <f t="shared" si="18"/>
        <v>51036363.636363648</v>
      </c>
      <c r="M40" s="25">
        <f t="shared" si="18"/>
        <v>47818181.818181828</v>
      </c>
      <c r="N40" s="25">
        <f t="shared" si="18"/>
        <v>44600000.000000007</v>
      </c>
      <c r="O40" s="25">
        <f t="shared" si="18"/>
        <v>41381818.181818187</v>
      </c>
      <c r="P40" s="25">
        <f t="shared" si="18"/>
        <v>38163636.363636367</v>
      </c>
      <c r="Q40" s="25">
        <f t="shared" si="18"/>
        <v>34945454.545454547</v>
      </c>
      <c r="R40" s="25">
        <f t="shared" si="18"/>
        <v>31727272.727272727</v>
      </c>
      <c r="S40" s="25">
        <f t="shared" si="18"/>
        <v>28509090.909090906</v>
      </c>
      <c r="T40" s="25">
        <f t="shared" si="18"/>
        <v>25290909.090909086</v>
      </c>
      <c r="U40" s="25">
        <f t="shared" si="18"/>
        <v>22072727.272727266</v>
      </c>
      <c r="V40" s="25">
        <f t="shared" si="18"/>
        <v>18854545.454545446</v>
      </c>
      <c r="W40" s="25">
        <f t="shared" si="18"/>
        <v>15636363.636363627</v>
      </c>
      <c r="X40" s="25">
        <f t="shared" si="18"/>
        <v>12418181.818181809</v>
      </c>
      <c r="Y40" s="25">
        <f t="shared" si="18"/>
        <v>9199999.9999999907</v>
      </c>
    </row>
    <row r="43" spans="2:26" x14ac:dyDescent="0.2">
      <c r="C43" s="24">
        <v>1</v>
      </c>
      <c r="D43" s="24">
        <f>C43+1</f>
        <v>2</v>
      </c>
      <c r="E43" s="24">
        <f t="shared" ref="E43:X43" si="19">D43+1</f>
        <v>3</v>
      </c>
      <c r="F43" s="24">
        <f t="shared" si="19"/>
        <v>4</v>
      </c>
      <c r="G43" s="24">
        <f t="shared" si="19"/>
        <v>5</v>
      </c>
      <c r="H43" s="24">
        <f t="shared" si="19"/>
        <v>6</v>
      </c>
      <c r="I43" s="24">
        <f t="shared" si="19"/>
        <v>7</v>
      </c>
      <c r="J43" s="24">
        <f t="shared" si="19"/>
        <v>8</v>
      </c>
      <c r="K43" s="24">
        <f t="shared" si="19"/>
        <v>9</v>
      </c>
      <c r="L43" s="24">
        <f t="shared" si="19"/>
        <v>10</v>
      </c>
      <c r="M43" s="24">
        <f t="shared" si="19"/>
        <v>11</v>
      </c>
      <c r="N43" s="24">
        <f t="shared" si="19"/>
        <v>12</v>
      </c>
      <c r="O43" s="24">
        <f t="shared" si="19"/>
        <v>13</v>
      </c>
      <c r="P43" s="24">
        <f t="shared" si="19"/>
        <v>14</v>
      </c>
      <c r="Q43" s="24">
        <f t="shared" si="19"/>
        <v>15</v>
      </c>
      <c r="R43" s="24">
        <f t="shared" si="19"/>
        <v>16</v>
      </c>
      <c r="S43" s="24">
        <f t="shared" si="19"/>
        <v>17</v>
      </c>
      <c r="T43" s="24">
        <f t="shared" si="19"/>
        <v>18</v>
      </c>
      <c r="U43" s="24">
        <f t="shared" si="19"/>
        <v>19</v>
      </c>
      <c r="V43" s="24">
        <f t="shared" si="19"/>
        <v>20</v>
      </c>
      <c r="W43" s="24">
        <f t="shared" si="19"/>
        <v>21</v>
      </c>
      <c r="X43" s="24">
        <f t="shared" si="19"/>
        <v>22</v>
      </c>
    </row>
    <row r="44" spans="2:26" x14ac:dyDescent="0.2">
      <c r="B44" s="24" t="s">
        <v>316</v>
      </c>
      <c r="C44" s="25">
        <f t="shared" ref="C44:X44" si="20">D7*(1.24-C43*$C$47)</f>
        <v>15397521.238979783</v>
      </c>
      <c r="D44" s="25">
        <f t="shared" si="20"/>
        <v>15145102.858012902</v>
      </c>
      <c r="E44" s="25">
        <f>F7*(1.24-E43*$C$47)</f>
        <v>14892684.47704602</v>
      </c>
      <c r="F44" s="25">
        <f t="shared" si="20"/>
        <v>14640266.096079137</v>
      </c>
      <c r="G44" s="25">
        <f>H7*(1.24-G43*$C$47)</f>
        <v>14387847.715112256</v>
      </c>
      <c r="H44" s="25">
        <f t="shared" si="20"/>
        <v>14135429.334145376</v>
      </c>
      <c r="I44" s="25">
        <f t="shared" si="20"/>
        <v>13883010.953178495</v>
      </c>
      <c r="J44" s="25">
        <f t="shared" si="20"/>
        <v>13630592.572211612</v>
      </c>
      <c r="K44" s="25">
        <f t="shared" si="20"/>
        <v>13378174.191244731</v>
      </c>
      <c r="L44" s="25">
        <f t="shared" si="20"/>
        <v>13125755.810277849</v>
      </c>
      <c r="M44" s="25">
        <f t="shared" si="20"/>
        <v>12873337.429310966</v>
      </c>
      <c r="N44" s="25">
        <f t="shared" si="20"/>
        <v>12620919.048344085</v>
      </c>
      <c r="O44" s="25">
        <f t="shared" si="20"/>
        <v>12368500.667377204</v>
      </c>
      <c r="P44" s="25">
        <f t="shared" si="20"/>
        <v>12116082.286410321</v>
      </c>
      <c r="Q44" s="25">
        <f t="shared" si="20"/>
        <v>11863663.905443439</v>
      </c>
      <c r="R44" s="25">
        <f t="shared" si="20"/>
        <v>11611245.524476558</v>
      </c>
      <c r="S44" s="25">
        <f t="shared" si="20"/>
        <v>11358827.143509675</v>
      </c>
      <c r="T44" s="25">
        <f t="shared" si="20"/>
        <v>11106408.762542795</v>
      </c>
      <c r="U44" s="25">
        <f t="shared" si="20"/>
        <v>10853990.381575912</v>
      </c>
      <c r="V44" s="25">
        <f t="shared" si="20"/>
        <v>10601572.000609031</v>
      </c>
      <c r="W44" s="25">
        <f t="shared" si="20"/>
        <v>10349153.61964215</v>
      </c>
      <c r="X44" s="25">
        <f t="shared" si="20"/>
        <v>10096735.238675268</v>
      </c>
      <c r="Y44" s="25"/>
    </row>
    <row r="45" spans="2:26" x14ac:dyDescent="0.2">
      <c r="B45" s="24" t="s">
        <v>315</v>
      </c>
      <c r="C45" s="25">
        <f>D20*(1.24-$C$47*C43)</f>
        <v>11813822.00590815</v>
      </c>
      <c r="D45" s="25">
        <f t="shared" ref="D45:X45" si="21">E20*(1.24-$C$47*D43)</f>
        <v>11620152.792696541</v>
      </c>
      <c r="E45" s="25">
        <f t="shared" si="21"/>
        <v>11426483.57948493</v>
      </c>
      <c r="F45" s="25">
        <f t="shared" si="21"/>
        <v>11232814.366273321</v>
      </c>
      <c r="G45" s="25">
        <f t="shared" si="21"/>
        <v>11039145.153061712</v>
      </c>
      <c r="H45" s="25">
        <f t="shared" si="21"/>
        <v>10845475.939850105</v>
      </c>
      <c r="I45" s="25">
        <f t="shared" si="21"/>
        <v>10651806.726638496</v>
      </c>
      <c r="J45" s="25">
        <f t="shared" si="21"/>
        <v>10458137.513426887</v>
      </c>
      <c r="K45" s="25">
        <f t="shared" si="21"/>
        <v>10264468.300215278</v>
      </c>
      <c r="L45" s="25">
        <f t="shared" si="21"/>
        <v>10070799.087003669</v>
      </c>
      <c r="M45" s="25">
        <f t="shared" si="21"/>
        <v>9877129.8737920597</v>
      </c>
      <c r="N45" s="25">
        <f t="shared" si="21"/>
        <v>9683460.6605804507</v>
      </c>
      <c r="O45" s="25">
        <f t="shared" si="21"/>
        <v>9489791.4473688416</v>
      </c>
      <c r="P45" s="25">
        <f t="shared" si="21"/>
        <v>9296122.2341572326</v>
      </c>
      <c r="Q45" s="25">
        <f t="shared" si="21"/>
        <v>9102453.0209456235</v>
      </c>
      <c r="R45" s="25">
        <f t="shared" si="21"/>
        <v>8908783.8077340145</v>
      </c>
      <c r="S45" s="25">
        <f t="shared" si="21"/>
        <v>8715114.5945224054</v>
      </c>
      <c r="T45" s="25">
        <f t="shared" si="21"/>
        <v>8521445.3813107964</v>
      </c>
      <c r="U45" s="25">
        <f t="shared" si="21"/>
        <v>8327776.1680991873</v>
      </c>
      <c r="V45" s="25">
        <f t="shared" si="21"/>
        <v>8134106.9548875783</v>
      </c>
      <c r="W45" s="25">
        <f t="shared" si="21"/>
        <v>7940437.7416759701</v>
      </c>
      <c r="X45" s="25">
        <f t="shared" si="21"/>
        <v>7746768.5284643611</v>
      </c>
      <c r="Y45" s="25"/>
    </row>
    <row r="47" spans="2:26" x14ac:dyDescent="0.2">
      <c r="B47" s="24" t="s">
        <v>332</v>
      </c>
      <c r="C47" s="29">
        <v>0.02</v>
      </c>
    </row>
    <row r="49" spans="2:25" x14ac:dyDescent="0.2">
      <c r="C49" s="79" t="s">
        <v>291</v>
      </c>
      <c r="D49" s="79" t="s">
        <v>292</v>
      </c>
      <c r="E49" s="79" t="s">
        <v>293</v>
      </c>
      <c r="F49" s="79" t="s">
        <v>294</v>
      </c>
      <c r="G49" s="79" t="s">
        <v>295</v>
      </c>
      <c r="H49" s="79" t="s">
        <v>296</v>
      </c>
      <c r="I49" s="79" t="s">
        <v>297</v>
      </c>
      <c r="J49" s="79" t="s">
        <v>298</v>
      </c>
      <c r="K49" s="79" t="s">
        <v>299</v>
      </c>
      <c r="L49" s="79" t="s">
        <v>300</v>
      </c>
      <c r="M49" s="79" t="s">
        <v>301</v>
      </c>
      <c r="N49" s="79" t="s">
        <v>302</v>
      </c>
      <c r="O49" s="79" t="s">
        <v>303</v>
      </c>
      <c r="P49" s="79" t="s">
        <v>304</v>
      </c>
      <c r="Q49" s="79" t="s">
        <v>305</v>
      </c>
      <c r="R49" s="79" t="s">
        <v>306</v>
      </c>
      <c r="S49" s="79" t="s">
        <v>307</v>
      </c>
      <c r="T49" s="79" t="s">
        <v>308</v>
      </c>
      <c r="U49" s="79" t="s">
        <v>309</v>
      </c>
      <c r="V49" s="79" t="s">
        <v>310</v>
      </c>
      <c r="W49" s="79" t="s">
        <v>311</v>
      </c>
      <c r="X49" s="79" t="s">
        <v>312</v>
      </c>
    </row>
    <row r="50" spans="2:25" x14ac:dyDescent="0.2">
      <c r="B50" s="96" t="s">
        <v>375</v>
      </c>
      <c r="C50" s="24">
        <f>49500</f>
        <v>49500</v>
      </c>
      <c r="D50" s="24">
        <f>49500</f>
        <v>49500</v>
      </c>
      <c r="E50" s="24">
        <f>49500</f>
        <v>49500</v>
      </c>
      <c r="F50" s="25">
        <f>F44/(365*0.95)</f>
        <v>42221.387443631254</v>
      </c>
      <c r="G50" s="25">
        <f t="shared" ref="G50:X50" si="22">G44/(365*0.95)</f>
        <v>41493.432487706581</v>
      </c>
      <c r="H50" s="25">
        <f t="shared" si="22"/>
        <v>40765.477531781908</v>
      </c>
      <c r="I50" s="25">
        <f t="shared" si="22"/>
        <v>40037.522575857234</v>
      </c>
      <c r="J50" s="25">
        <f t="shared" si="22"/>
        <v>39309.567619932553</v>
      </c>
      <c r="K50" s="25">
        <f t="shared" si="22"/>
        <v>38581.612664007873</v>
      </c>
      <c r="L50" s="25">
        <f t="shared" si="22"/>
        <v>37853.657708083199</v>
      </c>
      <c r="M50" s="25">
        <f t="shared" si="22"/>
        <v>37125.702752158519</v>
      </c>
      <c r="N50" s="25">
        <f t="shared" si="22"/>
        <v>36397.747796233845</v>
      </c>
      <c r="O50" s="25">
        <f t="shared" si="22"/>
        <v>35669.792840309165</v>
      </c>
      <c r="P50" s="25">
        <f t="shared" si="22"/>
        <v>34941.837884384484</v>
      </c>
      <c r="Q50" s="25">
        <f t="shared" si="22"/>
        <v>34213.882928459811</v>
      </c>
      <c r="R50" s="25">
        <f t="shared" si="22"/>
        <v>33485.927972535137</v>
      </c>
      <c r="S50" s="25">
        <f t="shared" si="22"/>
        <v>32757.973016610453</v>
      </c>
      <c r="T50" s="25">
        <f t="shared" si="22"/>
        <v>32030.018060685783</v>
      </c>
      <c r="U50" s="25">
        <f t="shared" si="22"/>
        <v>31302.063104761102</v>
      </c>
      <c r="V50" s="25">
        <f t="shared" si="22"/>
        <v>30574.108148836425</v>
      </c>
      <c r="W50" s="25">
        <f t="shared" si="22"/>
        <v>29846.153192911752</v>
      </c>
      <c r="X50" s="25">
        <f t="shared" si="22"/>
        <v>29118.198236987075</v>
      </c>
    </row>
    <row r="51" spans="2:25" x14ac:dyDescent="0.2">
      <c r="B51" s="96" t="s">
        <v>376</v>
      </c>
      <c r="C51" s="24">
        <v>43000</v>
      </c>
      <c r="D51" s="24">
        <v>43000</v>
      </c>
      <c r="E51" s="24">
        <v>43000</v>
      </c>
      <c r="F51" s="25">
        <f>F45/(365*0.95)</f>
        <v>32394.561979158821</v>
      </c>
      <c r="G51" s="25">
        <f t="shared" ref="G51:X51" si="23">G45/(365*0.95)</f>
        <v>31836.035048483667</v>
      </c>
      <c r="H51" s="25">
        <f t="shared" si="23"/>
        <v>31277.50811780852</v>
      </c>
      <c r="I51" s="25">
        <f t="shared" si="23"/>
        <v>30718.98118713337</v>
      </c>
      <c r="J51" s="25">
        <f t="shared" si="23"/>
        <v>30160.454256458219</v>
      </c>
      <c r="K51" s="25">
        <f t="shared" si="23"/>
        <v>29601.927325783065</v>
      </c>
      <c r="L51" s="25">
        <f t="shared" si="23"/>
        <v>29043.400395107914</v>
      </c>
      <c r="M51" s="25">
        <f t="shared" si="23"/>
        <v>28484.87346443276</v>
      </c>
      <c r="N51" s="25">
        <f t="shared" si="23"/>
        <v>27926.346533757609</v>
      </c>
      <c r="O51" s="25">
        <f t="shared" si="23"/>
        <v>27367.819603082455</v>
      </c>
      <c r="P51" s="25">
        <f t="shared" si="23"/>
        <v>26809.292672407304</v>
      </c>
      <c r="Q51" s="25">
        <f t="shared" si="23"/>
        <v>26250.76574173215</v>
      </c>
      <c r="R51" s="25">
        <f t="shared" si="23"/>
        <v>25692.238811056999</v>
      </c>
      <c r="S51" s="25">
        <f t="shared" si="23"/>
        <v>25133.711880381848</v>
      </c>
      <c r="T51" s="25">
        <f t="shared" si="23"/>
        <v>24575.184949706694</v>
      </c>
      <c r="U51" s="25">
        <f t="shared" si="23"/>
        <v>24016.658019031544</v>
      </c>
      <c r="V51" s="25">
        <f t="shared" si="23"/>
        <v>23458.131088356389</v>
      </c>
      <c r="W51" s="25">
        <f t="shared" si="23"/>
        <v>22899.604157681242</v>
      </c>
      <c r="X51" s="25">
        <f t="shared" si="23"/>
        <v>22341.077227006088</v>
      </c>
    </row>
    <row r="53" spans="2:25" x14ac:dyDescent="0.2">
      <c r="F53" s="24">
        <v>20000</v>
      </c>
    </row>
    <row r="54" spans="2:25" x14ac:dyDescent="0.2">
      <c r="F54" s="24">
        <f>F53*365*0.95</f>
        <v>6935000</v>
      </c>
    </row>
    <row r="55" spans="2:25" x14ac:dyDescent="0.2">
      <c r="F55" s="24">
        <f>F54/(365*0.95)</f>
        <v>20000</v>
      </c>
    </row>
    <row r="60" spans="2:25" x14ac:dyDescent="0.2">
      <c r="B60" s="95" t="s">
        <v>0</v>
      </c>
      <c r="C60" s="24">
        <f>C4</f>
        <v>0</v>
      </c>
      <c r="D60" s="24">
        <f t="shared" ref="D60:Y60" si="24">D4</f>
        <v>1</v>
      </c>
      <c r="E60" s="24">
        <f t="shared" si="24"/>
        <v>2</v>
      </c>
      <c r="F60" s="24">
        <f t="shared" si="24"/>
        <v>3</v>
      </c>
      <c r="G60" s="24">
        <f t="shared" si="24"/>
        <v>4</v>
      </c>
      <c r="H60" s="24">
        <f t="shared" si="24"/>
        <v>5</v>
      </c>
      <c r="I60" s="24">
        <f t="shared" si="24"/>
        <v>6</v>
      </c>
      <c r="J60" s="24">
        <f t="shared" si="24"/>
        <v>7</v>
      </c>
      <c r="K60" s="24">
        <f t="shared" si="24"/>
        <v>8</v>
      </c>
      <c r="L60" s="24">
        <f t="shared" si="24"/>
        <v>9</v>
      </c>
      <c r="M60" s="24">
        <f t="shared" si="24"/>
        <v>10</v>
      </c>
      <c r="N60" s="24">
        <f t="shared" si="24"/>
        <v>11</v>
      </c>
      <c r="O60" s="24">
        <f t="shared" si="24"/>
        <v>12</v>
      </c>
      <c r="P60" s="24">
        <f t="shared" si="24"/>
        <v>13</v>
      </c>
      <c r="Q60" s="24">
        <f t="shared" si="24"/>
        <v>14</v>
      </c>
      <c r="R60" s="24">
        <f t="shared" si="24"/>
        <v>15</v>
      </c>
      <c r="S60" s="24">
        <f t="shared" si="24"/>
        <v>16</v>
      </c>
      <c r="T60" s="24">
        <f t="shared" si="24"/>
        <v>17</v>
      </c>
      <c r="U60" s="24">
        <f t="shared" si="24"/>
        <v>18</v>
      </c>
      <c r="V60" s="24">
        <f t="shared" si="24"/>
        <v>19</v>
      </c>
      <c r="W60" s="24">
        <f t="shared" si="24"/>
        <v>20</v>
      </c>
      <c r="X60" s="24">
        <f t="shared" si="24"/>
        <v>21</v>
      </c>
      <c r="Y60" s="24">
        <f t="shared" si="24"/>
        <v>22</v>
      </c>
    </row>
    <row r="61" spans="2:25" x14ac:dyDescent="0.2">
      <c r="B61" s="95" t="s">
        <v>221</v>
      </c>
      <c r="C61" s="25">
        <f>C7/1000000</f>
        <v>0</v>
      </c>
      <c r="D61" s="25">
        <f t="shared" ref="D61:Y61" si="25">D7/1000000</f>
        <v>12.620919048344085</v>
      </c>
      <c r="E61" s="25">
        <f t="shared" si="25"/>
        <v>12.620919048344085</v>
      </c>
      <c r="F61" s="25">
        <f t="shared" si="25"/>
        <v>12.620919048344085</v>
      </c>
      <c r="G61" s="25">
        <f t="shared" si="25"/>
        <v>12.620919048344085</v>
      </c>
      <c r="H61" s="25">
        <f t="shared" si="25"/>
        <v>12.620919048344085</v>
      </c>
      <c r="I61" s="25">
        <f t="shared" si="25"/>
        <v>12.620919048344085</v>
      </c>
      <c r="J61" s="25">
        <f t="shared" si="25"/>
        <v>12.620919048344085</v>
      </c>
      <c r="K61" s="25">
        <f t="shared" si="25"/>
        <v>12.620919048344085</v>
      </c>
      <c r="L61" s="25">
        <f t="shared" si="25"/>
        <v>12.620919048344085</v>
      </c>
      <c r="M61" s="25">
        <f t="shared" si="25"/>
        <v>12.620919048344085</v>
      </c>
      <c r="N61" s="25">
        <f t="shared" si="25"/>
        <v>12.620919048344085</v>
      </c>
      <c r="O61" s="25">
        <f t="shared" si="25"/>
        <v>12.620919048344085</v>
      </c>
      <c r="P61" s="25">
        <f t="shared" si="25"/>
        <v>12.620919048344085</v>
      </c>
      <c r="Q61" s="25">
        <f t="shared" si="25"/>
        <v>12.620919048344085</v>
      </c>
      <c r="R61" s="25">
        <f t="shared" si="25"/>
        <v>12.620919048344085</v>
      </c>
      <c r="S61" s="25">
        <f t="shared" si="25"/>
        <v>12.620919048344085</v>
      </c>
      <c r="T61" s="25">
        <f t="shared" si="25"/>
        <v>12.620919048344085</v>
      </c>
      <c r="U61" s="25">
        <f t="shared" si="25"/>
        <v>12.620919048344085</v>
      </c>
      <c r="V61" s="25">
        <f t="shared" si="25"/>
        <v>12.620919048344085</v>
      </c>
      <c r="W61" s="25">
        <f t="shared" si="25"/>
        <v>12.620919048344085</v>
      </c>
      <c r="X61" s="25">
        <f t="shared" si="25"/>
        <v>12.620919048344085</v>
      </c>
      <c r="Y61" s="25">
        <f t="shared" si="25"/>
        <v>12.620919048344085</v>
      </c>
    </row>
    <row r="62" spans="2:25" x14ac:dyDescent="0.2">
      <c r="B62" s="95" t="s">
        <v>227</v>
      </c>
      <c r="C62" s="25">
        <f>C10/1000000</f>
        <v>77</v>
      </c>
      <c r="D62" s="25">
        <f t="shared" ref="D62:Y62" si="26">D10/1000000</f>
        <v>-5.6340909090909062</v>
      </c>
      <c r="E62" s="25">
        <f t="shared" si="26"/>
        <v>-5.4204545454545396</v>
      </c>
      <c r="F62" s="25">
        <f t="shared" si="26"/>
        <v>-5.2068181818181793</v>
      </c>
      <c r="G62" s="25">
        <f t="shared" si="26"/>
        <v>-4.9931818181818128</v>
      </c>
      <c r="H62" s="25">
        <f t="shared" si="26"/>
        <v>-4.7795454545454534</v>
      </c>
      <c r="I62" s="25">
        <f t="shared" si="26"/>
        <v>-4.5659090909090789</v>
      </c>
      <c r="J62" s="25">
        <f t="shared" si="26"/>
        <v>-4.3522727272727337</v>
      </c>
      <c r="K62" s="25">
        <f t="shared" si="26"/>
        <v>-4.1386363636363592</v>
      </c>
      <c r="L62" s="25">
        <f t="shared" si="26"/>
        <v>-2.1363636363636331</v>
      </c>
      <c r="M62" s="25">
        <f t="shared" si="26"/>
        <v>-2.1363636363636331</v>
      </c>
      <c r="N62" s="25">
        <f t="shared" si="26"/>
        <v>-2.1363636363636367</v>
      </c>
      <c r="O62" s="25">
        <f t="shared" si="26"/>
        <v>-2.1363636363636367</v>
      </c>
      <c r="P62" s="25">
        <f t="shared" si="26"/>
        <v>-2.1363636363636367</v>
      </c>
      <c r="Q62" s="25">
        <f t="shared" si="26"/>
        <v>-2.1363636363636367</v>
      </c>
      <c r="R62" s="25">
        <f t="shared" si="26"/>
        <v>-2.1363636363636367</v>
      </c>
      <c r="S62" s="25">
        <f t="shared" si="26"/>
        <v>-2.1363636363636367</v>
      </c>
      <c r="T62" s="25">
        <f t="shared" si="26"/>
        <v>-2.1363636363636367</v>
      </c>
      <c r="U62" s="25">
        <f t="shared" si="26"/>
        <v>-2.1363636363636367</v>
      </c>
      <c r="V62" s="25">
        <f t="shared" si="26"/>
        <v>-2.1363636363636367</v>
      </c>
      <c r="W62" s="25">
        <f t="shared" si="26"/>
        <v>-2.1363636363636367</v>
      </c>
      <c r="X62" s="25">
        <f t="shared" si="26"/>
        <v>-2.1363636363636367</v>
      </c>
      <c r="Y62" s="25">
        <f t="shared" si="26"/>
        <v>-10.136363636363667</v>
      </c>
    </row>
    <row r="63" spans="2:25" x14ac:dyDescent="0.2">
      <c r="B63" s="95" t="s">
        <v>255</v>
      </c>
      <c r="C63" s="25">
        <f>C21/1000000</f>
        <v>0</v>
      </c>
      <c r="D63" s="25">
        <f t="shared" ref="D63:Y63" si="27">D21/1000000</f>
        <v>-2.6961965999999999</v>
      </c>
      <c r="E63" s="25">
        <f t="shared" si="27"/>
        <v>-2.750120532</v>
      </c>
      <c r="F63" s="25">
        <f t="shared" si="27"/>
        <v>-2.8051229426400002</v>
      </c>
      <c r="G63" s="25">
        <f t="shared" si="27"/>
        <v>-2.8612254014928</v>
      </c>
      <c r="H63" s="25">
        <f t="shared" si="27"/>
        <v>-2.9184499095226557</v>
      </c>
      <c r="I63" s="25">
        <f t="shared" si="27"/>
        <v>-2.9768189077131093</v>
      </c>
      <c r="J63" s="25">
        <f t="shared" si="27"/>
        <v>-3.0363552858673706</v>
      </c>
      <c r="K63" s="25">
        <f t="shared" si="27"/>
        <v>-3.0970823915847188</v>
      </c>
      <c r="L63" s="25">
        <f t="shared" si="27"/>
        <v>-3.1590240394164129</v>
      </c>
      <c r="M63" s="25">
        <f t="shared" si="27"/>
        <v>-3.2222045202047416</v>
      </c>
      <c r="N63" s="25">
        <f t="shared" si="27"/>
        <v>-3.2866486106088355</v>
      </c>
      <c r="O63" s="25">
        <f t="shared" si="27"/>
        <v>-3.3523815828210131</v>
      </c>
      <c r="P63" s="25">
        <f t="shared" si="27"/>
        <v>-3.4194292144774328</v>
      </c>
      <c r="Q63" s="25">
        <f t="shared" si="27"/>
        <v>-3.4878177987669816</v>
      </c>
      <c r="R63" s="25">
        <f t="shared" si="27"/>
        <v>-3.5575741547423205</v>
      </c>
      <c r="S63" s="25">
        <f t="shared" si="27"/>
        <v>-3.6287256378371673</v>
      </c>
      <c r="T63" s="25">
        <f t="shared" si="27"/>
        <v>-3.7013001505939114</v>
      </c>
      <c r="U63" s="25">
        <f t="shared" si="27"/>
        <v>-3.7753261536057892</v>
      </c>
      <c r="V63" s="25">
        <f t="shared" si="27"/>
        <v>-3.8508326766779044</v>
      </c>
      <c r="W63" s="25">
        <f t="shared" si="27"/>
        <v>-3.9278493302114628</v>
      </c>
      <c r="X63" s="25">
        <f t="shared" si="27"/>
        <v>-4.006406316815692</v>
      </c>
      <c r="Y63" s="25">
        <f t="shared" si="27"/>
        <v>-4.0865344431520061</v>
      </c>
    </row>
    <row r="64" spans="2:25" x14ac:dyDescent="0.2">
      <c r="B64" s="95" t="s">
        <v>371</v>
      </c>
      <c r="C64" s="25">
        <f>C23/1000000</f>
        <v>0</v>
      </c>
      <c r="D64" s="25">
        <f t="shared" ref="D64:Y64" si="28">D23/1000000</f>
        <v>0</v>
      </c>
      <c r="E64" s="25">
        <f t="shared" si="28"/>
        <v>0</v>
      </c>
      <c r="F64" s="25">
        <f t="shared" si="28"/>
        <v>0</v>
      </c>
      <c r="G64" s="25">
        <f t="shared" si="28"/>
        <v>0</v>
      </c>
      <c r="H64" s="25">
        <f t="shared" si="28"/>
        <v>-1.5</v>
      </c>
      <c r="I64" s="25">
        <f t="shared" si="28"/>
        <v>0</v>
      </c>
      <c r="J64" s="25">
        <f t="shared" si="28"/>
        <v>0</v>
      </c>
      <c r="K64" s="25">
        <f t="shared" si="28"/>
        <v>0</v>
      </c>
      <c r="L64" s="25">
        <f t="shared" si="28"/>
        <v>0</v>
      </c>
      <c r="M64" s="25">
        <f t="shared" si="28"/>
        <v>-2</v>
      </c>
      <c r="N64" s="25">
        <f t="shared" si="28"/>
        <v>0</v>
      </c>
      <c r="O64" s="25">
        <f t="shared" si="28"/>
        <v>0</v>
      </c>
      <c r="P64" s="25">
        <f t="shared" si="28"/>
        <v>0</v>
      </c>
      <c r="Q64" s="25">
        <f t="shared" si="28"/>
        <v>0</v>
      </c>
      <c r="R64" s="25">
        <f t="shared" si="28"/>
        <v>-2.5</v>
      </c>
      <c r="S64" s="25">
        <f t="shared" si="28"/>
        <v>0</v>
      </c>
      <c r="T64" s="25">
        <f t="shared" si="28"/>
        <v>0</v>
      </c>
      <c r="U64" s="25">
        <f t="shared" si="28"/>
        <v>-3.25</v>
      </c>
      <c r="V64" s="25">
        <f t="shared" si="28"/>
        <v>0</v>
      </c>
      <c r="W64" s="25">
        <f t="shared" si="28"/>
        <v>-4</v>
      </c>
      <c r="X64" s="25">
        <f t="shared" si="28"/>
        <v>0</v>
      </c>
      <c r="Y64" s="25">
        <f t="shared" si="28"/>
        <v>0</v>
      </c>
    </row>
  </sheetData>
  <phoneticPr fontId="7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70C84-E222-0843-9E54-77615762D600}">
  <dimension ref="B2:CC61"/>
  <sheetViews>
    <sheetView zoomScale="80" zoomScaleNormal="90" workbookViewId="0">
      <selection activeCell="L31" sqref="L31"/>
    </sheetView>
  </sheetViews>
  <sheetFormatPr baseColWidth="10" defaultRowHeight="15" x14ac:dyDescent="0.2"/>
  <cols>
    <col min="2" max="2" width="17.83203125" bestFit="1" customWidth="1"/>
    <col min="3" max="3" width="18.83203125" customWidth="1"/>
    <col min="4" max="4" width="11.83203125" bestFit="1" customWidth="1"/>
    <col min="28" max="28" width="14.83203125" customWidth="1"/>
    <col min="29" max="30" width="12.1640625" customWidth="1"/>
    <col min="31" max="32" width="13" customWidth="1"/>
    <col min="50" max="50" width="14.1640625" customWidth="1"/>
    <col min="51" max="51" width="12.6640625" bestFit="1" customWidth="1"/>
  </cols>
  <sheetData>
    <row r="2" spans="2:81" x14ac:dyDescent="0.2">
      <c r="B2" t="s">
        <v>282</v>
      </c>
      <c r="AB2">
        <v>2023</v>
      </c>
      <c r="AC2">
        <f>AB2+1</f>
        <v>2024</v>
      </c>
      <c r="AD2">
        <f t="shared" ref="AD2:AW2" si="0">AC2+1</f>
        <v>2025</v>
      </c>
      <c r="AE2">
        <f t="shared" si="0"/>
        <v>2026</v>
      </c>
      <c r="AF2">
        <f t="shared" si="0"/>
        <v>2027</v>
      </c>
      <c r="AG2">
        <f t="shared" si="0"/>
        <v>2028</v>
      </c>
      <c r="AH2">
        <f t="shared" si="0"/>
        <v>2029</v>
      </c>
      <c r="AI2">
        <f t="shared" si="0"/>
        <v>2030</v>
      </c>
      <c r="AJ2">
        <f t="shared" si="0"/>
        <v>2031</v>
      </c>
      <c r="AK2">
        <f t="shared" si="0"/>
        <v>2032</v>
      </c>
      <c r="AL2">
        <f t="shared" si="0"/>
        <v>2033</v>
      </c>
      <c r="AM2">
        <f t="shared" si="0"/>
        <v>2034</v>
      </c>
      <c r="AN2">
        <f t="shared" si="0"/>
        <v>2035</v>
      </c>
      <c r="AO2">
        <f t="shared" si="0"/>
        <v>2036</v>
      </c>
      <c r="AP2">
        <f t="shared" si="0"/>
        <v>2037</v>
      </c>
      <c r="AQ2">
        <f t="shared" si="0"/>
        <v>2038</v>
      </c>
      <c r="AR2">
        <f t="shared" si="0"/>
        <v>2039</v>
      </c>
      <c r="AS2">
        <f t="shared" si="0"/>
        <v>2040</v>
      </c>
      <c r="AT2">
        <f t="shared" si="0"/>
        <v>2041</v>
      </c>
      <c r="AU2">
        <f t="shared" si="0"/>
        <v>2042</v>
      </c>
      <c r="AV2">
        <f t="shared" si="0"/>
        <v>2043</v>
      </c>
      <c r="AW2">
        <f t="shared" si="0"/>
        <v>2044</v>
      </c>
    </row>
    <row r="3" spans="2:81" x14ac:dyDescent="0.2">
      <c r="B3" s="34" t="s">
        <v>0</v>
      </c>
      <c r="C3" s="66" t="str">
        <f>Fremtidskontantstrøm!C17</f>
        <v>E2023</v>
      </c>
      <c r="D3" s="66" t="str">
        <f>Fremtidskontantstrøm!D17</f>
        <v>E2024</v>
      </c>
      <c r="E3" s="66" t="str">
        <f>Fremtidskontantstrøm!E17</f>
        <v>E2025</v>
      </c>
      <c r="F3" s="66" t="str">
        <f>Fremtidskontantstrøm!F17</f>
        <v>E2026</v>
      </c>
      <c r="G3" s="66" t="str">
        <f>Fremtidskontantstrøm!G17</f>
        <v>E2027</v>
      </c>
      <c r="H3" s="66" t="str">
        <f>Fremtidskontantstrøm!H17</f>
        <v>E2028</v>
      </c>
      <c r="I3" s="66" t="str">
        <f>Fremtidskontantstrøm!I17</f>
        <v>E2029</v>
      </c>
      <c r="J3" s="66" t="str">
        <f>Fremtidskontantstrøm!J17</f>
        <v>E2030</v>
      </c>
      <c r="K3" s="66" t="str">
        <f>Fremtidskontantstrøm!K17</f>
        <v>E2031</v>
      </c>
      <c r="L3" s="66" t="str">
        <f>Fremtidskontantstrøm!L17</f>
        <v>E2032</v>
      </c>
      <c r="M3" s="66" t="str">
        <f>Fremtidskontantstrøm!M17</f>
        <v>E2033</v>
      </c>
      <c r="N3" s="66" t="str">
        <f>Fremtidskontantstrøm!N17</f>
        <v>E2034</v>
      </c>
      <c r="O3" s="66" t="str">
        <f>Fremtidskontantstrøm!O17</f>
        <v>E2035</v>
      </c>
      <c r="P3" s="66" t="str">
        <f>Fremtidskontantstrøm!P17</f>
        <v>E2036</v>
      </c>
      <c r="Q3" s="66" t="str">
        <f>Fremtidskontantstrøm!Q17</f>
        <v>E2037</v>
      </c>
      <c r="R3" s="66" t="str">
        <f>Fremtidskontantstrøm!R17</f>
        <v>E2038</v>
      </c>
      <c r="S3" s="66" t="str">
        <f>Fremtidskontantstrøm!S17</f>
        <v>E2039</v>
      </c>
      <c r="T3" s="66" t="str">
        <f>Fremtidskontantstrøm!T17</f>
        <v>E2040</v>
      </c>
      <c r="U3" s="66" t="str">
        <f>Fremtidskontantstrøm!U17</f>
        <v>E2041</v>
      </c>
      <c r="V3" s="66" t="str">
        <f>Fremtidskontantstrøm!V17</f>
        <v>E2042</v>
      </c>
      <c r="W3" s="66" t="str">
        <f>Fremtidskontantstrøm!W17</f>
        <v>E2043</v>
      </c>
      <c r="X3" s="66" t="str">
        <f>Fremtidskontantstrøm!X17</f>
        <v>E2044</v>
      </c>
      <c r="Y3" s="62"/>
      <c r="AA3">
        <v>1.3</v>
      </c>
      <c r="AB3" s="28">
        <f>((($AA3*Fremtidsresultat!C$8)-Fremtidsresultat!C$13)-(C$6*C$5))/C$8</f>
        <v>3917.0363353052976</v>
      </c>
      <c r="AC3" s="28">
        <f>((($AA3*Fremtidsresultat!D$8)-Fremtidsresultat!D$13)-(D$6*D$5))/D$8</f>
        <v>5473.7934411710858</v>
      </c>
      <c r="AD3" s="28">
        <f>((($AA3*Fremtidsresultat!E$8)-Fremtidsresultat!E$13)-(E$6*E$5))/E$8</f>
        <v>5891.2453420659203</v>
      </c>
      <c r="AE3" s="28">
        <f>((($AA3*Fremtidsresultat!F$8)-Fremtidsresultat!F$13)-(F$6*F$5))/F$8</f>
        <v>4076.5825057988145</v>
      </c>
      <c r="AF3" s="28">
        <f>((($AA3*Fremtidsresultat!G$8)-Fremtidsresultat!G$13)-(G$6*G$5))/G$8</f>
        <v>3384.4692130907033</v>
      </c>
      <c r="AG3" s="28">
        <f>((($AA3*Fremtidsresultat!H$8)-Fremtidsresultat!H$13)-(H$6*H$5))/H$8</f>
        <v>875.67952554562532</v>
      </c>
      <c r="AH3" s="28">
        <f>((($AA3*Fremtidsresultat!I$8)-Fremtidsresultat!I$13)-(I$6*I$5))/I$8</f>
        <v>-125.42935586609742</v>
      </c>
      <c r="AI3" s="28">
        <f>((($AA3*Fremtidsresultat!J$8)-Fremtidsresultat!J$13)-(J$6*J$5))/J$8</f>
        <v>-242.69786387435684</v>
      </c>
      <c r="AJ3" s="28">
        <f>((($AA3*Fremtidsresultat!K$8)-Fremtidsresultat!K$13)-(K$6*K$5))/K$8</f>
        <v>-203.39654822741423</v>
      </c>
      <c r="AK3" s="28">
        <f>((($AA3*Fremtidsresultat!L$8)-Fremtidsresultat!L$13)-(L$6*L$5))/L$8</f>
        <v>-38.764591331535819</v>
      </c>
      <c r="AL3" s="28">
        <f>((($AA3*Fremtidsresultat!M$8)-Fremtidsresultat!M$13)-(M$6*M$5))/M$8</f>
        <v>187.95879169663382</v>
      </c>
      <c r="AM3" s="28">
        <f>((($AA3*Fremtidsresultat!N$8)-Fremtidsresultat!N$13)-(N$6*N$5))/N$8</f>
        <v>356.10347372271201</v>
      </c>
      <c r="AN3" s="28">
        <f>((($AA3*Fremtidsresultat!O$8)-Fremtidsresultat!O$13)-(O$6*O$5))/O$8</f>
        <v>335.58861576754941</v>
      </c>
      <c r="AO3" s="28">
        <f>((($AA3*Fremtidsresultat!P$8)-Fremtidsresultat!P$13)-(P$6*P$5))/P$8</f>
        <v>304.254803704219</v>
      </c>
      <c r="AP3" s="28">
        <f>((($AA3*Fremtidsresultat!Q$8)-Fremtidsresultat!Q$13)-(Q$6*Q$5))/Q$8</f>
        <v>215.97552301581484</v>
      </c>
      <c r="AQ3" s="28">
        <f>((($AA3*Fremtidsresultat!R$8)-Fremtidsresultat!R$13)-(R$6*R$5))/R$8</f>
        <v>230.15423159209459</v>
      </c>
      <c r="AR3" s="28">
        <f>((($AA3*Fremtidsresultat!S$8)-Fremtidsresultat!S$13)-(S$6*S$5))/S$8</f>
        <v>193.08148011292155</v>
      </c>
      <c r="AS3" s="28">
        <f>((($AA3*Fremtidsresultat!T$8)-Fremtidsresultat!T$13)-(T$6*T$5))/T$8</f>
        <v>161.52558387056342</v>
      </c>
      <c r="AT3" s="28">
        <f>((($AA3*Fremtidsresultat!U$8)-Fremtidsresultat!U$13)-(U$6*U$5))/U$8</f>
        <v>153.11717123613079</v>
      </c>
      <c r="AU3" s="28">
        <f>((($AA3*Fremtidsresultat!V$8)-Fremtidsresultat!V$13)-(V$6*V$5))/V$8</f>
        <v>67.084938433931725</v>
      </c>
      <c r="AV3" s="28">
        <f>((($AA3*Fremtidsresultat!W$8)-Fremtidsresultat!W$13)-(W$6*W$5))/W$8</f>
        <v>21.555443816486132</v>
      </c>
      <c r="AW3" s="28">
        <f>((($AA3*Fremtidsresultat!X$8)-Fremtidsresultat!X$13)-(X$6*X$5))/X$8</f>
        <v>18.725166307770454</v>
      </c>
      <c r="AX3" s="28">
        <f>SUM(AB3:AW3)</f>
        <v>25253.643226954868</v>
      </c>
      <c r="AY3" s="28">
        <f>(AX3+$C$11)/$C$13</f>
        <v>913.82668647501794</v>
      </c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</row>
    <row r="4" spans="2:81" x14ac:dyDescent="0.2">
      <c r="B4" s="34" t="s">
        <v>323</v>
      </c>
      <c r="C4" s="64">
        <f>Fremtidsresultat!C14</f>
        <v>3295.7469673217597</v>
      </c>
      <c r="D4" s="64">
        <f>Fremtidsresultat!D14</f>
        <v>4722.6478777046868</v>
      </c>
      <c r="E4" s="64">
        <f>Fremtidsresultat!E14</f>
        <v>5288.5104718290459</v>
      </c>
      <c r="F4" s="64">
        <f>Fremtidsresultat!F14</f>
        <v>3844.0845714977877</v>
      </c>
      <c r="G4" s="64">
        <f>Fremtidsresultat!G14</f>
        <v>3325.7485724870003</v>
      </c>
      <c r="H4" s="64">
        <f>Fremtidsresultat!H14</f>
        <v>931.59381251884543</v>
      </c>
      <c r="I4" s="64">
        <f>Fremtidsresultat!I14</f>
        <v>-110.30432264867261</v>
      </c>
      <c r="J4" s="64">
        <f>Fremtidsresultat!J14</f>
        <v>-259.03666151954144</v>
      </c>
      <c r="K4" s="64">
        <f>Fremtidsresultat!K14</f>
        <v>-235.9306785678275</v>
      </c>
      <c r="L4" s="64">
        <f>Fremtidsresultat!L14</f>
        <v>-75.027565957079219</v>
      </c>
      <c r="M4" s="64">
        <f>Fremtidsresultat!M14</f>
        <v>194.57618470588432</v>
      </c>
      <c r="N4" s="64">
        <f>Fremtidsresultat!N14</f>
        <v>390.85160779542753</v>
      </c>
      <c r="O4" s="64">
        <f>Fremtidsresultat!O14</f>
        <v>371.78930044490812</v>
      </c>
      <c r="P4" s="64">
        <f>Fremtidsresultat!P14</f>
        <v>330.29511159826302</v>
      </c>
      <c r="Q4" s="64">
        <f>Fremtidsresultat!Q14</f>
        <v>172.69410362557142</v>
      </c>
      <c r="R4" s="64">
        <f>Fremtidsresultat!R14</f>
        <v>211.03133006640542</v>
      </c>
      <c r="S4" s="64">
        <f>Fremtidsresultat!S14</f>
        <v>164.28883193623642</v>
      </c>
      <c r="T4" s="64">
        <f>Fremtidsresultat!T14</f>
        <v>123.43079547922389</v>
      </c>
      <c r="U4" s="64">
        <f>Fremtidsresultat!U14</f>
        <v>151.8253256272726</v>
      </c>
      <c r="V4" s="64">
        <f>Fremtidsresultat!V14</f>
        <v>68.438014256293116</v>
      </c>
      <c r="W4" s="64">
        <f>Fremtidsresultat!W14</f>
        <v>16.180036487120532</v>
      </c>
      <c r="X4" s="64">
        <f>Fremtidsresultat!X14</f>
        <v>8.8689781215500716</v>
      </c>
      <c r="Y4" s="69"/>
      <c r="AA4">
        <v>1.2</v>
      </c>
      <c r="AB4" s="28">
        <f>((($AA4*Fremtidsresultat!C$8)-Fremtidsresultat!C$13)-(C$6*C$5))/C$8</f>
        <v>3512.4974089878697</v>
      </c>
      <c r="AC4" s="28">
        <f>((($AA4*Fremtidsresultat!D$8)-Fremtidsresultat!D$13)-(D$6*D$5))/D$8</f>
        <v>4951.2941746274573</v>
      </c>
      <c r="AD4" s="28">
        <f>((($AA4*Fremtidsresultat!E$8)-Fremtidsresultat!E$13)-(E$6*E$5))/E$8</f>
        <v>5342.7490962759657</v>
      </c>
      <c r="AE4" s="28">
        <f>((($AA4*Fremtidsresultat!F$8)-Fremtidsresultat!F$13)-(F$6*F$5))/F$8</f>
        <v>3674.0688155357925</v>
      </c>
      <c r="AF4" s="28">
        <f>((($AA4*Fremtidsresultat!G$8)-Fremtidsresultat!G$13)-(G$6*G$5))/G$8</f>
        <v>3037.8671885364665</v>
      </c>
      <c r="AG4" s="28">
        <f>((($AA4*Fremtidsresultat!H$8)-Fremtidsresultat!H$13)-(H$6*H$5))/H$8</f>
        <v>726.9733420264007</v>
      </c>
      <c r="AH4" s="28">
        <f>((($AA4*Fremtidsresultat!I$8)-Fremtidsresultat!I$13)-(I$6*I$5))/I$8</f>
        <v>-195.25886695806102</v>
      </c>
      <c r="AI4" s="28">
        <f>((($AA4*Fremtidsresultat!J$8)-Fremtidsresultat!J$13)-(J$6*J$5))/J$8</f>
        <v>-298.48365871614851</v>
      </c>
      <c r="AJ4" s="28">
        <f>((($AA4*Fremtidsresultat!K$8)-Fremtidsresultat!K$13)-(K$6*K$5))/K$8</f>
        <v>-256.72394985421056</v>
      </c>
      <c r="AK4" s="28">
        <f>((($AA4*Fremtidsresultat!L$8)-Fremtidsresultat!L$13)-(L$6*L$5))/L$8</f>
        <v>-103.24875547369227</v>
      </c>
      <c r="AL4" s="28">
        <f>((($AA4*Fremtidsresultat!M$8)-Fremtidsresultat!M$13)-(M$6*M$5))/M$8</f>
        <v>110.07272650091817</v>
      </c>
      <c r="AM4" s="28">
        <f>((($AA4*Fremtidsresultat!N$8)-Fremtidsresultat!N$13)-(N$6*N$5))/N$8</f>
        <v>264.78016708002048</v>
      </c>
      <c r="AN4" s="28">
        <f>((($AA4*Fremtidsresultat!O$8)-Fremtidsresultat!O$13)-(O$6*O$5))/O$8</f>
        <v>250.03576182448703</v>
      </c>
      <c r="AO4" s="28">
        <f>((($AA4*Fremtidsresultat!P$8)-Fremtidsresultat!P$13)-(P$6*P$5))/P$8</f>
        <v>224.14116511136984</v>
      </c>
      <c r="AP4" s="28">
        <f>((($AA4*Fremtidsresultat!Q$8)-Fremtidsresultat!Q$13)-(Q$6*Q$5))/Q$8</f>
        <v>140.9878502737271</v>
      </c>
      <c r="AQ4" s="28">
        <f>((($AA4*Fremtidsresultat!R$8)-Fremtidsresultat!R$13)-(R$6*R$5))/R$8</f>
        <v>159.99632093028404</v>
      </c>
      <c r="AR4" s="28">
        <f>((($AA4*Fremtidsresultat!S$8)-Fremtidsresultat!S$13)-(S$6*S$5))/S$8</f>
        <v>131.46725667140981</v>
      </c>
      <c r="AS4" s="28">
        <f>((($AA4*Fremtidsresultat!T$8)-Fremtidsresultat!T$13)-(T$6*T$5))/T$8</f>
        <v>107.66859474408861</v>
      </c>
      <c r="AT4" s="28">
        <f>((($AA4*Fremtidsresultat!U$8)-Fremtidsresultat!U$13)-(U$6*U$5))/U$8</f>
        <v>109.77867206675256</v>
      </c>
      <c r="AU4" s="28">
        <f>((($AA4*Fremtidsresultat!V$8)-Fremtidsresultat!V$13)-(V$6*V$5))/V$8</f>
        <v>47.840135645675289</v>
      </c>
      <c r="AV4" s="28">
        <f>((($AA4*Fremtidsresultat!W$8)-Fremtidsresultat!W$13)-(W$6*W$5))/W$8</f>
        <v>13.634544369245978</v>
      </c>
      <c r="AW4" s="28">
        <f>((($AA4*Fremtidsresultat!X$8)-Fremtidsresultat!X$13)-(X$6*X$5))/X$8</f>
        <v>11.338007548765322</v>
      </c>
      <c r="AX4" s="28">
        <f t="shared" ref="AX4:AX9" si="1">SUM(AB4:AW4)</f>
        <v>21963.475997754587</v>
      </c>
      <c r="AY4" s="28">
        <f t="shared" ref="AY4:AY9" si="2">(AX4+$C$11)/$C$13</f>
        <v>811.62887968377902</v>
      </c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</row>
    <row r="5" spans="2:81" x14ac:dyDescent="0.2">
      <c r="B5" s="34" t="s">
        <v>324</v>
      </c>
      <c r="C5" s="71">
        <v>4.6100000000000002E-2</v>
      </c>
      <c r="D5" s="71">
        <f>$C$5</f>
        <v>4.6100000000000002E-2</v>
      </c>
      <c r="E5" s="71">
        <f t="shared" ref="E5:X5" si="3">$C$5</f>
        <v>4.6100000000000002E-2</v>
      </c>
      <c r="F5" s="71">
        <f t="shared" si="3"/>
        <v>4.6100000000000002E-2</v>
      </c>
      <c r="G5" s="71">
        <f t="shared" si="3"/>
        <v>4.6100000000000002E-2</v>
      </c>
      <c r="H5" s="71">
        <f t="shared" si="3"/>
        <v>4.6100000000000002E-2</v>
      </c>
      <c r="I5" s="71">
        <f t="shared" si="3"/>
        <v>4.6100000000000002E-2</v>
      </c>
      <c r="J5" s="71">
        <f t="shared" si="3"/>
        <v>4.6100000000000002E-2</v>
      </c>
      <c r="K5" s="71">
        <f t="shared" si="3"/>
        <v>4.6100000000000002E-2</v>
      </c>
      <c r="L5" s="71">
        <f t="shared" si="3"/>
        <v>4.6100000000000002E-2</v>
      </c>
      <c r="M5" s="71">
        <f t="shared" si="3"/>
        <v>4.6100000000000002E-2</v>
      </c>
      <c r="N5" s="71">
        <f t="shared" si="3"/>
        <v>4.6100000000000002E-2</v>
      </c>
      <c r="O5" s="71">
        <f t="shared" si="3"/>
        <v>4.6100000000000002E-2</v>
      </c>
      <c r="P5" s="71">
        <f t="shared" si="3"/>
        <v>4.6100000000000002E-2</v>
      </c>
      <c r="Q5" s="71">
        <f t="shared" si="3"/>
        <v>4.6100000000000002E-2</v>
      </c>
      <c r="R5" s="71">
        <f t="shared" si="3"/>
        <v>4.6100000000000002E-2</v>
      </c>
      <c r="S5" s="71">
        <f t="shared" si="3"/>
        <v>4.6100000000000002E-2</v>
      </c>
      <c r="T5" s="71">
        <f t="shared" si="3"/>
        <v>4.6100000000000002E-2</v>
      </c>
      <c r="U5" s="71">
        <f t="shared" si="3"/>
        <v>4.6100000000000002E-2</v>
      </c>
      <c r="V5" s="71">
        <f t="shared" si="3"/>
        <v>4.6100000000000002E-2</v>
      </c>
      <c r="W5" s="71">
        <f t="shared" si="3"/>
        <v>4.6100000000000002E-2</v>
      </c>
      <c r="X5" s="71">
        <f t="shared" si="3"/>
        <v>4.6100000000000002E-2</v>
      </c>
      <c r="Y5" s="69"/>
      <c r="AA5" s="76">
        <v>1.1000000000000001</v>
      </c>
      <c r="AB5" s="28">
        <f>((($AA5*Fremtidsresultat!C$8)-Fremtidsresultat!C$13)-(C$6*C$5))/C$8</f>
        <v>3107.958482670444</v>
      </c>
      <c r="AC5" s="28">
        <f>((($AA5*Fremtidsresultat!D$8)-Fremtidsresultat!D$13)-(D$6*D$5))/D$8</f>
        <v>4428.7949080838334</v>
      </c>
      <c r="AD5" s="28">
        <f>((($AA5*Fremtidsresultat!E$8)-Fremtidsresultat!E$13)-(E$6*E$5))/E$8</f>
        <v>4794.2528504860138</v>
      </c>
      <c r="AE5" s="28">
        <f>((($AA5*Fremtidsresultat!F$8)-Fremtidsresultat!F$13)-(F$6*F$5))/F$8</f>
        <v>3271.5551252727714</v>
      </c>
      <c r="AF5" s="28">
        <f>((($AA5*Fremtidsresultat!G$8)-Fremtidsresultat!G$13)-(G$6*G$5))/G$8</f>
        <v>2691.2651639822307</v>
      </c>
      <c r="AG5" s="28">
        <f>((($AA5*Fremtidsresultat!H$8)-Fremtidsresultat!H$13)-(H$6*H$5))/H$8</f>
        <v>578.26715850717665</v>
      </c>
      <c r="AH5" s="28">
        <f>((($AA5*Fremtidsresultat!I$8)-Fremtidsresultat!I$13)-(I$6*I$5))/I$8</f>
        <v>-265.08837805002463</v>
      </c>
      <c r="AI5" s="28">
        <f>((($AA5*Fremtidsresultat!J$8)-Fremtidsresultat!J$13)-(J$6*J$5))/J$8</f>
        <v>-354.26945355794004</v>
      </c>
      <c r="AJ5" s="28">
        <f>((($AA5*Fremtidsresultat!K$8)-Fremtidsresultat!K$13)-(K$6*K$5))/K$8</f>
        <v>-310.0513514810068</v>
      </c>
      <c r="AK5" s="28">
        <f>((($AA5*Fremtidsresultat!L$8)-Fremtidsresultat!L$13)-(L$6*L$5))/L$8</f>
        <v>-167.73291961584857</v>
      </c>
      <c r="AL5" s="28">
        <f>((($AA5*Fremtidsresultat!M$8)-Fremtidsresultat!M$13)-(M$6*M$5))/M$8</f>
        <v>32.186661305202506</v>
      </c>
      <c r="AM5" s="28">
        <f>((($AA5*Fremtidsresultat!N$8)-Fremtidsresultat!N$13)-(N$6*N$5))/N$8</f>
        <v>173.4568604373294</v>
      </c>
      <c r="AN5" s="28">
        <f>((($AA5*Fremtidsresultat!O$8)-Fremtidsresultat!O$13)-(O$6*O$5))/O$8</f>
        <v>164.48290788142492</v>
      </c>
      <c r="AO5" s="28">
        <f>((($AA5*Fremtidsresultat!P$8)-Fremtidsresultat!P$13)-(P$6*P$5))/P$8</f>
        <v>144.02752651852097</v>
      </c>
      <c r="AP5" s="28">
        <f>((($AA5*Fremtidsresultat!Q$8)-Fremtidsresultat!Q$13)-(Q$6*Q$5))/Q$8</f>
        <v>66.000177531639395</v>
      </c>
      <c r="AQ5" s="28">
        <f>((($AA5*Fremtidsresultat!R$8)-Fremtidsresultat!R$13)-(R$6*R$5))/R$8</f>
        <v>89.838410268473737</v>
      </c>
      <c r="AR5" s="28">
        <f>((($AA5*Fremtidsresultat!S$8)-Fremtidsresultat!S$13)-(S$6*S$5))/S$8</f>
        <v>69.853033229898287</v>
      </c>
      <c r="AS5" s="28">
        <f>((($AA5*Fremtidsresultat!T$8)-Fremtidsresultat!T$13)-(T$6*T$5))/T$8</f>
        <v>53.811605617613779</v>
      </c>
      <c r="AT5" s="28">
        <f>((($AA5*Fremtidsresultat!U$8)-Fremtidsresultat!U$13)-(U$6*U$5))/U$8</f>
        <v>66.440172897374339</v>
      </c>
      <c r="AU5" s="28">
        <f>((($AA5*Fremtidsresultat!V$8)-Fremtidsresultat!V$13)-(V$6*V$5))/V$8</f>
        <v>28.595332857418938</v>
      </c>
      <c r="AV5" s="28">
        <f>((($AA5*Fremtidsresultat!W$8)-Fremtidsresultat!W$13)-(W$6*W$5))/W$8</f>
        <v>5.7136449220058338</v>
      </c>
      <c r="AW5" s="28">
        <f>((($AA5*Fremtidsresultat!X$8)-Fremtidsresultat!X$13)-(X$6*X$5))/X$8</f>
        <v>3.9508487897602005</v>
      </c>
      <c r="AX5" s="28">
        <f t="shared" si="1"/>
        <v>18673.308768554311</v>
      </c>
      <c r="AY5" s="28">
        <f t="shared" si="2"/>
        <v>709.43107289254021</v>
      </c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</row>
    <row r="6" spans="2:81" x14ac:dyDescent="0.2">
      <c r="B6" s="34" t="s">
        <v>326</v>
      </c>
      <c r="C6" s="64">
        <f>Balansen!F9/1000000</f>
        <v>10145.331223879999</v>
      </c>
      <c r="D6" s="64">
        <f>Fremtidsbalanse!C7</f>
        <v>9715.6199447747586</v>
      </c>
      <c r="E6" s="64">
        <f>Fremtidsbalanse!D7</f>
        <v>9285.9086656695181</v>
      </c>
      <c r="F6" s="64">
        <f>Fremtidsbalanse!E7</f>
        <v>8856.1973865642776</v>
      </c>
      <c r="G6" s="64">
        <f>Fremtidsbalanse!F7</f>
        <v>8426.4861074590372</v>
      </c>
      <c r="H6" s="64">
        <f>Fremtidsbalanse!G7</f>
        <v>7996.7748283537967</v>
      </c>
      <c r="I6" s="64">
        <f>Fremtidsbalanse!H7</f>
        <v>7567.0635492485562</v>
      </c>
      <c r="J6" s="64">
        <f>Fremtidsbalanse!I7</f>
        <v>7137.3522701433158</v>
      </c>
      <c r="K6" s="64">
        <f>Fremtidsbalanse!J7</f>
        <v>6707.6409910380753</v>
      </c>
      <c r="L6" s="64">
        <f>Fremtidsbalanse!K7</f>
        <v>6277.9297119328348</v>
      </c>
      <c r="M6" s="64">
        <f>Fremtidsbalanse!L7</f>
        <v>5848.2184328275944</v>
      </c>
      <c r="N6" s="64">
        <f>Fremtidsbalanse!M7</f>
        <v>5418.5071537223539</v>
      </c>
      <c r="O6" s="64">
        <f>Fremtidsbalanse!N7</f>
        <v>4988.7958746171134</v>
      </c>
      <c r="P6" s="64">
        <f>Fremtidsbalanse!O7</f>
        <v>4559.084595511873</v>
      </c>
      <c r="Q6" s="64">
        <f>Fremtidsbalanse!P7</f>
        <v>4129.3733164066325</v>
      </c>
      <c r="R6" s="64">
        <f>Fremtidsbalanse!Q7</f>
        <v>3699.662037301393</v>
      </c>
      <c r="S6" s="64">
        <f>Fremtidsbalanse!R7</f>
        <v>3179.238758196153</v>
      </c>
      <c r="T6" s="64">
        <f>Fremtidsbalanse!S7</f>
        <v>2679.6733221023278</v>
      </c>
      <c r="U6" s="64">
        <f>Fremtidsbalanse!T7</f>
        <v>2113.5231803613474</v>
      </c>
      <c r="V6" s="64">
        <f>Fremtidsbalanse!U7</f>
        <v>984.98217598462634</v>
      </c>
      <c r="W6" s="64">
        <f>Fremtidsbalanse!V7</f>
        <v>474.34101320122943</v>
      </c>
      <c r="X6" s="64">
        <f>Fremtidsbalanse!W7</f>
        <v>393.29578092989971</v>
      </c>
      <c r="Y6" s="69"/>
      <c r="AA6">
        <v>1</v>
      </c>
      <c r="AB6" s="28">
        <f>((($AA6*Fremtidsresultat!C$8)-Fremtidsresultat!C$13)-(C$6*C$5))/C$8</f>
        <v>2703.4195563530175</v>
      </c>
      <c r="AC6" s="28">
        <f>((($AA6*Fremtidsresultat!D$8)-Fremtidsresultat!D$13)-(D$6*D$5))/D$8</f>
        <v>3906.295641540205</v>
      </c>
      <c r="AD6" s="28">
        <f>((($AA6*Fremtidsresultat!E$8)-Fremtidsresultat!E$13)-(E$6*E$5))/E$8</f>
        <v>4245.7566046960601</v>
      </c>
      <c r="AE6" s="28">
        <f>((($AA6*Fremtidsresultat!F$8)-Fremtidsresultat!F$13)-(F$6*F$5))/F$8</f>
        <v>2869.041435009749</v>
      </c>
      <c r="AF6" s="28">
        <f>((($AA6*Fremtidsresultat!G$8)-Fremtidsresultat!G$13)-(G$6*G$5))/G$8</f>
        <v>2344.6631394279934</v>
      </c>
      <c r="AG6" s="28">
        <f>((($AA6*Fremtidsresultat!H$8)-Fremtidsresultat!H$13)-(H$6*H$5))/H$8</f>
        <v>429.56097498795225</v>
      </c>
      <c r="AH6" s="28">
        <f>((($AA6*Fremtidsresultat!I$8)-Fremtidsresultat!I$13)-(I$6*I$5))/I$8</f>
        <v>-334.91788914198833</v>
      </c>
      <c r="AI6" s="28">
        <f>((($AA6*Fremtidsresultat!J$8)-Fremtidsresultat!J$13)-(J$6*J$5))/J$8</f>
        <v>-410.05524839973162</v>
      </c>
      <c r="AJ6" s="28">
        <f>((($AA6*Fremtidsresultat!K$8)-Fremtidsresultat!K$13)-(K$6*K$5))/K$8</f>
        <v>-363.37875310780311</v>
      </c>
      <c r="AK6" s="28">
        <f>((($AA6*Fremtidsresultat!L$8)-Fremtidsresultat!L$13)-(L$6*L$5))/L$8</f>
        <v>-232.21708375800509</v>
      </c>
      <c r="AL6" s="28">
        <f>((($AA6*Fremtidsresultat!M$8)-Fremtidsresultat!M$13)-(M$6*M$5))/M$8</f>
        <v>-45.699403890513153</v>
      </c>
      <c r="AM6" s="28">
        <f>((($AA6*Fremtidsresultat!N$8)-Fremtidsresultat!N$13)-(N$6*N$5))/N$8</f>
        <v>82.133553794638004</v>
      </c>
      <c r="AN6" s="28">
        <f>((($AA6*Fremtidsresultat!O$8)-Fremtidsresultat!O$13)-(O$6*O$5))/O$8</f>
        <v>78.930053938362576</v>
      </c>
      <c r="AO6" s="28">
        <f>((($AA6*Fremtidsresultat!P$8)-Fremtidsresultat!P$13)-(P$6*P$5))/P$8</f>
        <v>63.913887925671872</v>
      </c>
      <c r="AP6" s="28">
        <f>((($AA6*Fremtidsresultat!Q$8)-Fremtidsresultat!Q$13)-(Q$6*Q$5))/Q$8</f>
        <v>-8.9874952104484471</v>
      </c>
      <c r="AQ6" s="28">
        <f>((($AA6*Fremtidsresultat!R$8)-Fremtidsresultat!R$13)-(R$6*R$5))/R$8</f>
        <v>19.680499606663183</v>
      </c>
      <c r="AR6" s="28">
        <f>((($AA6*Fremtidsresultat!S$8)-Fremtidsresultat!S$13)-(S$6*S$5))/S$8</f>
        <v>8.2388097883866482</v>
      </c>
      <c r="AS6" s="28">
        <f>((($AA6*Fremtidsresultat!T$8)-Fremtidsresultat!T$13)-(T$6*T$5))/T$8</f>
        <v>-4.5383508861136991E-2</v>
      </c>
      <c r="AT6" s="28">
        <f>((($AA6*Fremtidsresultat!U$8)-Fremtidsresultat!U$13)-(U$6*U$5))/U$8</f>
        <v>23.101673727996126</v>
      </c>
      <c r="AU6" s="28">
        <f>((($AA6*Fremtidsresultat!V$8)-Fremtidsresultat!V$13)-(V$6*V$5))/V$8</f>
        <v>9.3505300691624953</v>
      </c>
      <c r="AV6" s="28">
        <f>((($AA6*Fremtidsresultat!W$8)-Fremtidsresultat!W$13)-(W$6*W$5))/W$8</f>
        <v>-2.2072545252343212</v>
      </c>
      <c r="AW6" s="28">
        <f>((($AA6*Fremtidsresultat!X$8)-Fremtidsresultat!X$13)-(X$6*X$5))/X$8</f>
        <v>-3.4363099692449426</v>
      </c>
      <c r="AX6" s="28">
        <f t="shared" si="1"/>
        <v>15383.14153935403</v>
      </c>
      <c r="AY6" s="28">
        <f t="shared" si="2"/>
        <v>607.23326610130118</v>
      </c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</row>
    <row r="7" spans="2:81" x14ac:dyDescent="0.2">
      <c r="B7" s="34" t="s">
        <v>325</v>
      </c>
      <c r="C7" s="64">
        <f>C4-$C$5*C6</f>
        <v>2828.0471979008917</v>
      </c>
      <c r="D7" s="64">
        <f t="shared" ref="D7:X7" si="4">D4-$C$5*D6</f>
        <v>4274.75779825057</v>
      </c>
      <c r="E7" s="64">
        <f t="shared" si="4"/>
        <v>4860.4300823416806</v>
      </c>
      <c r="F7" s="64">
        <f t="shared" si="4"/>
        <v>3435.8138719771746</v>
      </c>
      <c r="G7" s="64">
        <f t="shared" si="4"/>
        <v>2937.2875629331388</v>
      </c>
      <c r="H7" s="64">
        <f t="shared" si="4"/>
        <v>562.94249293173539</v>
      </c>
      <c r="I7" s="64">
        <f t="shared" si="4"/>
        <v>-459.14595226903106</v>
      </c>
      <c r="J7" s="64">
        <f t="shared" si="4"/>
        <v>-588.06860117314829</v>
      </c>
      <c r="K7" s="64">
        <f t="shared" si="4"/>
        <v>-545.15292825468282</v>
      </c>
      <c r="L7" s="64">
        <f t="shared" si="4"/>
        <v>-364.44012567718289</v>
      </c>
      <c r="M7" s="64">
        <f t="shared" si="4"/>
        <v>-75.026685047467822</v>
      </c>
      <c r="N7" s="64">
        <f t="shared" si="4"/>
        <v>141.05842800882701</v>
      </c>
      <c r="O7" s="64">
        <f t="shared" si="4"/>
        <v>141.80581062505919</v>
      </c>
      <c r="P7" s="64">
        <f t="shared" si="4"/>
        <v>120.12131174516566</v>
      </c>
      <c r="Q7" s="64">
        <f t="shared" si="4"/>
        <v>-17.670006260774358</v>
      </c>
      <c r="R7" s="64">
        <f t="shared" si="4"/>
        <v>40.476910146811207</v>
      </c>
      <c r="S7" s="64">
        <f t="shared" si="4"/>
        <v>17.72592518339377</v>
      </c>
      <c r="T7" s="64">
        <f t="shared" si="4"/>
        <v>-0.1021446696934305</v>
      </c>
      <c r="U7" s="64">
        <f t="shared" si="4"/>
        <v>54.391907012614482</v>
      </c>
      <c r="V7" s="64">
        <f t="shared" si="4"/>
        <v>23.030335943401838</v>
      </c>
      <c r="W7" s="64">
        <f t="shared" si="4"/>
        <v>-5.6870842214561463</v>
      </c>
      <c r="X7" s="64">
        <f t="shared" si="4"/>
        <v>-9.2619573793183072</v>
      </c>
      <c r="Y7" s="69"/>
      <c r="AA7">
        <v>0.9</v>
      </c>
      <c r="AB7" s="28">
        <f>((($AA7*Fremtidsresultat!C$8)-Fremtidsresultat!C$13)-(C$6*C$5))/C$8</f>
        <v>2298.8806300355909</v>
      </c>
      <c r="AC7" s="28">
        <f>((($AA7*Fremtidsresultat!D$8)-Fremtidsresultat!D$13)-(D$6*D$5))/D$8</f>
        <v>3383.7963749965793</v>
      </c>
      <c r="AD7" s="28">
        <f>((($AA7*Fremtidsresultat!E$8)-Fremtidsresultat!E$13)-(E$6*E$5))/E$8</f>
        <v>3697.2603589061068</v>
      </c>
      <c r="AE7" s="28">
        <f>((($AA7*Fremtidsresultat!F$8)-Fremtidsresultat!F$13)-(F$6*F$5))/F$8</f>
        <v>2466.5277447467274</v>
      </c>
      <c r="AF7" s="28">
        <f>((($AA7*Fremtidsresultat!G$8)-Fremtidsresultat!G$13)-(G$6*G$5))/G$8</f>
        <v>1998.0611148737571</v>
      </c>
      <c r="AG7" s="28">
        <f>((($AA7*Fremtidsresultat!H$8)-Fremtidsresultat!H$13)-(H$6*H$5))/H$8</f>
        <v>280.85479146872797</v>
      </c>
      <c r="AH7" s="28">
        <f>((($AA7*Fremtidsresultat!I$8)-Fremtidsresultat!I$13)-(I$6*I$5))/I$8</f>
        <v>-404.74740023395196</v>
      </c>
      <c r="AI7" s="28">
        <f>((($AA7*Fremtidsresultat!J$8)-Fremtidsresultat!J$13)-(J$6*J$5))/J$8</f>
        <v>-465.84104324152321</v>
      </c>
      <c r="AJ7" s="28">
        <f>((($AA7*Fremtidsresultat!K$8)-Fremtidsresultat!K$13)-(K$6*K$5))/K$8</f>
        <v>-416.70615473459941</v>
      </c>
      <c r="AK7" s="28">
        <f>((($AA7*Fremtidsresultat!L$8)-Fremtidsresultat!L$13)-(L$6*L$5))/L$8</f>
        <v>-296.70124790016149</v>
      </c>
      <c r="AL7" s="28">
        <f>((($AA7*Fremtidsresultat!M$8)-Fremtidsresultat!M$13)-(M$6*M$5))/M$8</f>
        <v>-123.58546908622881</v>
      </c>
      <c r="AM7" s="28">
        <f>((($AA7*Fremtidsresultat!N$8)-Fremtidsresultat!N$13)-(N$6*N$5))/N$8</f>
        <v>-9.1897528480532351</v>
      </c>
      <c r="AN7" s="28">
        <f>((($AA7*Fremtidsresultat!O$8)-Fremtidsresultat!O$13)-(O$6*O$5))/O$8</f>
        <v>-6.62280000469966</v>
      </c>
      <c r="AO7" s="28">
        <f>((($AA7*Fremtidsresultat!P$8)-Fremtidsresultat!P$13)-(P$6*P$5))/P$8</f>
        <v>-16.199750667177117</v>
      </c>
      <c r="AP7" s="28">
        <f>((($AA7*Fremtidsresultat!Q$8)-Fremtidsresultat!Q$13)-(Q$6*Q$5))/Q$8</f>
        <v>-83.975167952536168</v>
      </c>
      <c r="AQ7" s="28">
        <f>((($AA7*Fremtidsresultat!R$8)-Fremtidsresultat!R$13)-(R$6*R$5))/R$8</f>
        <v>-50.47741105514725</v>
      </c>
      <c r="AR7" s="28">
        <f>((($AA7*Fremtidsresultat!S$8)-Fremtidsresultat!S$13)-(S$6*S$5))/S$8</f>
        <v>-53.37541365312498</v>
      </c>
      <c r="AS7" s="28">
        <f>((($AA7*Fremtidsresultat!T$8)-Fremtidsresultat!T$13)-(T$6*T$5))/T$8</f>
        <v>-53.902372635335951</v>
      </c>
      <c r="AT7" s="28">
        <f>((($AA7*Fremtidsresultat!U$8)-Fremtidsresultat!U$13)-(U$6*U$5))/U$8</f>
        <v>-20.236825441382098</v>
      </c>
      <c r="AU7" s="28">
        <f>((($AA7*Fremtidsresultat!V$8)-Fremtidsresultat!V$13)-(V$6*V$5))/V$8</f>
        <v>-9.8942727190939017</v>
      </c>
      <c r="AV7" s="28">
        <f>((($AA7*Fremtidsresultat!W$8)-Fremtidsresultat!W$13)-(W$6*W$5))/W$8</f>
        <v>-10.128153972474465</v>
      </c>
      <c r="AW7" s="28">
        <f>((($AA7*Fremtidsresultat!X$8)-Fremtidsresultat!X$13)-(X$6*X$5))/X$8</f>
        <v>-10.823468728250075</v>
      </c>
      <c r="AX7" s="28">
        <f t="shared" si="1"/>
        <v>12092.97431015375</v>
      </c>
      <c r="AY7" s="28">
        <f>(AX7+$C$11)/$C$13</f>
        <v>505.03545931006227</v>
      </c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</row>
    <row r="8" spans="2:81" x14ac:dyDescent="0.2">
      <c r="B8" s="34" t="s">
        <v>327</v>
      </c>
      <c r="C8" s="71">
        <f>1+C5</f>
        <v>1.0461</v>
      </c>
      <c r="D8" s="35">
        <f>C8*(1+D5)</f>
        <v>1.09432521</v>
      </c>
      <c r="E8" s="35">
        <f t="shared" ref="E8:X8" si="5">D8*(1+E5)</f>
        <v>1.144773602181</v>
      </c>
      <c r="F8" s="35">
        <f t="shared" si="5"/>
        <v>1.1975476652415442</v>
      </c>
      <c r="G8" s="35">
        <f t="shared" si="5"/>
        <v>1.2527546126091795</v>
      </c>
      <c r="H8" s="35">
        <f t="shared" si="5"/>
        <v>1.3105066002504628</v>
      </c>
      <c r="I8" s="35">
        <f t="shared" si="5"/>
        <v>1.3709209545220091</v>
      </c>
      <c r="J8" s="35">
        <f t="shared" si="5"/>
        <v>1.4341204105254739</v>
      </c>
      <c r="K8" s="35">
        <f t="shared" si="5"/>
        <v>1.5002333614506982</v>
      </c>
      <c r="L8" s="35">
        <f t="shared" si="5"/>
        <v>1.5693941194135754</v>
      </c>
      <c r="M8" s="35">
        <f t="shared" si="5"/>
        <v>1.6417431883185414</v>
      </c>
      <c r="N8" s="35">
        <f t="shared" si="5"/>
        <v>1.7174275493000262</v>
      </c>
      <c r="O8" s="35">
        <f t="shared" si="5"/>
        <v>1.7966009593227574</v>
      </c>
      <c r="P8" s="35">
        <f t="shared" si="5"/>
        <v>1.8794242635475367</v>
      </c>
      <c r="Q8" s="35">
        <f t="shared" si="5"/>
        <v>1.9660657220970781</v>
      </c>
      <c r="R8" s="35">
        <f t="shared" si="5"/>
        <v>2.0567013518857533</v>
      </c>
      <c r="S8" s="35">
        <f t="shared" si="5"/>
        <v>2.1515152842076866</v>
      </c>
      <c r="T8" s="35">
        <f t="shared" si="5"/>
        <v>2.2507001388096608</v>
      </c>
      <c r="U8" s="35">
        <f t="shared" si="5"/>
        <v>2.354457415208786</v>
      </c>
      <c r="V8" s="35">
        <f t="shared" si="5"/>
        <v>2.4629979020499113</v>
      </c>
      <c r="W8" s="35">
        <f t="shared" si="5"/>
        <v>2.5765421053344122</v>
      </c>
      <c r="X8" s="35">
        <f t="shared" si="5"/>
        <v>2.6953206963903287</v>
      </c>
      <c r="Y8" s="69"/>
      <c r="AA8">
        <v>0.8</v>
      </c>
      <c r="AB8" s="28">
        <f>((($AA8*Fremtidsresultat!C$8)-Fremtidsresultat!C$13)-(C$6*C$5))/C$8</f>
        <v>1894.3417037181644</v>
      </c>
      <c r="AC8" s="28">
        <f>((($AA8*Fremtidsresultat!D$8)-Fremtidsresultat!D$13)-(D$6*D$5))/D$8</f>
        <v>2861.2971084529531</v>
      </c>
      <c r="AD8" s="28">
        <f>((($AA8*Fremtidsresultat!E$8)-Fremtidsresultat!E$13)-(E$6*E$5))/E$8</f>
        <v>3148.7641131161545</v>
      </c>
      <c r="AE8" s="28">
        <f>((($AA8*Fremtidsresultat!F$8)-Fremtidsresultat!F$13)-(F$6*F$5))/F$8</f>
        <v>2064.0140544837054</v>
      </c>
      <c r="AF8" s="28">
        <f>((($AA8*Fremtidsresultat!G$8)-Fremtidsresultat!G$13)-(G$6*G$5))/G$8</f>
        <v>1651.4590903195206</v>
      </c>
      <c r="AG8" s="28">
        <f>((($AA8*Fremtidsresultat!H$8)-Fremtidsresultat!H$13)-(H$6*H$5))/H$8</f>
        <v>132.14860794950383</v>
      </c>
      <c r="AH8" s="28">
        <f>((($AA8*Fremtidsresultat!I$8)-Fremtidsresultat!I$13)-(I$6*I$5))/I$8</f>
        <v>-474.57691132591555</v>
      </c>
      <c r="AI8" s="28">
        <f>((($AA8*Fremtidsresultat!J$8)-Fremtidsresultat!J$13)-(J$6*J$5))/J$8</f>
        <v>-521.62683808331474</v>
      </c>
      <c r="AJ8" s="28">
        <f>((($AA8*Fremtidsresultat!K$8)-Fremtidsresultat!K$13)-(K$6*K$5))/K$8</f>
        <v>-470.03355636139554</v>
      </c>
      <c r="AK8" s="28">
        <f>((($AA8*Fremtidsresultat!L$8)-Fremtidsresultat!L$13)-(L$6*L$5))/L$8</f>
        <v>-361.18541204231786</v>
      </c>
      <c r="AL8" s="28">
        <f>((($AA8*Fremtidsresultat!M$8)-Fremtidsresultat!M$13)-(M$6*M$5))/M$8</f>
        <v>-201.47153428194449</v>
      </c>
      <c r="AM8" s="28">
        <f>((($AA8*Fremtidsresultat!N$8)-Fremtidsresultat!N$13)-(N$6*N$5))/N$8</f>
        <v>-100.51305949074447</v>
      </c>
      <c r="AN8" s="28">
        <f>((($AA8*Fremtidsresultat!O$8)-Fremtidsresultat!O$13)-(O$6*O$5))/O$8</f>
        <v>-92.175653947761901</v>
      </c>
      <c r="AO8" s="28">
        <f>((($AA8*Fremtidsresultat!P$8)-Fremtidsresultat!P$13)-(P$6*P$5))/P$8</f>
        <v>-96.313389260026099</v>
      </c>
      <c r="AP8" s="28">
        <f>((($AA8*Fremtidsresultat!Q$8)-Fremtidsresultat!Q$13)-(Q$6*Q$5))/Q$8</f>
        <v>-158.96284069462402</v>
      </c>
      <c r="AQ8" s="28">
        <f>((($AA8*Fremtidsresultat!R$8)-Fremtidsresultat!R$13)-(R$6*R$5))/R$8</f>
        <v>-120.63532171695769</v>
      </c>
      <c r="AR8" s="28">
        <f>((($AA8*Fremtidsresultat!S$8)-Fremtidsresultat!S$13)-(S$6*S$5))/S$8</f>
        <v>-114.98963709463651</v>
      </c>
      <c r="AS8" s="28">
        <f>((($AA8*Fremtidsresultat!T$8)-Fremtidsresultat!T$13)-(T$6*T$5))/T$8</f>
        <v>-107.75936176181081</v>
      </c>
      <c r="AT8" s="28">
        <f>((($AA8*Fremtidsresultat!U$8)-Fremtidsresultat!U$13)-(U$6*U$5))/U$8</f>
        <v>-63.575324610760326</v>
      </c>
      <c r="AU8" s="28">
        <f>((($AA8*Fremtidsresultat!V$8)-Fremtidsresultat!V$13)-(V$6*V$5))/V$8</f>
        <v>-29.139075507350299</v>
      </c>
      <c r="AV8" s="28">
        <f>((($AA8*Fremtidsresultat!W$8)-Fremtidsresultat!W$13)-(W$6*W$5))/W$8</f>
        <v>-18.049053419714621</v>
      </c>
      <c r="AW8" s="28">
        <f>((($AA8*Fremtidsresultat!X$8)-Fremtidsresultat!X$13)-(X$6*X$5))/X$8</f>
        <v>-18.210627487255206</v>
      </c>
      <c r="AX8" s="28">
        <f t="shared" si="1"/>
        <v>8802.8070809534729</v>
      </c>
      <c r="AY8" s="28">
        <f t="shared" si="2"/>
        <v>402.8376525188234</v>
      </c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</row>
    <row r="9" spans="2:81" ht="16" thickBot="1" x14ac:dyDescent="0.25">
      <c r="B9" s="80" t="s">
        <v>328</v>
      </c>
      <c r="C9" s="81">
        <f>C7/C8</f>
        <v>2703.4195563530175</v>
      </c>
      <c r="D9" s="65">
        <f t="shared" ref="D9:X9" si="6">D7/D8</f>
        <v>3906.295641540205</v>
      </c>
      <c r="E9" s="65">
        <f t="shared" si="6"/>
        <v>4245.7566046960601</v>
      </c>
      <c r="F9" s="65">
        <f t="shared" si="6"/>
        <v>2869.041435009749</v>
      </c>
      <c r="G9" s="65">
        <f t="shared" si="6"/>
        <v>2344.6631394279934</v>
      </c>
      <c r="H9" s="65">
        <f t="shared" si="6"/>
        <v>429.56097498795225</v>
      </c>
      <c r="I9" s="65">
        <f t="shared" si="6"/>
        <v>-334.91788914198833</v>
      </c>
      <c r="J9" s="65">
        <f t="shared" si="6"/>
        <v>-410.05524839973162</v>
      </c>
      <c r="K9" s="65">
        <f t="shared" si="6"/>
        <v>-363.37875310780311</v>
      </c>
      <c r="L9" s="65">
        <f t="shared" si="6"/>
        <v>-232.21708375800509</v>
      </c>
      <c r="M9" s="65">
        <f t="shared" si="6"/>
        <v>-45.699403890513153</v>
      </c>
      <c r="N9" s="65">
        <f t="shared" si="6"/>
        <v>82.133553794638004</v>
      </c>
      <c r="O9" s="65">
        <f t="shared" si="6"/>
        <v>78.930053938362576</v>
      </c>
      <c r="P9" s="65">
        <f t="shared" si="6"/>
        <v>63.913887925671872</v>
      </c>
      <c r="Q9" s="65">
        <f t="shared" si="6"/>
        <v>-8.9874952104484471</v>
      </c>
      <c r="R9" s="65">
        <f t="shared" si="6"/>
        <v>19.680499606663183</v>
      </c>
      <c r="S9" s="65">
        <f t="shared" si="6"/>
        <v>8.2388097883866482</v>
      </c>
      <c r="T9" s="65">
        <f t="shared" si="6"/>
        <v>-4.5383508861136991E-2</v>
      </c>
      <c r="U9" s="65">
        <f t="shared" si="6"/>
        <v>23.101673727996126</v>
      </c>
      <c r="V9" s="65">
        <f t="shared" si="6"/>
        <v>9.3505300691624953</v>
      </c>
      <c r="W9" s="65">
        <f t="shared" si="6"/>
        <v>-2.2072545252343212</v>
      </c>
      <c r="X9" s="65">
        <f t="shared" si="6"/>
        <v>-3.4363099692449426</v>
      </c>
      <c r="Y9" s="69"/>
      <c r="AA9">
        <v>0.7</v>
      </c>
      <c r="AB9" s="28">
        <f>((($AA9*Fremtidsresultat!C$8)-Fremtidsresultat!C$13)-(C$6*C$5))/C$8</f>
        <v>1489.8027774007376</v>
      </c>
      <c r="AC9" s="28">
        <f>((($AA9*Fremtidsresultat!D$8)-Fremtidsresultat!D$13)-(D$6*D$5))/D$8</f>
        <v>2338.7978419093261</v>
      </c>
      <c r="AD9" s="28">
        <f>((($AA9*Fremtidsresultat!E$8)-Fremtidsresultat!E$13)-(E$6*E$5))/E$8</f>
        <v>2600.2678673262003</v>
      </c>
      <c r="AE9" s="28">
        <f>((($AA9*Fremtidsresultat!F$8)-Fremtidsresultat!F$13)-(F$6*F$5))/F$8</f>
        <v>1661.500364220683</v>
      </c>
      <c r="AF9" s="28">
        <f>((($AA9*Fremtidsresultat!G$8)-Fremtidsresultat!G$13)-(G$6*G$5))/G$8</f>
        <v>1304.8570657652838</v>
      </c>
      <c r="AG9" s="28">
        <f>((($AA9*Fremtidsresultat!H$8)-Fremtidsresultat!H$13)-(H$6*H$5))/H$8</f>
        <v>-16.55757556972064</v>
      </c>
      <c r="AH9" s="28">
        <f>((($AA9*Fremtidsresultat!I$8)-Fremtidsresultat!I$13)-(I$6*I$5))/I$8</f>
        <v>-544.40642241787918</v>
      </c>
      <c r="AI9" s="28">
        <f>((($AA9*Fremtidsresultat!J$8)-Fremtidsresultat!J$13)-(J$6*J$5))/J$8</f>
        <v>-577.41263292510644</v>
      </c>
      <c r="AJ9" s="28">
        <f>((($AA9*Fremtidsresultat!K$8)-Fremtidsresultat!K$13)-(K$6*K$5))/K$8</f>
        <v>-523.36095798819201</v>
      </c>
      <c r="AK9" s="28">
        <f>((($AA9*Fremtidsresultat!L$8)-Fremtidsresultat!L$13)-(L$6*L$5))/L$8</f>
        <v>-425.66957618447429</v>
      </c>
      <c r="AL9" s="28">
        <f>((($AA9*Fremtidsresultat!M$8)-Fremtidsresultat!M$13)-(M$6*M$5))/M$8</f>
        <v>-279.35759947766013</v>
      </c>
      <c r="AM9" s="28">
        <f>((($AA9*Fremtidsresultat!N$8)-Fremtidsresultat!N$13)-(N$6*N$5))/N$8</f>
        <v>-191.83636613343594</v>
      </c>
      <c r="AN9" s="28">
        <f>((($AA9*Fremtidsresultat!O$8)-Fremtidsresultat!O$13)-(O$6*O$5))/O$8</f>
        <v>-177.72850789082429</v>
      </c>
      <c r="AO9" s="28">
        <f>((($AA9*Fremtidsresultat!P$8)-Fremtidsresultat!P$13)-(P$6*P$5))/P$8</f>
        <v>-176.42702785287523</v>
      </c>
      <c r="AP9" s="28">
        <f>((($AA9*Fremtidsresultat!Q$8)-Fremtidsresultat!Q$13)-(Q$6*Q$5))/Q$8</f>
        <v>-233.95051343671173</v>
      </c>
      <c r="AQ9" s="28">
        <f>((($AA9*Fremtidsresultat!R$8)-Fremtidsresultat!R$13)-(R$6*R$5))/R$8</f>
        <v>-190.79323237876827</v>
      </c>
      <c r="AR9" s="28">
        <f>((($AA9*Fremtidsresultat!S$8)-Fremtidsresultat!S$13)-(S$6*S$5))/S$8</f>
        <v>-176.6038605361482</v>
      </c>
      <c r="AS9" s="28">
        <f>((($AA9*Fremtidsresultat!T$8)-Fremtidsresultat!T$13)-(T$6*T$5))/T$8</f>
        <v>-161.61635088828572</v>
      </c>
      <c r="AT9" s="28">
        <f>((($AA9*Fremtidsresultat!U$8)-Fremtidsresultat!U$13)-(U$6*U$5))/U$8</f>
        <v>-106.9138237801386</v>
      </c>
      <c r="AU9" s="28">
        <f>((($AA9*Fremtidsresultat!V$8)-Fremtidsresultat!V$13)-(V$6*V$5))/V$8</f>
        <v>-48.383878295606742</v>
      </c>
      <c r="AV9" s="28">
        <f>((($AA9*Fremtidsresultat!W$8)-Fremtidsresultat!W$13)-(W$6*W$5))/W$8</f>
        <v>-25.969952866954774</v>
      </c>
      <c r="AW9" s="28">
        <f>((($AA9*Fremtidsresultat!X$8)-Fremtidsresultat!X$13)-(X$6*X$5))/X$8</f>
        <v>-25.597786246260338</v>
      </c>
      <c r="AX9" s="28">
        <f t="shared" si="1"/>
        <v>5512.6398517531879</v>
      </c>
      <c r="AY9" s="28">
        <f t="shared" si="2"/>
        <v>300.63984572758437</v>
      </c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</row>
    <row r="10" spans="2:81" ht="16" thickTop="1" x14ac:dyDescent="0.2">
      <c r="B10" s="34" t="s">
        <v>339</v>
      </c>
      <c r="C10" s="64">
        <f>SUM(C9:X9)</f>
        <v>15383.14153935403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2:81" x14ac:dyDescent="0.2">
      <c r="B11" s="34" t="s">
        <v>11</v>
      </c>
      <c r="C11" s="64">
        <f>Balansen!F29/1000000</f>
        <v>4166.1918107040001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</row>
    <row r="12" spans="2:81" x14ac:dyDescent="0.2">
      <c r="B12" s="57" t="s">
        <v>329</v>
      </c>
      <c r="C12" s="72">
        <f>C10+C11</f>
        <v>19549.33335005803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2:81" x14ac:dyDescent="0.2">
      <c r="B13" s="34" t="s">
        <v>330</v>
      </c>
      <c r="C13" s="35">
        <v>32.194108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2:81" x14ac:dyDescent="0.2">
      <c r="B14" s="57" t="s">
        <v>331</v>
      </c>
      <c r="C14" s="72">
        <f>C12/C13</f>
        <v>607.23326610130118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</row>
    <row r="15" spans="2:81" x14ac:dyDescent="0.2">
      <c r="C15" s="69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69"/>
    </row>
    <row r="16" spans="2:81" x14ac:dyDescent="0.2">
      <c r="B16" t="s">
        <v>313</v>
      </c>
    </row>
    <row r="17" spans="2:51" x14ac:dyDescent="0.2">
      <c r="B17" s="34" t="str">
        <f t="shared" ref="B17:X17" si="7">B3</f>
        <v>År</v>
      </c>
      <c r="C17" s="34" t="str">
        <f t="shared" si="7"/>
        <v>E2023</v>
      </c>
      <c r="D17" s="34" t="str">
        <f t="shared" si="7"/>
        <v>E2024</v>
      </c>
      <c r="E17" s="34" t="str">
        <f t="shared" si="7"/>
        <v>E2025</v>
      </c>
      <c r="F17" s="34" t="str">
        <f t="shared" si="7"/>
        <v>E2026</v>
      </c>
      <c r="G17" s="34" t="str">
        <f t="shared" si="7"/>
        <v>E2027</v>
      </c>
      <c r="H17" s="34" t="str">
        <f t="shared" si="7"/>
        <v>E2028</v>
      </c>
      <c r="I17" s="34" t="str">
        <f t="shared" si="7"/>
        <v>E2029</v>
      </c>
      <c r="J17" s="34" t="str">
        <f t="shared" si="7"/>
        <v>E2030</v>
      </c>
      <c r="K17" s="34" t="str">
        <f t="shared" si="7"/>
        <v>E2031</v>
      </c>
      <c r="L17" s="34" t="str">
        <f t="shared" si="7"/>
        <v>E2032</v>
      </c>
      <c r="M17" s="34" t="str">
        <f t="shared" si="7"/>
        <v>E2033</v>
      </c>
      <c r="N17" s="34" t="str">
        <f t="shared" si="7"/>
        <v>E2034</v>
      </c>
      <c r="O17" s="34" t="str">
        <f t="shared" si="7"/>
        <v>E2035</v>
      </c>
      <c r="P17" s="34" t="str">
        <f t="shared" si="7"/>
        <v>E2036</v>
      </c>
      <c r="Q17" s="34" t="str">
        <f t="shared" si="7"/>
        <v>E2037</v>
      </c>
      <c r="R17" s="34" t="str">
        <f t="shared" si="7"/>
        <v>E2038</v>
      </c>
      <c r="S17" s="34" t="str">
        <f t="shared" si="7"/>
        <v>E2039</v>
      </c>
      <c r="T17" s="34" t="str">
        <f t="shared" si="7"/>
        <v>E2040</v>
      </c>
      <c r="U17" s="34" t="str">
        <f t="shared" si="7"/>
        <v>E2041</v>
      </c>
      <c r="V17" s="34" t="str">
        <f t="shared" si="7"/>
        <v>E2042</v>
      </c>
      <c r="W17" s="34" t="str">
        <f t="shared" si="7"/>
        <v>E2043</v>
      </c>
      <c r="X17" s="34" t="str">
        <f t="shared" si="7"/>
        <v>E2044</v>
      </c>
    </row>
    <row r="18" spans="2:51" x14ac:dyDescent="0.2">
      <c r="B18" s="34" t="str">
        <f t="shared" ref="B18:B28" si="8">B4</f>
        <v>Netto driftsresultat</v>
      </c>
      <c r="C18" s="64">
        <f>Fremtidsresultat!C27</f>
        <v>1406.7491591151597</v>
      </c>
      <c r="D18" s="64">
        <f>Fremtidsresultat!D27</f>
        <v>1347.6905818526875</v>
      </c>
      <c r="E18" s="64">
        <f>Fremtidsresultat!E27</f>
        <v>1352.3541410718462</v>
      </c>
      <c r="F18" s="64">
        <f>Fremtidsresultat!F27</f>
        <v>843.14875904283986</v>
      </c>
      <c r="G18" s="64">
        <f>Fremtidsresultat!G27</f>
        <v>771.66497751018642</v>
      </c>
      <c r="H18" s="64">
        <f>Fremtidsresultat!H27</f>
        <v>739.4104849977648</v>
      </c>
      <c r="I18" s="64">
        <f>Fremtidsresultat!I27</f>
        <v>657.6410672859804</v>
      </c>
      <c r="J18" s="64">
        <f>Fremtidsresultat!J27</f>
        <v>634.81242587084489</v>
      </c>
      <c r="K18" s="64">
        <f>Fremtidsresultat!K27</f>
        <v>626.55017627829238</v>
      </c>
      <c r="L18" s="64">
        <f>Fremtidsresultat!L27</f>
        <v>544.1098463447745</v>
      </c>
      <c r="M18" s="64">
        <f>Fremtidsresultat!M27</f>
        <v>515.66687446347123</v>
      </c>
      <c r="N18" s="64">
        <f>Fremtidsresultat!N27</f>
        <v>390.85160779542753</v>
      </c>
      <c r="O18" s="64">
        <f>Fremtidsresultat!O27</f>
        <v>371.78930044490812</v>
      </c>
      <c r="P18" s="64">
        <f>Fremtidsresultat!P27</f>
        <v>330.29511159826302</v>
      </c>
      <c r="Q18" s="64">
        <f>Fremtidsresultat!Q27</f>
        <v>172.69410362557142</v>
      </c>
      <c r="R18" s="64">
        <f>Fremtidsresultat!R27</f>
        <v>211.03133006640542</v>
      </c>
      <c r="S18" s="64">
        <f>Fremtidsresultat!S27</f>
        <v>164.28883193623642</v>
      </c>
      <c r="T18" s="64">
        <f>Fremtidsresultat!T27</f>
        <v>123.43079547922389</v>
      </c>
      <c r="U18" s="64">
        <f>Fremtidsresultat!U27</f>
        <v>151.8253256272726</v>
      </c>
      <c r="V18" s="64">
        <f>Fremtidsresultat!V27</f>
        <v>68.438014256293116</v>
      </c>
      <c r="W18" s="64">
        <f>Fremtidsresultat!W27</f>
        <v>16.180036487120532</v>
      </c>
      <c r="X18" s="64">
        <f>Fremtidsresultat!X27</f>
        <v>8.8689781215500716</v>
      </c>
      <c r="AA18">
        <v>1.3</v>
      </c>
      <c r="AB18" s="28">
        <f>(((($AA18*Fremtidsresultat!C$21)-Fremtidsresultat!C$26)-(C$20*C$19)))/C$22</f>
        <v>1569.5579387193304</v>
      </c>
      <c r="AC18" s="28">
        <f>(((($AA18*Fremtidsresultat!D$21)-Fremtidsresultat!D$26)-(D$20*D$19)))/D$22</f>
        <v>1464.5241266063597</v>
      </c>
      <c r="AD18" s="28">
        <f>(((($AA18*Fremtidsresultat!E$21)-Fremtidsresultat!E$26)-(E$20*E$19)))/E$22</f>
        <v>1421.3630699419421</v>
      </c>
      <c r="AE18" s="28">
        <f>(((($AA18*Fremtidsresultat!F$21)-Fremtidsresultat!F$26)-(F$20*F$19)))/F$22</f>
        <v>818.91129201496881</v>
      </c>
      <c r="AF18" s="28">
        <f>(((($AA18*Fremtidsresultat!G$21)-Fremtidsresultat!G$26)-(G$20*G$19)))/G$22</f>
        <v>734.06294832790775</v>
      </c>
      <c r="AG18" s="28">
        <f>(((($AA18*Fremtidsresultat!H$21)-Fremtidsresultat!H$26)-(H$20*H$19)))/H$22</f>
        <v>685.03697118561217</v>
      </c>
      <c r="AH18" s="28">
        <f>(((($AA18*Fremtidsresultat!I$21)-Fremtidsresultat!I$26)-(I$20*I$19)))/I$22</f>
        <v>602.78841892393814</v>
      </c>
      <c r="AI18" s="28">
        <f>(((($AA18*Fremtidsresultat!J$21)-Fremtidsresultat!J$26)-(J$20*J$19)))/J$22</f>
        <v>567.55754081773182</v>
      </c>
      <c r="AJ18" s="28">
        <f>(((($AA18*Fremtidsresultat!K$21)-Fremtidsresultat!K$26)-(K$20*K$19)))/K$22</f>
        <v>543.9705881864511</v>
      </c>
      <c r="AK18" s="28">
        <f>(((($AA18*Fremtidsresultat!L$21)-Fremtidsresultat!L$26)-(L$20*L$19)))/L$22</f>
        <v>474.09487847020102</v>
      </c>
      <c r="AL18" s="28">
        <f>(((($AA18*Fremtidsresultat!M$21)-Fremtidsresultat!M$26)-(M$20*M$19)))/M$22</f>
        <v>442.2116490588005</v>
      </c>
      <c r="AM18" s="28">
        <f>(((($AA18*Fremtidsresultat!N$21)-Fremtidsresultat!N$26)-(N$20*N$19)))/N$22</f>
        <v>356.10347372271201</v>
      </c>
      <c r="AN18" s="28">
        <f>(((($AA18*Fremtidsresultat!O$21)-Fremtidsresultat!O$26)-(O$20*O$19)))/O$22</f>
        <v>335.58861576754941</v>
      </c>
      <c r="AO18" s="28">
        <f>(((($AA18*Fremtidsresultat!P$21)-Fremtidsresultat!P$26)-(P$20*P$19)))/P$22</f>
        <v>304.254803704219</v>
      </c>
      <c r="AP18" s="28">
        <f>(((($AA18*Fremtidsresultat!Q$21)-Fremtidsresultat!Q$26)-(Q$20*Q$19)))/Q$22</f>
        <v>215.97552301581484</v>
      </c>
      <c r="AQ18" s="28">
        <f>(((($AA18*Fremtidsresultat!R$21)-Fremtidsresultat!R$26)-(R$20*R$19)))/R$22</f>
        <v>230.15423159209459</v>
      </c>
      <c r="AR18" s="28">
        <f>(((($AA18*Fremtidsresultat!S$21)-Fremtidsresultat!S$26)-(S$20*S$19)))/S$22</f>
        <v>193.08148011292155</v>
      </c>
      <c r="AS18" s="28">
        <f>(((($AA18*Fremtidsresultat!T$21)-Fremtidsresultat!T$26)-(T$20*T$19)))/T$22</f>
        <v>161.52558387056342</v>
      </c>
      <c r="AT18" s="28">
        <f>(((($AA18*Fremtidsresultat!U$21)-Fremtidsresultat!U$26)-(U$20*U$19)))/U$22</f>
        <v>153.11717123613079</v>
      </c>
      <c r="AU18" s="28">
        <f>(((($AA18*Fremtidsresultat!V$21)-Fremtidsresultat!V$26)-(V$20*V$19)))/V$22</f>
        <v>67.084938433931725</v>
      </c>
      <c r="AV18" s="28">
        <f>(((($AA18*Fremtidsresultat!W$21)-Fremtidsresultat!W$26)-(W$20*W$19)))/W$22</f>
        <v>21.555443816486132</v>
      </c>
      <c r="AW18" s="28">
        <f>(((($AA18*Fremtidsresultat!X$21)-Fremtidsresultat!X$26)-(X$20*X$19)))/X$22</f>
        <v>18.725166307770454</v>
      </c>
      <c r="AX18" s="28">
        <f>SUM(AB18:AW18)</f>
        <v>11381.245853833441</v>
      </c>
      <c r="AY18" s="28">
        <f t="shared" ref="AY18:AY24" si="9">(AX18+$C$11)/$C$27</f>
        <v>482.92804585663441</v>
      </c>
    </row>
    <row r="19" spans="2:51" x14ac:dyDescent="0.2">
      <c r="B19" s="34" t="str">
        <f t="shared" si="8"/>
        <v>WACC</v>
      </c>
      <c r="C19" s="71">
        <f>C5</f>
        <v>4.6100000000000002E-2</v>
      </c>
      <c r="D19" s="71">
        <f t="shared" ref="D19:X19" si="10">D5</f>
        <v>4.6100000000000002E-2</v>
      </c>
      <c r="E19" s="71">
        <f t="shared" si="10"/>
        <v>4.6100000000000002E-2</v>
      </c>
      <c r="F19" s="71">
        <f t="shared" si="10"/>
        <v>4.6100000000000002E-2</v>
      </c>
      <c r="G19" s="71">
        <f t="shared" si="10"/>
        <v>4.6100000000000002E-2</v>
      </c>
      <c r="H19" s="71">
        <f t="shared" si="10"/>
        <v>4.6100000000000002E-2</v>
      </c>
      <c r="I19" s="71">
        <f t="shared" si="10"/>
        <v>4.6100000000000002E-2</v>
      </c>
      <c r="J19" s="71">
        <f t="shared" si="10"/>
        <v>4.6100000000000002E-2</v>
      </c>
      <c r="K19" s="71">
        <f t="shared" si="10"/>
        <v>4.6100000000000002E-2</v>
      </c>
      <c r="L19" s="71">
        <f t="shared" si="10"/>
        <v>4.6100000000000002E-2</v>
      </c>
      <c r="M19" s="71">
        <f t="shared" si="10"/>
        <v>4.6100000000000002E-2</v>
      </c>
      <c r="N19" s="71">
        <f t="shared" si="10"/>
        <v>4.6100000000000002E-2</v>
      </c>
      <c r="O19" s="71">
        <f t="shared" si="10"/>
        <v>4.6100000000000002E-2</v>
      </c>
      <c r="P19" s="71">
        <f t="shared" si="10"/>
        <v>4.6100000000000002E-2</v>
      </c>
      <c r="Q19" s="71">
        <f t="shared" si="10"/>
        <v>4.6100000000000002E-2</v>
      </c>
      <c r="R19" s="71">
        <f t="shared" si="10"/>
        <v>4.6100000000000002E-2</v>
      </c>
      <c r="S19" s="71">
        <f t="shared" si="10"/>
        <v>4.6100000000000002E-2</v>
      </c>
      <c r="T19" s="71">
        <f t="shared" si="10"/>
        <v>4.6100000000000002E-2</v>
      </c>
      <c r="U19" s="71">
        <f t="shared" si="10"/>
        <v>4.6100000000000002E-2</v>
      </c>
      <c r="V19" s="71">
        <f t="shared" si="10"/>
        <v>4.6100000000000002E-2</v>
      </c>
      <c r="W19" s="71">
        <f t="shared" si="10"/>
        <v>4.6100000000000002E-2</v>
      </c>
      <c r="X19" s="71">
        <f t="shared" si="10"/>
        <v>4.6100000000000002E-2</v>
      </c>
      <c r="AA19">
        <v>1.2</v>
      </c>
      <c r="AB19" s="28">
        <f>(((($AA19*Fremtidsresultat!C$21)-Fremtidsresultat!C$26)-(C$20*C$19)))/C$22</f>
        <v>1345.5942736777474</v>
      </c>
      <c r="AC19" s="28">
        <f>(((($AA19*Fremtidsresultat!D$21)-Fremtidsresultat!D$26)-(D$20*D$19)))/D$22</f>
        <v>1250.4301919523273</v>
      </c>
      <c r="AD19" s="28">
        <f>(((($AA19*Fremtidsresultat!E$21)-Fremtidsresultat!E$26)-(E$20*E$19)))/E$22</f>
        <v>1216.7039220076792</v>
      </c>
      <c r="AE19" s="28">
        <f>(((($AA19*Fremtidsresultat!F$21)-Fremtidsresultat!F$26)-(F$20*F$19)))/F$22</f>
        <v>666.98769511993487</v>
      </c>
      <c r="AF19" s="28">
        <f>(((($AA19*Fremtidsresultat!G$21)-Fremtidsresultat!G$26)-(G$20*G$19)))/G$22</f>
        <v>591.33832875542475</v>
      </c>
      <c r="AG19" s="28">
        <f>(((($AA19*Fremtidsresultat!H$21)-Fremtidsresultat!H$26)-(H$20*H$19)))/H$22</f>
        <v>550.99559954023493</v>
      </c>
      <c r="AH19" s="28">
        <f>(((($AA19*Fremtidsresultat!I$21)-Fremtidsresultat!I$26)-(I$20*I$19)))/I$22</f>
        <v>476.94215592504872</v>
      </c>
      <c r="AI19" s="28">
        <f>(((($AA19*Fremtidsresultat!J$21)-Fremtidsresultat!J$26)-(J$20*J$19)))/J$22</f>
        <v>449.44440715347179</v>
      </c>
      <c r="AJ19" s="28">
        <f>(((($AA19*Fremtidsresultat!K$21)-Fremtidsresultat!K$26)-(K$20*K$19)))/K$22</f>
        <v>433.1534068355113</v>
      </c>
      <c r="AK19" s="28">
        <f>(((($AA19*Fremtidsresultat!L$21)-Fremtidsresultat!L$26)-(L$20*L$19)))/L$22</f>
        <v>370.15998588175694</v>
      </c>
      <c r="AL19" s="28">
        <f>(((($AA19*Fremtidsresultat!M$21)-Fremtidsresultat!M$26)-(M$20*M$19)))/M$22</f>
        <v>344.76767175830281</v>
      </c>
      <c r="AM19" s="28">
        <f>(((($AA19*Fremtidsresultat!N$21)-Fremtidsresultat!N$26)-(N$20*N$19)))/N$22</f>
        <v>264.78016708002048</v>
      </c>
      <c r="AN19" s="28">
        <f>(((($AA19*Fremtidsresultat!O$21)-Fremtidsresultat!O$26)-(O$20*O$19)))/O$22</f>
        <v>250.03576182448703</v>
      </c>
      <c r="AO19" s="28">
        <f>(((($AA19*Fremtidsresultat!P$21)-Fremtidsresultat!P$26)-(P$20*P$19)))/P$22</f>
        <v>224.14116511136984</v>
      </c>
      <c r="AP19" s="28">
        <f>(((($AA19*Fremtidsresultat!Q$21)-Fremtidsresultat!Q$26)-(Q$20*Q$19)))/Q$22</f>
        <v>140.9878502737271</v>
      </c>
      <c r="AQ19" s="28">
        <f>(((($AA19*Fremtidsresultat!R$21)-Fremtidsresultat!R$26)-(R$20*R$19)))/R$22</f>
        <v>159.99632093028404</v>
      </c>
      <c r="AR19" s="28">
        <f>(((($AA19*Fremtidsresultat!S$21)-Fremtidsresultat!S$26)-(S$20*S$19)))/S$22</f>
        <v>131.46725667140981</v>
      </c>
      <c r="AS19" s="28">
        <f>(((($AA19*Fremtidsresultat!T$21)-Fremtidsresultat!T$26)-(T$20*T$19)))/T$22</f>
        <v>107.66859474408861</v>
      </c>
      <c r="AT19" s="28">
        <f>(((($AA19*Fremtidsresultat!U$21)-Fremtidsresultat!U$26)-(U$20*U$19)))/U$22</f>
        <v>109.77867206675256</v>
      </c>
      <c r="AU19" s="28">
        <f>(((($AA19*Fremtidsresultat!V$21)-Fremtidsresultat!V$26)-(V$20*V$19)))/V$22</f>
        <v>47.840135645675289</v>
      </c>
      <c r="AV19" s="28">
        <f>(((($AA19*Fremtidsresultat!W$21)-Fremtidsresultat!W$26)-(W$20*W$19)))/W$22</f>
        <v>13.634544369245978</v>
      </c>
      <c r="AW19" s="28">
        <f>(((($AA19*Fremtidsresultat!X$21)-Fremtidsresultat!X$26)-(X$20*X$19)))/X$22</f>
        <v>11.338007548765322</v>
      </c>
      <c r="AX19" s="28">
        <f t="shared" ref="AX19:AX24" si="11">SUM(AB19:AW19)</f>
        <v>9158.1861148732696</v>
      </c>
      <c r="AY19" s="28">
        <f t="shared" si="9"/>
        <v>413.87628834373265</v>
      </c>
    </row>
    <row r="20" spans="2:51" x14ac:dyDescent="0.2">
      <c r="B20" s="34" t="str">
        <f t="shared" si="8"/>
        <v>Anleggsmidler T-1</v>
      </c>
      <c r="C20" s="64">
        <f t="shared" ref="C20:X20" si="12">C6</f>
        <v>10145.331223879999</v>
      </c>
      <c r="D20" s="64">
        <f t="shared" si="12"/>
        <v>9715.6199447747586</v>
      </c>
      <c r="E20" s="64">
        <f t="shared" si="12"/>
        <v>9285.9086656695181</v>
      </c>
      <c r="F20" s="64">
        <f t="shared" si="12"/>
        <v>8856.1973865642776</v>
      </c>
      <c r="G20" s="64">
        <f t="shared" si="12"/>
        <v>8426.4861074590372</v>
      </c>
      <c r="H20" s="64">
        <f t="shared" si="12"/>
        <v>7996.7748283537967</v>
      </c>
      <c r="I20" s="64">
        <f t="shared" si="12"/>
        <v>7567.0635492485562</v>
      </c>
      <c r="J20" s="64">
        <f t="shared" si="12"/>
        <v>7137.3522701433158</v>
      </c>
      <c r="K20" s="64">
        <f t="shared" si="12"/>
        <v>6707.6409910380753</v>
      </c>
      <c r="L20" s="64">
        <f t="shared" si="12"/>
        <v>6277.9297119328348</v>
      </c>
      <c r="M20" s="64">
        <f t="shared" si="12"/>
        <v>5848.2184328275944</v>
      </c>
      <c r="N20" s="64">
        <f t="shared" si="12"/>
        <v>5418.5071537223539</v>
      </c>
      <c r="O20" s="64">
        <f t="shared" si="12"/>
        <v>4988.7958746171134</v>
      </c>
      <c r="P20" s="64">
        <f t="shared" si="12"/>
        <v>4559.084595511873</v>
      </c>
      <c r="Q20" s="64">
        <f t="shared" si="12"/>
        <v>4129.3733164066325</v>
      </c>
      <c r="R20" s="64">
        <f t="shared" si="12"/>
        <v>3699.662037301393</v>
      </c>
      <c r="S20" s="64">
        <f t="shared" si="12"/>
        <v>3179.238758196153</v>
      </c>
      <c r="T20" s="64">
        <f t="shared" si="12"/>
        <v>2679.6733221023278</v>
      </c>
      <c r="U20" s="64">
        <f t="shared" si="12"/>
        <v>2113.5231803613474</v>
      </c>
      <c r="V20" s="64">
        <f t="shared" si="12"/>
        <v>984.98217598462634</v>
      </c>
      <c r="W20" s="64">
        <f t="shared" si="12"/>
        <v>474.34101320122943</v>
      </c>
      <c r="X20" s="64">
        <f t="shared" si="12"/>
        <v>393.29578092989971</v>
      </c>
      <c r="AA20" s="76">
        <v>1.1000000000000001</v>
      </c>
      <c r="AB20" s="28">
        <f>(((($AA20*Fremtidsresultat!C$21)-Fremtidsresultat!C$26)-(C$20*C$19)))/C$22</f>
        <v>1121.6306086361647</v>
      </c>
      <c r="AC20" s="28">
        <f>(((($AA20*Fremtidsresultat!D$21)-Fremtidsresultat!D$26)-(D$20*D$19)))/D$22</f>
        <v>1036.3362572982955</v>
      </c>
      <c r="AD20" s="28">
        <f>(((($AA20*Fremtidsresultat!E$21)-Fremtidsresultat!E$26)-(E$20*E$19)))/E$22</f>
        <v>1012.0447740734168</v>
      </c>
      <c r="AE20" s="28">
        <f>(((($AA20*Fremtidsresultat!F$21)-Fremtidsresultat!F$26)-(F$20*F$19)))/F$22</f>
        <v>515.06409822490139</v>
      </c>
      <c r="AF20" s="28">
        <f>(((($AA20*Fremtidsresultat!G$21)-Fremtidsresultat!G$26)-(G$20*G$19)))/G$22</f>
        <v>448.61370918294188</v>
      </c>
      <c r="AG20" s="28">
        <f>(((($AA20*Fremtidsresultat!H$21)-Fremtidsresultat!H$26)-(H$20*H$19)))/H$22</f>
        <v>416.95422789485787</v>
      </c>
      <c r="AH20" s="28">
        <f>(((($AA20*Fremtidsresultat!I$21)-Fremtidsresultat!I$26)-(I$20*I$19)))/I$22</f>
        <v>351.09589292615931</v>
      </c>
      <c r="AI20" s="28">
        <f>(((($AA20*Fremtidsresultat!J$21)-Fremtidsresultat!J$26)-(J$20*J$19)))/J$22</f>
        <v>331.33127348921204</v>
      </c>
      <c r="AJ20" s="28">
        <f>(((($AA20*Fremtidsresultat!K$21)-Fremtidsresultat!K$26)-(K$20*K$19)))/K$22</f>
        <v>322.33622548457174</v>
      </c>
      <c r="AK20" s="28">
        <f>(((($AA20*Fremtidsresultat!L$21)-Fremtidsresultat!L$26)-(L$20*L$19)))/L$22</f>
        <v>266.22509329331325</v>
      </c>
      <c r="AL20" s="28">
        <f>(((($AA20*Fremtidsresultat!M$21)-Fremtidsresultat!M$26)-(M$20*M$19)))/M$22</f>
        <v>247.32369445780526</v>
      </c>
      <c r="AM20" s="28">
        <f>(((($AA20*Fremtidsresultat!N$21)-Fremtidsresultat!N$26)-(N$20*N$19)))/N$22</f>
        <v>173.4568604373294</v>
      </c>
      <c r="AN20" s="28">
        <f>(((($AA20*Fremtidsresultat!O$21)-Fremtidsresultat!O$26)-(O$20*O$19)))/O$22</f>
        <v>164.48290788142492</v>
      </c>
      <c r="AO20" s="28">
        <f>(((($AA20*Fremtidsresultat!P$21)-Fremtidsresultat!P$26)-(P$20*P$19)))/P$22</f>
        <v>144.02752651852097</v>
      </c>
      <c r="AP20" s="28">
        <f>(((($AA20*Fremtidsresultat!Q$21)-Fremtidsresultat!Q$26)-(Q$20*Q$19)))/Q$22</f>
        <v>66.000177531639395</v>
      </c>
      <c r="AQ20" s="28">
        <f>(((($AA20*Fremtidsresultat!R$21)-Fremtidsresultat!R$26)-(R$20*R$19)))/R$22</f>
        <v>89.838410268473737</v>
      </c>
      <c r="AR20" s="28">
        <f>(((($AA20*Fremtidsresultat!S$21)-Fremtidsresultat!S$26)-(S$20*S$19)))/S$22</f>
        <v>69.853033229898287</v>
      </c>
      <c r="AS20" s="28">
        <f>(((($AA20*Fremtidsresultat!T$21)-Fremtidsresultat!T$26)-(T$20*T$19)))/T$22</f>
        <v>53.811605617613779</v>
      </c>
      <c r="AT20" s="28">
        <f>(((($AA20*Fremtidsresultat!U$21)-Fremtidsresultat!U$26)-(U$20*U$19)))/U$22</f>
        <v>66.440172897374339</v>
      </c>
      <c r="AU20" s="28">
        <f>(((($AA20*Fremtidsresultat!V$21)-Fremtidsresultat!V$26)-(V$20*V$19)))/V$22</f>
        <v>28.595332857418938</v>
      </c>
      <c r="AV20" s="28">
        <f>(((($AA20*Fremtidsresultat!W$21)-Fremtidsresultat!W$26)-(W$20*W$19)))/W$22</f>
        <v>5.7136449220058338</v>
      </c>
      <c r="AW20" s="28">
        <f>(((($AA20*Fremtidsresultat!X$21)-Fremtidsresultat!X$26)-(X$20*X$19)))/X$22</f>
        <v>3.9508487897602005</v>
      </c>
      <c r="AX20" s="28">
        <f t="shared" si="11"/>
        <v>6935.1263759130989</v>
      </c>
      <c r="AY20" s="28">
        <f t="shared" si="9"/>
        <v>344.82453083083089</v>
      </c>
    </row>
    <row r="21" spans="2:51" x14ac:dyDescent="0.2">
      <c r="B21" s="34" t="str">
        <f t="shared" si="8"/>
        <v>SPD</v>
      </c>
      <c r="C21" s="64">
        <f>C18-C19*C20</f>
        <v>939.04938969429168</v>
      </c>
      <c r="D21" s="64">
        <f t="shared" ref="D21:X21" si="13">D18-D19*D20</f>
        <v>899.8005023985711</v>
      </c>
      <c r="E21" s="64">
        <f t="shared" si="13"/>
        <v>924.27375158448149</v>
      </c>
      <c r="F21" s="64">
        <f t="shared" si="13"/>
        <v>434.87805952222664</v>
      </c>
      <c r="G21" s="64">
        <f t="shared" si="13"/>
        <v>383.20396795632479</v>
      </c>
      <c r="H21" s="64">
        <f t="shared" si="13"/>
        <v>370.75916541065476</v>
      </c>
      <c r="I21" s="64">
        <f t="shared" si="13"/>
        <v>308.79943766562195</v>
      </c>
      <c r="J21" s="64">
        <f t="shared" si="13"/>
        <v>305.78048621723804</v>
      </c>
      <c r="K21" s="64">
        <f t="shared" si="13"/>
        <v>317.32792659143712</v>
      </c>
      <c r="L21" s="64">
        <f t="shared" si="13"/>
        <v>254.69728662467082</v>
      </c>
      <c r="M21" s="64">
        <f t="shared" si="13"/>
        <v>246.06400471011909</v>
      </c>
      <c r="N21" s="64">
        <f t="shared" si="13"/>
        <v>141.05842800882701</v>
      </c>
      <c r="O21" s="64">
        <f t="shared" si="13"/>
        <v>141.80581062505919</v>
      </c>
      <c r="P21" s="64">
        <f t="shared" si="13"/>
        <v>120.12131174516566</v>
      </c>
      <c r="Q21" s="64">
        <f t="shared" si="13"/>
        <v>-17.670006260774358</v>
      </c>
      <c r="R21" s="64">
        <f t="shared" si="13"/>
        <v>40.476910146811207</v>
      </c>
      <c r="S21" s="64">
        <f t="shared" si="13"/>
        <v>17.72592518339377</v>
      </c>
      <c r="T21" s="64">
        <f t="shared" si="13"/>
        <v>-0.1021446696934305</v>
      </c>
      <c r="U21" s="64">
        <f t="shared" si="13"/>
        <v>54.391907012614482</v>
      </c>
      <c r="V21" s="64">
        <f t="shared" si="13"/>
        <v>23.030335943401838</v>
      </c>
      <c r="W21" s="64">
        <f t="shared" si="13"/>
        <v>-5.6870842214561463</v>
      </c>
      <c r="X21" s="64">
        <f t="shared" si="13"/>
        <v>-9.2619573793183072</v>
      </c>
      <c r="AA21">
        <v>1</v>
      </c>
      <c r="AB21" s="28">
        <f>(((($AA21*Fremtidsresultat!C$21)-Fremtidsresultat!C$26)-(C$20*C$19)))/C$22</f>
        <v>897.66694359458143</v>
      </c>
      <c r="AC21" s="28">
        <f>(((($AA21*Fremtidsresultat!D$21)-Fremtidsresultat!D$26)-(D$20*D$19)))/D$22</f>
        <v>822.24232264426314</v>
      </c>
      <c r="AD21" s="28">
        <f>(((($AA21*Fremtidsresultat!E$21)-Fremtidsresultat!E$26)-(E$20*E$19)))/E$22</f>
        <v>807.38562613915406</v>
      </c>
      <c r="AE21" s="28">
        <f>(((($AA21*Fremtidsresultat!F$21)-Fremtidsresultat!F$26)-(F$20*F$19)))/F$22</f>
        <v>363.14050132986745</v>
      </c>
      <c r="AF21" s="28">
        <f>(((($AA21*Fremtidsresultat!G$21)-Fremtidsresultat!G$26)-(G$20*G$19)))/G$22</f>
        <v>305.88908961045871</v>
      </c>
      <c r="AG21" s="28">
        <f>(((($AA21*Fremtidsresultat!H$21)-Fremtidsresultat!H$26)-(H$20*H$19)))/H$22</f>
        <v>282.91285624948063</v>
      </c>
      <c r="AH21" s="28">
        <f>(((($AA21*Fremtidsresultat!I$21)-Fremtidsresultat!I$26)-(I$20*I$19)))/I$22</f>
        <v>225.24962992726975</v>
      </c>
      <c r="AI21" s="28">
        <f>(((($AA21*Fremtidsresultat!J$21)-Fremtidsresultat!J$26)-(J$20*J$19)))/J$22</f>
        <v>213.21813982495198</v>
      </c>
      <c r="AJ21" s="28">
        <f>(((($AA21*Fremtidsresultat!K$21)-Fremtidsresultat!K$26)-(K$20*K$19)))/K$22</f>
        <v>211.51904413363187</v>
      </c>
      <c r="AK21" s="28">
        <f>(((($AA21*Fremtidsresultat!L$21)-Fremtidsresultat!L$26)-(L$20*L$19)))/L$22</f>
        <v>162.29020070486933</v>
      </c>
      <c r="AL21" s="28">
        <f>(((($AA21*Fremtidsresultat!M$21)-Fremtidsresultat!M$26)-(M$20*M$19)))/M$22</f>
        <v>149.87971715730743</v>
      </c>
      <c r="AM21" s="28">
        <f>(((($AA21*Fremtidsresultat!N$21)-Fremtidsresultat!N$26)-(N$20*N$19)))/N$22</f>
        <v>82.133553794638004</v>
      </c>
      <c r="AN21" s="28">
        <f>(((($AA21*Fremtidsresultat!O$21)-Fremtidsresultat!O$26)-(O$20*O$19)))/O$22</f>
        <v>78.930053938362576</v>
      </c>
      <c r="AO21" s="28">
        <f>(((($AA21*Fremtidsresultat!P$21)-Fremtidsresultat!P$26)-(P$20*P$19)))/P$22</f>
        <v>63.913887925671872</v>
      </c>
      <c r="AP21" s="28">
        <f>(((($AA21*Fremtidsresultat!Q$21)-Fremtidsresultat!Q$26)-(Q$20*Q$19)))/Q$22</f>
        <v>-8.9874952104484471</v>
      </c>
      <c r="AQ21" s="28">
        <f>(((($AA21*Fremtidsresultat!R$21)-Fremtidsresultat!R$26)-(R$20*R$19)))/R$22</f>
        <v>19.680499606663183</v>
      </c>
      <c r="AR21" s="28">
        <f>(((($AA21*Fremtidsresultat!S$21)-Fremtidsresultat!S$26)-(S$20*S$19)))/S$22</f>
        <v>8.2388097883866482</v>
      </c>
      <c r="AS21" s="28">
        <f>(((($AA21*Fremtidsresultat!T$21)-Fremtidsresultat!T$26)-(T$20*T$19)))/T$22</f>
        <v>-4.5383508861136991E-2</v>
      </c>
      <c r="AT21" s="28">
        <f>(((($AA21*Fremtidsresultat!U$21)-Fremtidsresultat!U$26)-(U$20*U$19)))/U$22</f>
        <v>23.101673727996126</v>
      </c>
      <c r="AU21" s="28">
        <f>(((($AA21*Fremtidsresultat!V$21)-Fremtidsresultat!V$26)-(V$20*V$19)))/V$22</f>
        <v>9.3505300691624953</v>
      </c>
      <c r="AV21" s="28">
        <f>(((($AA21*Fremtidsresultat!W$21)-Fremtidsresultat!W$26)-(W$20*W$19)))/W$22</f>
        <v>-2.2072545252343212</v>
      </c>
      <c r="AW21" s="28">
        <f>(((($AA21*Fremtidsresultat!X$21)-Fremtidsresultat!X$26)-(X$20*X$19)))/X$22</f>
        <v>-3.4363099692449426</v>
      </c>
      <c r="AX21" s="28">
        <f t="shared" si="11"/>
        <v>4712.066636952929</v>
      </c>
      <c r="AY21" s="28">
        <f t="shared" si="9"/>
        <v>275.77277331792914</v>
      </c>
    </row>
    <row r="22" spans="2:51" x14ac:dyDescent="0.2">
      <c r="B22" s="34" t="str">
        <f t="shared" si="8"/>
        <v>Diskonteringsfaktor</v>
      </c>
      <c r="C22" s="35">
        <f t="shared" ref="C22:X22" si="14">C8</f>
        <v>1.0461</v>
      </c>
      <c r="D22" s="35">
        <f t="shared" si="14"/>
        <v>1.09432521</v>
      </c>
      <c r="E22" s="35">
        <f t="shared" si="14"/>
        <v>1.144773602181</v>
      </c>
      <c r="F22" s="35">
        <f t="shared" si="14"/>
        <v>1.1975476652415442</v>
      </c>
      <c r="G22" s="35">
        <f t="shared" si="14"/>
        <v>1.2527546126091795</v>
      </c>
      <c r="H22" s="35">
        <f t="shared" si="14"/>
        <v>1.3105066002504628</v>
      </c>
      <c r="I22" s="35">
        <f t="shared" si="14"/>
        <v>1.3709209545220091</v>
      </c>
      <c r="J22" s="35">
        <f t="shared" si="14"/>
        <v>1.4341204105254739</v>
      </c>
      <c r="K22" s="35">
        <f t="shared" si="14"/>
        <v>1.5002333614506982</v>
      </c>
      <c r="L22" s="35">
        <f t="shared" si="14"/>
        <v>1.5693941194135754</v>
      </c>
      <c r="M22" s="35">
        <f t="shared" si="14"/>
        <v>1.6417431883185414</v>
      </c>
      <c r="N22" s="35">
        <f t="shared" si="14"/>
        <v>1.7174275493000262</v>
      </c>
      <c r="O22" s="35">
        <f t="shared" si="14"/>
        <v>1.7966009593227574</v>
      </c>
      <c r="P22" s="35">
        <f t="shared" si="14"/>
        <v>1.8794242635475367</v>
      </c>
      <c r="Q22" s="35">
        <f t="shared" si="14"/>
        <v>1.9660657220970781</v>
      </c>
      <c r="R22" s="35">
        <f t="shared" si="14"/>
        <v>2.0567013518857533</v>
      </c>
      <c r="S22" s="35">
        <f t="shared" si="14"/>
        <v>2.1515152842076866</v>
      </c>
      <c r="T22" s="35">
        <f t="shared" si="14"/>
        <v>2.2507001388096608</v>
      </c>
      <c r="U22" s="35">
        <f t="shared" si="14"/>
        <v>2.354457415208786</v>
      </c>
      <c r="V22" s="35">
        <f t="shared" si="14"/>
        <v>2.4629979020499113</v>
      </c>
      <c r="W22" s="35">
        <f t="shared" si="14"/>
        <v>2.5765421053344122</v>
      </c>
      <c r="X22" s="35">
        <f t="shared" si="14"/>
        <v>2.6953206963903287</v>
      </c>
      <c r="AA22">
        <v>0.9</v>
      </c>
      <c r="AB22" s="28">
        <f>(((($AA22*Fremtidsresultat!C$21)-Fremtidsresultat!C$26)-(C$20*C$19)))/C$22</f>
        <v>673.70327855299865</v>
      </c>
      <c r="AC22" s="28">
        <f>(((($AA22*Fremtidsresultat!D$21)-Fremtidsresultat!D$26)-(D$20*D$19)))/D$22</f>
        <v>608.1483879902313</v>
      </c>
      <c r="AD22" s="28">
        <f>(((($AA22*Fremtidsresultat!E$21)-Fremtidsresultat!E$26)-(E$20*E$19)))/E$22</f>
        <v>602.72647820489169</v>
      </c>
      <c r="AE22" s="28">
        <f>(((($AA22*Fremtidsresultat!F$21)-Fremtidsresultat!F$26)-(F$20*F$19)))/F$22</f>
        <v>211.21690443483371</v>
      </c>
      <c r="AF22" s="28">
        <f>(((($AA22*Fremtidsresultat!G$21)-Fremtidsresultat!G$26)-(G$20*G$19)))/G$22</f>
        <v>163.16447003797566</v>
      </c>
      <c r="AG22" s="28">
        <f>(((($AA22*Fremtidsresultat!H$21)-Fremtidsresultat!H$26)-(H$20*H$19)))/H$22</f>
        <v>148.87148460410356</v>
      </c>
      <c r="AH22" s="28">
        <f>(((($AA22*Fremtidsresultat!I$21)-Fremtidsresultat!I$26)-(I$20*I$19)))/I$22</f>
        <v>99.403366928380365</v>
      </c>
      <c r="AI22" s="28">
        <f>(((($AA22*Fremtidsresultat!J$21)-Fremtidsresultat!J$26)-(J$20*J$19)))/J$22</f>
        <v>95.105006160692071</v>
      </c>
      <c r="AJ22" s="28">
        <f>(((($AA22*Fremtidsresultat!K$21)-Fremtidsresultat!K$26)-(K$20*K$19)))/K$22</f>
        <v>100.70186278269213</v>
      </c>
      <c r="AK22" s="28">
        <f>(((($AA22*Fremtidsresultat!L$21)-Fremtidsresultat!L$26)-(L$20*L$19)))/L$22</f>
        <v>58.355308116425533</v>
      </c>
      <c r="AL22" s="28">
        <f>(((($AA22*Fremtidsresultat!M$21)-Fremtidsresultat!M$26)-(M$20*M$19)))/M$22</f>
        <v>52.435739856809739</v>
      </c>
      <c r="AM22" s="28">
        <f>(((($AA22*Fremtidsresultat!N$21)-Fremtidsresultat!N$26)-(N$20*N$19)))/N$22</f>
        <v>-9.1897528480532351</v>
      </c>
      <c r="AN22" s="28">
        <f>(((($AA22*Fremtidsresultat!O$21)-Fremtidsresultat!O$26)-(O$20*O$19)))/O$22</f>
        <v>-6.62280000469966</v>
      </c>
      <c r="AO22" s="28">
        <f>(((($AA22*Fremtidsresultat!P$21)-Fremtidsresultat!P$26)-(P$20*P$19)))/P$22</f>
        <v>-16.199750667177117</v>
      </c>
      <c r="AP22" s="28">
        <f>(((($AA22*Fremtidsresultat!Q$21)-Fremtidsresultat!Q$26)-(Q$20*Q$19)))/Q$22</f>
        <v>-83.975167952536168</v>
      </c>
      <c r="AQ22" s="28">
        <f>(((($AA22*Fremtidsresultat!R$21)-Fremtidsresultat!R$26)-(R$20*R$19)))/R$22</f>
        <v>-50.47741105514725</v>
      </c>
      <c r="AR22" s="28">
        <f>(((($AA22*Fremtidsresultat!S$21)-Fremtidsresultat!S$26)-(S$20*S$19)))/S$22</f>
        <v>-53.37541365312498</v>
      </c>
      <c r="AS22" s="28">
        <f>(((($AA22*Fremtidsresultat!T$21)-Fremtidsresultat!T$26)-(T$20*T$19)))/T$22</f>
        <v>-53.902372635335951</v>
      </c>
      <c r="AT22" s="28">
        <f>(((($AA22*Fremtidsresultat!U$21)-Fremtidsresultat!U$26)-(U$20*U$19)))/U$22</f>
        <v>-20.236825441382098</v>
      </c>
      <c r="AU22" s="28">
        <f>(((($AA22*Fremtidsresultat!V$21)-Fremtidsresultat!V$26)-(V$20*V$19)))/V$22</f>
        <v>-9.8942727190939017</v>
      </c>
      <c r="AV22" s="28">
        <f>(((($AA22*Fremtidsresultat!W$21)-Fremtidsresultat!W$26)-(W$20*W$19)))/W$22</f>
        <v>-10.128153972474465</v>
      </c>
      <c r="AW22" s="28">
        <f>(((($AA22*Fremtidsresultat!X$21)-Fremtidsresultat!X$26)-(X$20*X$19)))/X$22</f>
        <v>-10.823468728250075</v>
      </c>
      <c r="AX22" s="28">
        <f t="shared" si="11"/>
        <v>2489.0068979927591</v>
      </c>
      <c r="AY22" s="28">
        <f t="shared" si="9"/>
        <v>206.72101580502741</v>
      </c>
    </row>
    <row r="23" spans="2:51" ht="16" thickBot="1" x14ac:dyDescent="0.25">
      <c r="B23" s="80" t="str">
        <f t="shared" si="8"/>
        <v>Nåverdi</v>
      </c>
      <c r="C23" s="81">
        <f>C21/C22</f>
        <v>897.66694359458143</v>
      </c>
      <c r="D23" s="65">
        <f t="shared" ref="D23:X23" si="15">D21/D22</f>
        <v>822.24232264426314</v>
      </c>
      <c r="E23" s="65">
        <f t="shared" si="15"/>
        <v>807.38562613915406</v>
      </c>
      <c r="F23" s="65">
        <f t="shared" si="15"/>
        <v>363.14050132986745</v>
      </c>
      <c r="G23" s="65">
        <f t="shared" si="15"/>
        <v>305.88908961045871</v>
      </c>
      <c r="H23" s="65">
        <f t="shared" si="15"/>
        <v>282.91285624948063</v>
      </c>
      <c r="I23" s="65">
        <f t="shared" si="15"/>
        <v>225.24962992726975</v>
      </c>
      <c r="J23" s="65">
        <f t="shared" si="15"/>
        <v>213.21813982495198</v>
      </c>
      <c r="K23" s="65">
        <f t="shared" si="15"/>
        <v>211.51904413363187</v>
      </c>
      <c r="L23" s="65">
        <f t="shared" si="15"/>
        <v>162.29020070486933</v>
      </c>
      <c r="M23" s="65">
        <f t="shared" si="15"/>
        <v>149.87971715730743</v>
      </c>
      <c r="N23" s="65">
        <f t="shared" si="15"/>
        <v>82.133553794638004</v>
      </c>
      <c r="O23" s="65">
        <f t="shared" si="15"/>
        <v>78.930053938362576</v>
      </c>
      <c r="P23" s="65">
        <f t="shared" si="15"/>
        <v>63.913887925671872</v>
      </c>
      <c r="Q23" s="65">
        <f t="shared" si="15"/>
        <v>-8.9874952104484471</v>
      </c>
      <c r="R23" s="65">
        <f t="shared" si="15"/>
        <v>19.680499606663183</v>
      </c>
      <c r="S23" s="65">
        <f t="shared" si="15"/>
        <v>8.2388097883866482</v>
      </c>
      <c r="T23" s="65">
        <f t="shared" si="15"/>
        <v>-4.5383508861136991E-2</v>
      </c>
      <c r="U23" s="65">
        <f t="shared" si="15"/>
        <v>23.101673727996126</v>
      </c>
      <c r="V23" s="65">
        <f t="shared" si="15"/>
        <v>9.3505300691624953</v>
      </c>
      <c r="W23" s="65">
        <f t="shared" si="15"/>
        <v>-2.2072545252343212</v>
      </c>
      <c r="X23" s="65">
        <f t="shared" si="15"/>
        <v>-3.4363099692449426</v>
      </c>
      <c r="AA23">
        <v>0.8</v>
      </c>
      <c r="AB23" s="28">
        <f>(((($AA23*Fremtidsresultat!C$21)-Fremtidsresultat!C$26)-(C$20*C$19)))/C$22</f>
        <v>449.73961351141548</v>
      </c>
      <c r="AC23" s="28">
        <f>(((($AA23*Fremtidsresultat!D$21)-Fremtidsresultat!D$26)-(D$20*D$19)))/D$22</f>
        <v>394.05445333619912</v>
      </c>
      <c r="AD23" s="28">
        <f>(((($AA23*Fremtidsresultat!E$21)-Fremtidsresultat!E$26)-(E$20*E$19)))/E$22</f>
        <v>398.0673302706287</v>
      </c>
      <c r="AE23" s="28">
        <f>(((($AA23*Fremtidsresultat!F$21)-Fremtidsresultat!F$26)-(F$20*F$19)))/F$22</f>
        <v>59.293307539799962</v>
      </c>
      <c r="AF23" s="28">
        <f>(((($AA23*Fremtidsresultat!G$21)-Fremtidsresultat!G$26)-(G$20*G$19)))/G$22</f>
        <v>20.439850465492597</v>
      </c>
      <c r="AG23" s="28">
        <f>(((($AA23*Fremtidsresultat!H$21)-Fremtidsresultat!H$26)-(H$20*H$19)))/H$22</f>
        <v>14.830112958726501</v>
      </c>
      <c r="AH23" s="28">
        <f>(((($AA23*Fremtidsresultat!I$21)-Fremtidsresultat!I$26)-(I$20*I$19)))/I$22</f>
        <v>-26.442896070509025</v>
      </c>
      <c r="AI23" s="28">
        <f>(((($AA23*Fremtidsresultat!J$21)-Fremtidsresultat!J$26)-(J$20*J$19)))/J$22</f>
        <v>-23.008127503567831</v>
      </c>
      <c r="AJ23" s="28">
        <f>(((($AA23*Fremtidsresultat!K$21)-Fremtidsresultat!K$26)-(K$20*K$19)))/K$22</f>
        <v>-10.115318568247607</v>
      </c>
      <c r="AK23" s="28">
        <f>(((($AA23*Fremtidsresultat!L$21)-Fremtidsresultat!L$26)-(L$20*L$19)))/L$22</f>
        <v>-45.579584472018261</v>
      </c>
      <c r="AL23" s="28">
        <f>(((($AA23*Fremtidsresultat!M$21)-Fremtidsresultat!M$26)-(M$20*M$19)))/M$22</f>
        <v>-45.008237443687953</v>
      </c>
      <c r="AM23" s="28">
        <f>(((($AA23*Fremtidsresultat!N$21)-Fremtidsresultat!N$26)-(N$20*N$19)))/N$22</f>
        <v>-100.51305949074447</v>
      </c>
      <c r="AN23" s="28">
        <f>(((($AA23*Fremtidsresultat!O$21)-Fremtidsresultat!O$26)-(O$20*O$19)))/O$22</f>
        <v>-92.175653947761901</v>
      </c>
      <c r="AO23" s="28">
        <f>(((($AA23*Fremtidsresultat!P$21)-Fremtidsresultat!P$26)-(P$20*P$19)))/P$22</f>
        <v>-96.313389260026099</v>
      </c>
      <c r="AP23" s="28">
        <f>(((($AA23*Fremtidsresultat!Q$21)-Fremtidsresultat!Q$26)-(Q$20*Q$19)))/Q$22</f>
        <v>-158.96284069462402</v>
      </c>
      <c r="AQ23" s="28">
        <f>(((($AA23*Fremtidsresultat!R$21)-Fremtidsresultat!R$26)-(R$20*R$19)))/R$22</f>
        <v>-120.63532171695769</v>
      </c>
      <c r="AR23" s="28">
        <f>(((($AA23*Fremtidsresultat!S$21)-Fremtidsresultat!S$26)-(S$20*S$19)))/S$22</f>
        <v>-114.98963709463651</v>
      </c>
      <c r="AS23" s="28">
        <f>(((($AA23*Fremtidsresultat!T$21)-Fremtidsresultat!T$26)-(T$20*T$19)))/T$22</f>
        <v>-107.75936176181081</v>
      </c>
      <c r="AT23" s="28">
        <f>(((($AA23*Fremtidsresultat!U$21)-Fremtidsresultat!U$26)-(U$20*U$19)))/U$22</f>
        <v>-63.575324610760326</v>
      </c>
      <c r="AU23" s="28">
        <f>(((($AA23*Fremtidsresultat!V$21)-Fremtidsresultat!V$26)-(V$20*V$19)))/V$22</f>
        <v>-29.139075507350299</v>
      </c>
      <c r="AV23" s="28">
        <f>(((($AA23*Fremtidsresultat!W$21)-Fremtidsresultat!W$26)-(W$20*W$19)))/W$22</f>
        <v>-18.049053419714621</v>
      </c>
      <c r="AW23" s="28">
        <f>(((($AA23*Fremtidsresultat!X$21)-Fremtidsresultat!X$26)-(X$20*X$19)))/X$22</f>
        <v>-18.210627487255206</v>
      </c>
      <c r="AX23" s="28">
        <f t="shared" si="11"/>
        <v>265.94715903258975</v>
      </c>
      <c r="AY23" s="28">
        <f t="shared" si="9"/>
        <v>137.6692582921257</v>
      </c>
    </row>
    <row r="24" spans="2:51" ht="16" thickTop="1" x14ac:dyDescent="0.2">
      <c r="B24" s="34" t="str">
        <f t="shared" si="8"/>
        <v>Sum nåverdi SPE</v>
      </c>
      <c r="C24" s="64">
        <f>SUM(C23:X23)</f>
        <v>4712.066636952929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AA24">
        <v>0.7</v>
      </c>
      <c r="AB24" s="28">
        <f>(((($AA24*Fremtidsresultat!C$21)-Fremtidsresultat!C$26)-(C$20*C$19)))/C$22</f>
        <v>225.77594846983231</v>
      </c>
      <c r="AC24" s="28">
        <f>(((($AA24*Fremtidsresultat!D$21)-Fremtidsresultat!D$26)-(D$20*D$19)))/D$22</f>
        <v>179.96051868216685</v>
      </c>
      <c r="AD24" s="28">
        <f>(((($AA24*Fremtidsresultat!E$21)-Fremtidsresultat!E$26)-(E$20*E$19)))/E$22</f>
        <v>193.40818233636594</v>
      </c>
      <c r="AE24" s="28">
        <f>(((($AA24*Fremtidsresultat!F$21)-Fremtidsresultat!F$26)-(F$20*F$19)))/F$22</f>
        <v>-92.630289355233771</v>
      </c>
      <c r="AF24" s="28">
        <f>(((($AA24*Fremtidsresultat!G$21)-Fremtidsresultat!G$26)-(G$20*G$19)))/G$22</f>
        <v>-122.28476910699064</v>
      </c>
      <c r="AG24" s="28">
        <f>(((($AA24*Fremtidsresultat!H$21)-Fremtidsresultat!H$26)-(H$20*H$19)))/H$22</f>
        <v>-119.21125868665074</v>
      </c>
      <c r="AH24" s="28">
        <f>(((($AA24*Fremtidsresultat!I$21)-Fremtidsresultat!I$26)-(I$20*I$19)))/I$22</f>
        <v>-152.28915906939858</v>
      </c>
      <c r="AI24" s="28">
        <f>(((($AA24*Fremtidsresultat!J$21)-Fremtidsresultat!J$26)-(J$20*J$19)))/J$22</f>
        <v>-141.1212611678279</v>
      </c>
      <c r="AJ24" s="28">
        <f>(((($AA24*Fremtidsresultat!K$21)-Fremtidsresultat!K$26)-(K$20*K$19)))/K$22</f>
        <v>-120.93249991918749</v>
      </c>
      <c r="AK24" s="28">
        <f>(((($AA24*Fremtidsresultat!L$21)-Fremtidsresultat!L$26)-(L$20*L$19)))/L$22</f>
        <v>-149.51447706046221</v>
      </c>
      <c r="AL24" s="28">
        <f>(((($AA24*Fremtidsresultat!M$21)-Fremtidsresultat!M$26)-(M$20*M$19)))/M$22</f>
        <v>-142.4522147441858</v>
      </c>
      <c r="AM24" s="28">
        <f>(((($AA24*Fremtidsresultat!N$21)-Fremtidsresultat!N$26)-(N$20*N$19)))/N$22</f>
        <v>-191.83636613343594</v>
      </c>
      <c r="AN24" s="28">
        <f>(((($AA24*Fremtidsresultat!O$21)-Fremtidsresultat!O$26)-(O$20*O$19)))/O$22</f>
        <v>-177.72850789082429</v>
      </c>
      <c r="AO24" s="28">
        <f>(((($AA24*Fremtidsresultat!P$21)-Fremtidsresultat!P$26)-(P$20*P$19)))/P$22</f>
        <v>-176.42702785287523</v>
      </c>
      <c r="AP24" s="28">
        <f>(((($AA24*Fremtidsresultat!Q$21)-Fremtidsresultat!Q$26)-(Q$20*Q$19)))/Q$22</f>
        <v>-233.95051343671173</v>
      </c>
      <c r="AQ24" s="28">
        <f>(((($AA24*Fremtidsresultat!R$21)-Fremtidsresultat!R$26)-(R$20*R$19)))/R$22</f>
        <v>-190.79323237876827</v>
      </c>
      <c r="AR24" s="28">
        <f>(((($AA24*Fremtidsresultat!S$21)-Fremtidsresultat!S$26)-(S$20*S$19)))/S$22</f>
        <v>-176.6038605361482</v>
      </c>
      <c r="AS24" s="28">
        <f>(((($AA24*Fremtidsresultat!T$21)-Fremtidsresultat!T$26)-(T$20*T$19)))/T$22</f>
        <v>-161.61635088828572</v>
      </c>
      <c r="AT24" s="28">
        <f>(((($AA24*Fremtidsresultat!U$21)-Fremtidsresultat!U$26)-(U$20*U$19)))/U$22</f>
        <v>-106.9138237801386</v>
      </c>
      <c r="AU24" s="28">
        <f>(((($AA24*Fremtidsresultat!V$21)-Fremtidsresultat!V$26)-(V$20*V$19)))/V$22</f>
        <v>-48.383878295606742</v>
      </c>
      <c r="AV24" s="28">
        <f>(((($AA24*Fremtidsresultat!W$21)-Fremtidsresultat!W$26)-(W$20*W$19)))/W$22</f>
        <v>-25.969952866954774</v>
      </c>
      <c r="AW24" s="28">
        <f>(((($AA24*Fremtidsresultat!X$21)-Fremtidsresultat!X$26)-(X$20*X$19)))/X$22</f>
        <v>-25.597786246260338</v>
      </c>
      <c r="AX24" s="28">
        <f t="shared" si="11"/>
        <v>-1957.1125799275819</v>
      </c>
      <c r="AY24" s="28">
        <f t="shared" si="9"/>
        <v>68.617500779223889</v>
      </c>
    </row>
    <row r="25" spans="2:51" x14ac:dyDescent="0.2">
      <c r="B25" s="34" t="str">
        <f t="shared" si="8"/>
        <v>Egenkapital</v>
      </c>
      <c r="C25" s="64">
        <f>C11</f>
        <v>4166.1918107040001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2:51" x14ac:dyDescent="0.2">
      <c r="B26" s="57" t="str">
        <f t="shared" si="8"/>
        <v>Verdi av EK</v>
      </c>
      <c r="C26" s="72">
        <f>C24+C25</f>
        <v>8878.2584476569282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2:51" x14ac:dyDescent="0.2">
      <c r="B27" s="34" t="str">
        <f t="shared" si="8"/>
        <v>Antall aksjer</v>
      </c>
      <c r="C27" s="35">
        <v>32.194108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2:51" x14ac:dyDescent="0.2">
      <c r="B28" s="57" t="str">
        <f t="shared" si="8"/>
        <v>Kurs</v>
      </c>
      <c r="C28" s="72">
        <f>C26/C27</f>
        <v>275.77277331792914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2:51" x14ac:dyDescent="0.2">
      <c r="B29" t="s">
        <v>282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2:51" x14ac:dyDescent="0.2">
      <c r="B30" s="98" t="s">
        <v>334</v>
      </c>
      <c r="C30" s="98"/>
      <c r="D30" s="98"/>
      <c r="E30" s="98"/>
      <c r="F30" s="98"/>
      <c r="G30" s="98"/>
      <c r="H30" s="98"/>
      <c r="I30" s="98"/>
      <c r="J30" s="98"/>
      <c r="K30" s="69"/>
      <c r="L30" s="69" t="s">
        <v>377</v>
      </c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2:51" x14ac:dyDescent="0.2">
      <c r="B31" s="101" t="s">
        <v>324</v>
      </c>
      <c r="C31" s="73"/>
      <c r="D31" s="10">
        <f>D42</f>
        <v>-0.3</v>
      </c>
      <c r="E31" s="10">
        <f t="shared" ref="E31:J31" si="16">E42</f>
        <v>-0.2</v>
      </c>
      <c r="F31" s="10">
        <f t="shared" si="16"/>
        <v>-0.1</v>
      </c>
      <c r="G31" s="10">
        <f t="shared" si="16"/>
        <v>0</v>
      </c>
      <c r="H31" s="10">
        <f t="shared" si="16"/>
        <v>0.1</v>
      </c>
      <c r="I31" s="10">
        <f t="shared" si="16"/>
        <v>0.2</v>
      </c>
      <c r="J31" s="10">
        <f t="shared" si="16"/>
        <v>0.3</v>
      </c>
      <c r="K31" s="17"/>
      <c r="L31" s="12"/>
      <c r="M31" s="12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2:51" x14ac:dyDescent="0.2">
      <c r="B32" s="101"/>
      <c r="C32" s="17">
        <f>C33-1%</f>
        <v>1.6099999999999996E-2</v>
      </c>
      <c r="D32" s="62">
        <v>377</v>
      </c>
      <c r="E32" s="62">
        <v>500</v>
      </c>
      <c r="F32" s="62">
        <v>622</v>
      </c>
      <c r="G32" s="62">
        <v>745</v>
      </c>
      <c r="H32" s="62">
        <v>868</v>
      </c>
      <c r="I32" s="62">
        <v>991</v>
      </c>
      <c r="J32" s="62">
        <v>1113</v>
      </c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2:11" x14ac:dyDescent="0.2">
      <c r="B33" s="101"/>
      <c r="C33" s="17">
        <f>C34-1%</f>
        <v>2.6099999999999998E-2</v>
      </c>
      <c r="D33" s="62">
        <v>349</v>
      </c>
      <c r="E33" s="62">
        <v>464</v>
      </c>
      <c r="F33" s="62">
        <v>579</v>
      </c>
      <c r="G33" s="62">
        <v>694</v>
      </c>
      <c r="H33" s="62">
        <v>809</v>
      </c>
      <c r="I33" s="62">
        <v>924</v>
      </c>
      <c r="J33" s="62">
        <v>1039</v>
      </c>
      <c r="K33" s="62"/>
    </row>
    <row r="34" spans="2:11" x14ac:dyDescent="0.2">
      <c r="B34" s="101"/>
      <c r="C34" s="17">
        <f>C35-1%</f>
        <v>3.61E-2</v>
      </c>
      <c r="D34" s="62">
        <v>323</v>
      </c>
      <c r="E34" s="62">
        <v>432</v>
      </c>
      <c r="F34" s="62">
        <v>540</v>
      </c>
      <c r="G34" s="62">
        <v>648</v>
      </c>
      <c r="H34" s="62">
        <v>757</v>
      </c>
      <c r="I34" s="62">
        <v>865</v>
      </c>
      <c r="J34" s="62">
        <v>973</v>
      </c>
      <c r="K34" s="62"/>
    </row>
    <row r="35" spans="2:11" x14ac:dyDescent="0.2">
      <c r="B35" s="101"/>
      <c r="C35" s="17">
        <v>4.6100000000000002E-2</v>
      </c>
      <c r="D35" s="62">
        <f>AY9</f>
        <v>300.63984572758437</v>
      </c>
      <c r="E35" s="62">
        <f>AY8</f>
        <v>402.8376525188234</v>
      </c>
      <c r="F35" s="62">
        <f>AY7</f>
        <v>505.03545931006227</v>
      </c>
      <c r="G35" s="62">
        <f>AY6</f>
        <v>607.23326610130118</v>
      </c>
      <c r="H35" s="62">
        <f>AY5</f>
        <v>709.43107289254021</v>
      </c>
      <c r="I35" s="62">
        <f>AY4</f>
        <v>811.62887968377902</v>
      </c>
      <c r="J35" s="62">
        <f>AY3</f>
        <v>913.82668647501794</v>
      </c>
      <c r="K35" s="62"/>
    </row>
    <row r="36" spans="2:11" x14ac:dyDescent="0.2">
      <c r="B36" s="101"/>
      <c r="C36" s="17">
        <f>$C$35+1%</f>
        <v>5.6100000000000004E-2</v>
      </c>
      <c r="D36" s="62">
        <v>280</v>
      </c>
      <c r="E36" s="62">
        <v>377</v>
      </c>
      <c r="F36" s="62">
        <v>474</v>
      </c>
      <c r="G36" s="62">
        <v>570</v>
      </c>
      <c r="H36" s="62">
        <v>667</v>
      </c>
      <c r="I36" s="62">
        <v>764</v>
      </c>
      <c r="J36" s="62">
        <v>860</v>
      </c>
      <c r="K36" s="62"/>
    </row>
    <row r="37" spans="2:11" x14ac:dyDescent="0.2">
      <c r="B37" s="101"/>
      <c r="C37" s="17">
        <f>C36+1%</f>
        <v>6.6100000000000006E-2</v>
      </c>
      <c r="D37" s="62">
        <v>261</v>
      </c>
      <c r="E37" s="62">
        <v>353</v>
      </c>
      <c r="F37" s="62">
        <v>445</v>
      </c>
      <c r="G37" s="62">
        <v>537</v>
      </c>
      <c r="H37" s="62">
        <v>629</v>
      </c>
      <c r="I37" s="62">
        <v>720</v>
      </c>
      <c r="J37" s="62">
        <v>812</v>
      </c>
      <c r="K37" s="62"/>
    </row>
    <row r="38" spans="2:11" x14ac:dyDescent="0.2">
      <c r="B38" s="101"/>
      <c r="C38" s="17">
        <f>C37+1%</f>
        <v>7.6100000000000001E-2</v>
      </c>
      <c r="D38" s="62">
        <v>244</v>
      </c>
      <c r="E38" s="62">
        <v>332</v>
      </c>
      <c r="F38" s="62">
        <v>419</v>
      </c>
      <c r="G38" s="62">
        <v>506</v>
      </c>
      <c r="H38" s="62">
        <v>594</v>
      </c>
      <c r="I38" s="62">
        <v>681</v>
      </c>
      <c r="J38" s="62">
        <v>768</v>
      </c>
      <c r="K38" s="62"/>
    </row>
    <row r="39" spans="2:11" x14ac:dyDescent="0.2">
      <c r="K39" s="62"/>
    </row>
    <row r="40" spans="2:11" x14ac:dyDescent="0.2">
      <c r="B40" t="s">
        <v>313</v>
      </c>
    </row>
    <row r="41" spans="2:11" x14ac:dyDescent="0.2">
      <c r="B41" s="22"/>
      <c r="C41" s="22"/>
      <c r="D41" s="22" t="s">
        <v>333</v>
      </c>
      <c r="E41" s="22"/>
      <c r="F41" s="22"/>
      <c r="G41" s="22"/>
      <c r="H41" s="22"/>
      <c r="I41" s="22"/>
      <c r="J41" s="22"/>
    </row>
    <row r="42" spans="2:11" ht="15" customHeight="1" x14ac:dyDescent="0.2">
      <c r="B42" s="101" t="s">
        <v>324</v>
      </c>
      <c r="D42" s="23">
        <v>-0.3</v>
      </c>
      <c r="E42" s="23">
        <v>-0.2</v>
      </c>
      <c r="F42" s="23">
        <v>-0.1</v>
      </c>
      <c r="G42" s="23">
        <v>0</v>
      </c>
      <c r="H42" s="23">
        <v>0.1</v>
      </c>
      <c r="I42" s="23">
        <v>0.2</v>
      </c>
      <c r="J42" s="23">
        <v>0.3</v>
      </c>
    </row>
    <row r="43" spans="2:11" ht="15" customHeight="1" x14ac:dyDescent="0.2">
      <c r="B43" s="101"/>
      <c r="C43" s="74">
        <f>C32</f>
        <v>1.6099999999999996E-2</v>
      </c>
      <c r="D43" s="75">
        <v>133</v>
      </c>
      <c r="E43" s="75">
        <v>221</v>
      </c>
      <c r="F43" s="75">
        <v>309</v>
      </c>
      <c r="G43" s="75">
        <v>397</v>
      </c>
      <c r="H43" s="75">
        <v>485</v>
      </c>
      <c r="I43" s="75">
        <v>573</v>
      </c>
      <c r="J43" s="75">
        <v>661</v>
      </c>
    </row>
    <row r="44" spans="2:11" ht="15" customHeight="1" x14ac:dyDescent="0.2">
      <c r="B44" s="101"/>
      <c r="C44" s="74">
        <f t="shared" ref="C44:C49" si="17">C33</f>
        <v>2.6099999999999998E-2</v>
      </c>
      <c r="D44" s="75">
        <v>109</v>
      </c>
      <c r="E44" s="75">
        <v>190</v>
      </c>
      <c r="F44" s="75">
        <v>270</v>
      </c>
      <c r="G44" s="75">
        <v>351</v>
      </c>
      <c r="H44" s="75">
        <v>432</v>
      </c>
      <c r="I44" s="75">
        <v>513</v>
      </c>
      <c r="J44" s="75">
        <v>594</v>
      </c>
    </row>
    <row r="45" spans="2:11" x14ac:dyDescent="0.2">
      <c r="B45" s="101"/>
      <c r="C45" s="74">
        <f t="shared" si="17"/>
        <v>3.61E-2</v>
      </c>
      <c r="D45" s="75">
        <v>87</v>
      </c>
      <c r="E45" s="75">
        <v>162</v>
      </c>
      <c r="F45" s="75">
        <v>237</v>
      </c>
      <c r="G45" s="75">
        <v>311</v>
      </c>
      <c r="H45" s="75">
        <v>386</v>
      </c>
      <c r="I45" s="75">
        <v>460</v>
      </c>
      <c r="J45" s="75">
        <v>535</v>
      </c>
    </row>
    <row r="46" spans="2:11" x14ac:dyDescent="0.2">
      <c r="B46" s="101"/>
      <c r="C46" s="74">
        <f t="shared" si="17"/>
        <v>4.6100000000000002E-2</v>
      </c>
      <c r="D46" s="75">
        <f>AY24</f>
        <v>68.617500779223889</v>
      </c>
      <c r="E46" s="75">
        <f>AY23</f>
        <v>137.6692582921257</v>
      </c>
      <c r="F46" s="75">
        <f>AY22</f>
        <v>206.72101580502741</v>
      </c>
      <c r="G46" s="75">
        <f>AY21</f>
        <v>275.77277331792914</v>
      </c>
      <c r="H46" s="75">
        <f>AY20</f>
        <v>344.82453083083089</v>
      </c>
      <c r="I46" s="75">
        <f>AY19</f>
        <v>413.87628834373265</v>
      </c>
      <c r="J46" s="75">
        <f>AY18</f>
        <v>482.92804585663441</v>
      </c>
    </row>
    <row r="47" spans="2:11" x14ac:dyDescent="0.2">
      <c r="B47" s="101"/>
      <c r="C47" s="74">
        <f t="shared" si="17"/>
        <v>5.6100000000000004E-2</v>
      </c>
      <c r="D47" s="75">
        <v>52</v>
      </c>
      <c r="E47" s="75">
        <v>116</v>
      </c>
      <c r="F47" s="75">
        <v>180</v>
      </c>
      <c r="G47" s="75">
        <v>245</v>
      </c>
      <c r="H47" s="75">
        <v>309</v>
      </c>
      <c r="I47" s="75">
        <v>373</v>
      </c>
      <c r="J47" s="75">
        <v>437</v>
      </c>
    </row>
    <row r="48" spans="2:11" x14ac:dyDescent="0.2">
      <c r="B48" s="101"/>
      <c r="C48" s="74">
        <f t="shared" si="17"/>
        <v>6.6100000000000006E-2</v>
      </c>
      <c r="D48" s="75">
        <v>37</v>
      </c>
      <c r="E48" s="75">
        <v>97</v>
      </c>
      <c r="F48" s="75">
        <v>157</v>
      </c>
      <c r="G48" s="75">
        <v>217</v>
      </c>
      <c r="H48" s="75">
        <v>277</v>
      </c>
      <c r="I48" s="75">
        <v>336</v>
      </c>
      <c r="J48" s="75">
        <v>396</v>
      </c>
    </row>
    <row r="49" spans="2:10" x14ac:dyDescent="0.2">
      <c r="B49" s="101"/>
      <c r="C49" s="74">
        <f t="shared" si="17"/>
        <v>7.6100000000000001E-2</v>
      </c>
      <c r="D49" s="75">
        <v>24</v>
      </c>
      <c r="E49" s="75">
        <v>80</v>
      </c>
      <c r="F49" s="75">
        <v>136</v>
      </c>
      <c r="G49" s="75">
        <v>192</v>
      </c>
      <c r="H49" s="75">
        <v>248</v>
      </c>
      <c r="I49" s="75">
        <v>304</v>
      </c>
      <c r="J49" s="75">
        <v>360</v>
      </c>
    </row>
    <row r="50" spans="2:10" x14ac:dyDescent="0.2">
      <c r="B50" s="101"/>
    </row>
    <row r="52" spans="2:10" x14ac:dyDescent="0.2">
      <c r="C52" s="77"/>
      <c r="D52" s="77"/>
      <c r="E52" s="77"/>
      <c r="F52" s="77"/>
      <c r="G52" s="77"/>
      <c r="H52" s="77"/>
      <c r="I52" s="77"/>
      <c r="J52" s="77"/>
    </row>
    <row r="53" spans="2:10" x14ac:dyDescent="0.2">
      <c r="B53" s="77" t="s">
        <v>334</v>
      </c>
      <c r="C53" s="73"/>
      <c r="D53" s="17">
        <f>D42</f>
        <v>-0.3</v>
      </c>
      <c r="E53" s="17">
        <f t="shared" ref="E53:J53" si="18">E42</f>
        <v>-0.2</v>
      </c>
      <c r="F53" s="17">
        <f t="shared" si="18"/>
        <v>-0.1</v>
      </c>
      <c r="G53" s="17">
        <f t="shared" si="18"/>
        <v>0</v>
      </c>
      <c r="H53" s="17">
        <f t="shared" si="18"/>
        <v>0.1</v>
      </c>
      <c r="I53" s="17">
        <f t="shared" si="18"/>
        <v>0.2</v>
      </c>
      <c r="J53" s="17">
        <f t="shared" si="18"/>
        <v>0.3</v>
      </c>
    </row>
    <row r="54" spans="2:10" x14ac:dyDescent="0.2">
      <c r="B54" s="101" t="s">
        <v>324</v>
      </c>
      <c r="C54" s="17">
        <f>C55-1%</f>
        <v>1.6099999999999996E-2</v>
      </c>
      <c r="D54" s="62">
        <f t="shared" ref="D54:J60" si="19">D32*0.25+D43*0.75</f>
        <v>194</v>
      </c>
      <c r="E54" s="62">
        <f t="shared" si="19"/>
        <v>290.75</v>
      </c>
      <c r="F54" s="62">
        <f t="shared" si="19"/>
        <v>387.25</v>
      </c>
      <c r="G54" s="62">
        <f t="shared" si="19"/>
        <v>484</v>
      </c>
      <c r="H54" s="62">
        <f t="shared" si="19"/>
        <v>580.75</v>
      </c>
      <c r="I54" s="62">
        <f t="shared" si="19"/>
        <v>677.5</v>
      </c>
      <c r="J54" s="62">
        <f t="shared" si="19"/>
        <v>774</v>
      </c>
    </row>
    <row r="55" spans="2:10" x14ac:dyDescent="0.2">
      <c r="B55" s="101"/>
      <c r="C55" s="17">
        <f>C56-1%</f>
        <v>2.6099999999999998E-2</v>
      </c>
      <c r="D55" s="62">
        <f t="shared" si="19"/>
        <v>169</v>
      </c>
      <c r="E55" s="62">
        <f t="shared" si="19"/>
        <v>258.5</v>
      </c>
      <c r="F55" s="62">
        <f t="shared" si="19"/>
        <v>347.25</v>
      </c>
      <c r="G55" s="62">
        <f t="shared" si="19"/>
        <v>436.75</v>
      </c>
      <c r="H55" s="62">
        <f t="shared" si="19"/>
        <v>526.25</v>
      </c>
      <c r="I55" s="62">
        <f t="shared" si="19"/>
        <v>615.75</v>
      </c>
      <c r="J55" s="62">
        <f t="shared" si="19"/>
        <v>705.25</v>
      </c>
    </row>
    <row r="56" spans="2:10" x14ac:dyDescent="0.2">
      <c r="B56" s="101"/>
      <c r="C56" s="17">
        <f>C57-1%</f>
        <v>3.61E-2</v>
      </c>
      <c r="D56" s="62">
        <f t="shared" si="19"/>
        <v>146</v>
      </c>
      <c r="E56" s="62">
        <f t="shared" si="19"/>
        <v>229.5</v>
      </c>
      <c r="F56" s="62">
        <f t="shared" si="19"/>
        <v>312.75</v>
      </c>
      <c r="G56" s="62">
        <f t="shared" si="19"/>
        <v>395.25</v>
      </c>
      <c r="H56" s="62">
        <f t="shared" si="19"/>
        <v>478.75</v>
      </c>
      <c r="I56" s="62">
        <f t="shared" si="19"/>
        <v>561.25</v>
      </c>
      <c r="J56" s="62">
        <f t="shared" si="19"/>
        <v>644.5</v>
      </c>
    </row>
    <row r="57" spans="2:10" x14ac:dyDescent="0.2">
      <c r="B57" s="101"/>
      <c r="C57" s="17">
        <v>4.6100000000000002E-2</v>
      </c>
      <c r="D57" s="62">
        <f t="shared" si="19"/>
        <v>126.623087016314</v>
      </c>
      <c r="E57" s="62">
        <f t="shared" si="19"/>
        <v>203.96135684880011</v>
      </c>
      <c r="F57" s="62">
        <f t="shared" si="19"/>
        <v>281.2996266812861</v>
      </c>
      <c r="G57" s="62">
        <f t="shared" si="19"/>
        <v>358.63789651377215</v>
      </c>
      <c r="H57" s="62">
        <f t="shared" si="19"/>
        <v>435.9761663462582</v>
      </c>
      <c r="I57" s="62">
        <f t="shared" si="19"/>
        <v>513.31443617874424</v>
      </c>
      <c r="J57" s="62">
        <f>J35*0.25+J46*0.75</f>
        <v>590.65270601123029</v>
      </c>
    </row>
    <row r="58" spans="2:10" x14ac:dyDescent="0.2">
      <c r="B58" s="101"/>
      <c r="C58" s="17">
        <f>$C$35+1%</f>
        <v>5.6100000000000004E-2</v>
      </c>
      <c r="D58" s="62">
        <f t="shared" si="19"/>
        <v>109</v>
      </c>
      <c r="E58" s="62">
        <f t="shared" si="19"/>
        <v>181.25</v>
      </c>
      <c r="F58" s="62">
        <f t="shared" si="19"/>
        <v>253.5</v>
      </c>
      <c r="G58" s="62">
        <f t="shared" si="19"/>
        <v>326.25</v>
      </c>
      <c r="H58" s="62">
        <f t="shared" si="19"/>
        <v>398.5</v>
      </c>
      <c r="I58" s="62">
        <f t="shared" si="19"/>
        <v>470.75</v>
      </c>
      <c r="J58" s="62">
        <f t="shared" si="19"/>
        <v>542.75</v>
      </c>
    </row>
    <row r="59" spans="2:10" x14ac:dyDescent="0.2">
      <c r="B59" s="101"/>
      <c r="C59" s="17">
        <f>C58+1%</f>
        <v>6.6100000000000006E-2</v>
      </c>
      <c r="D59" s="62">
        <f t="shared" si="19"/>
        <v>93</v>
      </c>
      <c r="E59" s="62">
        <f t="shared" si="19"/>
        <v>161</v>
      </c>
      <c r="F59" s="62">
        <f t="shared" si="19"/>
        <v>229</v>
      </c>
      <c r="G59" s="62">
        <f t="shared" si="19"/>
        <v>297</v>
      </c>
      <c r="H59" s="62">
        <f t="shared" si="19"/>
        <v>365</v>
      </c>
      <c r="I59" s="62">
        <f t="shared" si="19"/>
        <v>432</v>
      </c>
      <c r="J59" s="62">
        <f t="shared" si="19"/>
        <v>500</v>
      </c>
    </row>
    <row r="60" spans="2:10" x14ac:dyDescent="0.2">
      <c r="B60" s="101"/>
      <c r="C60" s="17">
        <f>C59+1%</f>
        <v>7.6100000000000001E-2</v>
      </c>
      <c r="D60" s="62">
        <f t="shared" si="19"/>
        <v>79</v>
      </c>
      <c r="E60" s="62">
        <f t="shared" si="19"/>
        <v>143</v>
      </c>
      <c r="F60" s="62">
        <f t="shared" si="19"/>
        <v>206.75</v>
      </c>
      <c r="G60" s="62">
        <f t="shared" si="19"/>
        <v>270.5</v>
      </c>
      <c r="H60" s="62">
        <f t="shared" si="19"/>
        <v>334.5</v>
      </c>
      <c r="I60" s="62">
        <f t="shared" si="19"/>
        <v>398.25</v>
      </c>
      <c r="J60" s="62">
        <f t="shared" si="19"/>
        <v>462</v>
      </c>
    </row>
    <row r="61" spans="2:10" x14ac:dyDescent="0.2">
      <c r="B61" s="101"/>
    </row>
  </sheetData>
  <mergeCells count="4">
    <mergeCell ref="B54:B61"/>
    <mergeCell ref="B42:B50"/>
    <mergeCell ref="B30:J30"/>
    <mergeCell ref="B31:B3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92B2A-1C5F-3543-8ADC-80C24F9437EA}">
  <dimension ref="B1:Y33"/>
  <sheetViews>
    <sheetView zoomScale="87" zoomScaleNormal="87" workbookViewId="0">
      <selection activeCell="H31" sqref="H31"/>
    </sheetView>
  </sheetViews>
  <sheetFormatPr baseColWidth="10" defaultRowHeight="15" x14ac:dyDescent="0.2"/>
  <cols>
    <col min="2" max="2" width="20" customWidth="1"/>
    <col min="3" max="3" width="12.33203125" bestFit="1" customWidth="1"/>
    <col min="21" max="21" width="11.5" customWidth="1"/>
  </cols>
  <sheetData>
    <row r="1" spans="2:25" x14ac:dyDescent="0.2">
      <c r="B1" t="s">
        <v>282</v>
      </c>
    </row>
    <row r="2" spans="2:25" x14ac:dyDescent="0.2">
      <c r="B2" s="84" t="s">
        <v>0</v>
      </c>
      <c r="C2" s="85" t="s">
        <v>341</v>
      </c>
      <c r="D2" s="84" t="s">
        <v>342</v>
      </c>
      <c r="E2" s="84" t="s">
        <v>343</v>
      </c>
      <c r="F2" s="84" t="s">
        <v>344</v>
      </c>
      <c r="G2" s="84" t="s">
        <v>345</v>
      </c>
      <c r="H2" s="84" t="s">
        <v>346</v>
      </c>
      <c r="I2" s="84" t="s">
        <v>347</v>
      </c>
      <c r="J2" s="84" t="s">
        <v>348</v>
      </c>
      <c r="K2" s="84" t="s">
        <v>349</v>
      </c>
      <c r="L2" s="84" t="s">
        <v>350</v>
      </c>
      <c r="M2" s="84" t="s">
        <v>351</v>
      </c>
      <c r="N2" s="84" t="s">
        <v>352</v>
      </c>
      <c r="O2" s="84" t="s">
        <v>353</v>
      </c>
      <c r="P2" s="84" t="s">
        <v>354</v>
      </c>
      <c r="Q2" s="84" t="s">
        <v>355</v>
      </c>
      <c r="R2" s="84" t="s">
        <v>356</v>
      </c>
      <c r="S2" s="84" t="s">
        <v>357</v>
      </c>
      <c r="T2" s="84" t="s">
        <v>358</v>
      </c>
      <c r="U2" s="84" t="s">
        <v>359</v>
      </c>
      <c r="V2" s="84" t="s">
        <v>360</v>
      </c>
      <c r="W2" s="84" t="s">
        <v>361</v>
      </c>
      <c r="X2" s="84" t="s">
        <v>362</v>
      </c>
    </row>
    <row r="3" spans="2:25" x14ac:dyDescent="0.2">
      <c r="B3" s="84" t="s">
        <v>324</v>
      </c>
      <c r="C3" s="86">
        <v>4.6100000000000002E-2</v>
      </c>
      <c r="D3" s="71">
        <v>4.6100000000000002E-2</v>
      </c>
      <c r="E3" s="71">
        <v>4.6100000000000002E-2</v>
      </c>
      <c r="F3" s="71">
        <v>4.6100000000000002E-2</v>
      </c>
      <c r="G3" s="71">
        <v>4.6100000000000002E-2</v>
      </c>
      <c r="H3" s="71">
        <v>4.6100000000000002E-2</v>
      </c>
      <c r="I3" s="71">
        <v>4.6100000000000002E-2</v>
      </c>
      <c r="J3" s="71">
        <v>4.6100000000000002E-2</v>
      </c>
      <c r="K3" s="71">
        <v>4.6100000000000002E-2</v>
      </c>
      <c r="L3" s="71">
        <v>4.6100000000000002E-2</v>
      </c>
      <c r="M3" s="71">
        <v>4.6100000000000002E-2</v>
      </c>
      <c r="N3" s="71">
        <v>4.6100000000000002E-2</v>
      </c>
      <c r="O3" s="71">
        <v>4.6100000000000002E-2</v>
      </c>
      <c r="P3" s="71">
        <v>4.6100000000000002E-2</v>
      </c>
      <c r="Q3" s="71">
        <v>4.6100000000000002E-2</v>
      </c>
      <c r="R3" s="71">
        <v>4.6100000000000002E-2</v>
      </c>
      <c r="S3" s="71">
        <v>4.6100000000000002E-2</v>
      </c>
      <c r="T3" s="71">
        <v>4.6100000000000002E-2</v>
      </c>
      <c r="U3" s="71">
        <v>4.6100000000000002E-2</v>
      </c>
      <c r="V3" s="71">
        <v>4.6100000000000002E-2</v>
      </c>
      <c r="W3" s="71">
        <v>4.6100000000000002E-2</v>
      </c>
      <c r="X3" s="71">
        <v>4.6100000000000002E-2</v>
      </c>
      <c r="Y3" s="12"/>
    </row>
    <row r="4" spans="2:25" x14ac:dyDescent="0.2">
      <c r="B4" s="84" t="s">
        <v>363</v>
      </c>
      <c r="C4" s="87">
        <f>Fremtidsresultat!C14</f>
        <v>3295.7469673217597</v>
      </c>
      <c r="D4" s="35">
        <f>Fremtidsresultat!D14</f>
        <v>4722.6478777046868</v>
      </c>
      <c r="E4" s="35">
        <f>Fremtidsresultat!E14</f>
        <v>5288.5104718290459</v>
      </c>
      <c r="F4" s="35">
        <f>Fremtidsresultat!F14</f>
        <v>3844.0845714977877</v>
      </c>
      <c r="G4" s="35">
        <f>Fremtidsresultat!G14</f>
        <v>3325.7485724870003</v>
      </c>
      <c r="H4" s="35">
        <f>Fremtidsresultat!H14</f>
        <v>931.59381251884543</v>
      </c>
      <c r="I4" s="35">
        <f>Fremtidsresultat!I14</f>
        <v>-110.30432264867261</v>
      </c>
      <c r="J4" s="35">
        <f>Fremtidsresultat!J14</f>
        <v>-259.03666151954144</v>
      </c>
      <c r="K4" s="35">
        <f>Fremtidsresultat!K14</f>
        <v>-235.9306785678275</v>
      </c>
      <c r="L4" s="35">
        <f>Fremtidsresultat!L14</f>
        <v>-75.027565957079219</v>
      </c>
      <c r="M4" s="35">
        <f>Fremtidsresultat!M14</f>
        <v>194.57618470588432</v>
      </c>
      <c r="N4" s="35">
        <f>Fremtidsresultat!N14</f>
        <v>390.85160779542753</v>
      </c>
      <c r="O4" s="35">
        <f>Fremtidsresultat!O14</f>
        <v>371.78930044490812</v>
      </c>
      <c r="P4" s="35">
        <f>Fremtidsresultat!P14</f>
        <v>330.29511159826302</v>
      </c>
      <c r="Q4" s="35">
        <f>Fremtidsresultat!Q14</f>
        <v>172.69410362557142</v>
      </c>
      <c r="R4" s="35">
        <f>Fremtidsresultat!R14</f>
        <v>211.03133006640542</v>
      </c>
      <c r="S4" s="35">
        <f>Fremtidsresultat!S14</f>
        <v>164.28883193623642</v>
      </c>
      <c r="T4" s="35">
        <f>Fremtidsresultat!T14</f>
        <v>123.43079547922389</v>
      </c>
      <c r="U4" s="35">
        <f>Fremtidsresultat!U14</f>
        <v>151.8253256272726</v>
      </c>
      <c r="V4" s="35">
        <f>Fremtidsresultat!V14</f>
        <v>68.438014256293116</v>
      </c>
      <c r="W4" s="35">
        <f>Fremtidsresultat!W14</f>
        <v>16.180036487120532</v>
      </c>
      <c r="X4" s="35">
        <f>Fremtidsresultat!X14</f>
        <v>8.8689781215500716</v>
      </c>
    </row>
    <row r="5" spans="2:25" x14ac:dyDescent="0.2">
      <c r="B5" s="84" t="s">
        <v>364</v>
      </c>
      <c r="C5" s="87">
        <f>Fremtidsbalanse!C7-Balansen!F9/1000000</f>
        <v>-429.71127910524046</v>
      </c>
      <c r="D5" s="35">
        <f>Fremtidsbalanse!D7-Fremtidsbalanse!C7</f>
        <v>-429.71127910524046</v>
      </c>
      <c r="E5" s="35">
        <f>Fremtidsbalanse!E7-Fremtidsbalanse!D7</f>
        <v>-429.71127910524046</v>
      </c>
      <c r="F5" s="35">
        <f>Fremtidsbalanse!F7-Fremtidsbalanse!E7</f>
        <v>-429.71127910524046</v>
      </c>
      <c r="G5" s="35">
        <f>Fremtidsbalanse!G7-Fremtidsbalanse!F7</f>
        <v>-429.71127910524046</v>
      </c>
      <c r="H5" s="35">
        <f>Fremtidsbalanse!H7-Fremtidsbalanse!G7</f>
        <v>-429.71127910524046</v>
      </c>
      <c r="I5" s="35">
        <f>Fremtidsbalanse!I7-Fremtidsbalanse!H7</f>
        <v>-429.71127910524046</v>
      </c>
      <c r="J5" s="35">
        <f>Fremtidsbalanse!J7-Fremtidsbalanse!I7</f>
        <v>-429.71127910524046</v>
      </c>
      <c r="K5" s="35">
        <f>Fremtidsbalanse!K7-Fremtidsbalanse!J7</f>
        <v>-429.71127910524046</v>
      </c>
      <c r="L5" s="35">
        <f>Fremtidsbalanse!L7-Fremtidsbalanse!K7</f>
        <v>-429.71127910524046</v>
      </c>
      <c r="M5" s="35">
        <f>Fremtidsbalanse!M7-Fremtidsbalanse!L7</f>
        <v>-429.71127910524046</v>
      </c>
      <c r="N5" s="35">
        <f>Fremtidsbalanse!N7-Fremtidsbalanse!M7</f>
        <v>-429.71127910524046</v>
      </c>
      <c r="O5" s="35">
        <f>Fremtidsbalanse!O7-Fremtidsbalanse!N7</f>
        <v>-429.71127910524046</v>
      </c>
      <c r="P5" s="35">
        <f>Fremtidsbalanse!P7-Fremtidsbalanse!O7</f>
        <v>-429.71127910524046</v>
      </c>
      <c r="Q5" s="35">
        <f>Fremtidsbalanse!Q7-Fremtidsbalanse!P7</f>
        <v>-429.71127910523956</v>
      </c>
      <c r="R5" s="35">
        <f>Fremtidsbalanse!R7-Fremtidsbalanse!Q7</f>
        <v>-520.42327910524</v>
      </c>
      <c r="S5" s="35">
        <f>Fremtidsbalanse!S7-Fremtidsbalanse!R7</f>
        <v>-499.56543609382516</v>
      </c>
      <c r="T5" s="35">
        <f>Fremtidsbalanse!T7-Fremtidsbalanse!S7</f>
        <v>-566.15014174098042</v>
      </c>
      <c r="U5" s="35">
        <f>Fremtidsbalanse!U7-Fremtidsbalanse!T7</f>
        <v>-1128.541004376721</v>
      </c>
      <c r="V5" s="35">
        <f>Fremtidsbalanse!V7-Fremtidsbalanse!U7</f>
        <v>-510.64116278339691</v>
      </c>
      <c r="W5" s="35">
        <f>Fremtidsbalanse!W7-Fremtidsbalanse!V7</f>
        <v>-81.045232271329724</v>
      </c>
      <c r="X5" s="35">
        <f>Fremtidsbalanse!X7-Fremtidsbalanse!W7</f>
        <v>-393.29578092990118</v>
      </c>
    </row>
    <row r="6" spans="2:25" x14ac:dyDescent="0.2">
      <c r="B6" s="84" t="s">
        <v>365</v>
      </c>
      <c r="C6" s="87">
        <f>C4-C5</f>
        <v>3725.4582464270002</v>
      </c>
      <c r="D6" s="35">
        <f t="shared" ref="D6:X6" si="0">D4-D5</f>
        <v>5152.3591568099273</v>
      </c>
      <c r="E6" s="35">
        <f t="shared" si="0"/>
        <v>5718.2217509342863</v>
      </c>
      <c r="F6" s="35">
        <f t="shared" si="0"/>
        <v>4273.7958506030282</v>
      </c>
      <c r="G6" s="35">
        <f t="shared" si="0"/>
        <v>3755.4598515922407</v>
      </c>
      <c r="H6" s="35">
        <f t="shared" si="0"/>
        <v>1361.3050916240859</v>
      </c>
      <c r="I6" s="35">
        <f t="shared" si="0"/>
        <v>319.40695645656785</v>
      </c>
      <c r="J6" s="35">
        <f t="shared" si="0"/>
        <v>170.67461758569902</v>
      </c>
      <c r="K6" s="35">
        <f t="shared" si="0"/>
        <v>193.78060053741297</v>
      </c>
      <c r="L6" s="35">
        <f t="shared" si="0"/>
        <v>354.68371314816125</v>
      </c>
      <c r="M6" s="35">
        <f t="shared" si="0"/>
        <v>624.28746381112478</v>
      </c>
      <c r="N6" s="35">
        <f t="shared" si="0"/>
        <v>820.56288690066799</v>
      </c>
      <c r="O6" s="35">
        <f t="shared" si="0"/>
        <v>801.50057955014859</v>
      </c>
      <c r="P6" s="35">
        <f t="shared" si="0"/>
        <v>760.00639070350348</v>
      </c>
      <c r="Q6" s="35">
        <f t="shared" si="0"/>
        <v>602.40538273081097</v>
      </c>
      <c r="R6" s="35">
        <f t="shared" si="0"/>
        <v>731.45460917164542</v>
      </c>
      <c r="S6" s="35">
        <f t="shared" si="0"/>
        <v>663.85426803006158</v>
      </c>
      <c r="T6" s="35">
        <f t="shared" si="0"/>
        <v>689.58093722020431</v>
      </c>
      <c r="U6" s="35">
        <f t="shared" si="0"/>
        <v>1280.3663300039937</v>
      </c>
      <c r="V6" s="35">
        <f t="shared" si="0"/>
        <v>579.07917703968997</v>
      </c>
      <c r="W6" s="35">
        <f t="shared" si="0"/>
        <v>97.225268758450255</v>
      </c>
      <c r="X6" s="35">
        <f t="shared" si="0"/>
        <v>402.16475905145126</v>
      </c>
    </row>
    <row r="7" spans="2:25" x14ac:dyDescent="0.2">
      <c r="B7" s="84" t="s">
        <v>327</v>
      </c>
      <c r="C7" s="87">
        <f>1+C3</f>
        <v>1.0461</v>
      </c>
      <c r="D7" s="35">
        <f>C7*$C$7</f>
        <v>1.09432521</v>
      </c>
      <c r="E7" s="35">
        <f t="shared" ref="E7:X7" si="1">D7*$C$7</f>
        <v>1.144773602181</v>
      </c>
      <c r="F7" s="35">
        <f t="shared" si="1"/>
        <v>1.1975476652415442</v>
      </c>
      <c r="G7" s="35">
        <f t="shared" si="1"/>
        <v>1.2527546126091795</v>
      </c>
      <c r="H7" s="35">
        <f t="shared" si="1"/>
        <v>1.3105066002504628</v>
      </c>
      <c r="I7" s="35">
        <f t="shared" si="1"/>
        <v>1.3709209545220091</v>
      </c>
      <c r="J7" s="35">
        <f t="shared" si="1"/>
        <v>1.4341204105254739</v>
      </c>
      <c r="K7" s="35">
        <f t="shared" si="1"/>
        <v>1.5002333614506982</v>
      </c>
      <c r="L7" s="35">
        <f t="shared" si="1"/>
        <v>1.5693941194135754</v>
      </c>
      <c r="M7" s="35">
        <f t="shared" si="1"/>
        <v>1.6417431883185414</v>
      </c>
      <c r="N7" s="35">
        <f t="shared" si="1"/>
        <v>1.7174275493000262</v>
      </c>
      <c r="O7" s="35">
        <f t="shared" si="1"/>
        <v>1.7966009593227574</v>
      </c>
      <c r="P7" s="35">
        <f t="shared" si="1"/>
        <v>1.8794242635475367</v>
      </c>
      <c r="Q7" s="35">
        <f t="shared" si="1"/>
        <v>1.9660657220970781</v>
      </c>
      <c r="R7" s="35">
        <f t="shared" si="1"/>
        <v>2.0567013518857533</v>
      </c>
      <c r="S7" s="35">
        <f t="shared" si="1"/>
        <v>2.1515152842076866</v>
      </c>
      <c r="T7" s="35">
        <f t="shared" si="1"/>
        <v>2.2507001388096608</v>
      </c>
      <c r="U7" s="35">
        <f t="shared" si="1"/>
        <v>2.354457415208786</v>
      </c>
      <c r="V7" s="35">
        <f t="shared" si="1"/>
        <v>2.4629979020499113</v>
      </c>
      <c r="W7" s="35">
        <f t="shared" si="1"/>
        <v>2.5765421053344122</v>
      </c>
      <c r="X7" s="35">
        <f t="shared" si="1"/>
        <v>2.6953206963903287</v>
      </c>
    </row>
    <row r="8" spans="2:25" x14ac:dyDescent="0.2">
      <c r="B8" s="84" t="s">
        <v>367</v>
      </c>
      <c r="C8" s="87">
        <f>C6/C7</f>
        <v>3561.2830957145588</v>
      </c>
      <c r="D8" s="35">
        <f t="shared" ref="D8:X8" si="2">D6/D7</f>
        <v>4708.2522724756809</v>
      </c>
      <c r="E8" s="35">
        <f t="shared" si="2"/>
        <v>4995.0677933523657</v>
      </c>
      <c r="F8" s="35">
        <f t="shared" si="2"/>
        <v>3568.7897648241064</v>
      </c>
      <c r="G8" s="35">
        <f t="shared" si="2"/>
        <v>2997.7617434355657</v>
      </c>
      <c r="H8" s="35">
        <f t="shared" si="2"/>
        <v>1038.7624841903996</v>
      </c>
      <c r="I8" s="35">
        <f t="shared" si="2"/>
        <v>232.98714298807519</v>
      </c>
      <c r="J8" s="35">
        <f t="shared" si="2"/>
        <v>119.00996341246018</v>
      </c>
      <c r="K8" s="35">
        <f t="shared" si="2"/>
        <v>129.16697196363549</v>
      </c>
      <c r="L8" s="35">
        <f t="shared" si="2"/>
        <v>226.00040917745596</v>
      </c>
      <c r="M8" s="35">
        <f t="shared" si="2"/>
        <v>380.25890300815831</v>
      </c>
      <c r="N8" s="35">
        <f t="shared" si="2"/>
        <v>477.78602785026112</v>
      </c>
      <c r="O8" s="35">
        <f t="shared" si="2"/>
        <v>446.12053410696183</v>
      </c>
      <c r="P8" s="35">
        <f t="shared" si="2"/>
        <v>404.38255770357114</v>
      </c>
      <c r="Q8" s="35">
        <f t="shared" si="2"/>
        <v>306.40144729661591</v>
      </c>
      <c r="R8" s="35">
        <f t="shared" si="2"/>
        <v>355.64454144058766</v>
      </c>
      <c r="S8" s="35">
        <f t="shared" si="2"/>
        <v>308.55196470264974</v>
      </c>
      <c r="T8" s="35">
        <f t="shared" si="2"/>
        <v>306.3850778384483</v>
      </c>
      <c r="U8" s="35">
        <f t="shared" si="2"/>
        <v>543.8052613453001</v>
      </c>
      <c r="V8" s="35">
        <f t="shared" si="2"/>
        <v>235.11151859192904</v>
      </c>
      <c r="W8" s="35">
        <f t="shared" si="2"/>
        <v>37.734787472386863</v>
      </c>
      <c r="X8" s="35">
        <f t="shared" si="2"/>
        <v>149.20850034285155</v>
      </c>
    </row>
    <row r="9" spans="2:25" x14ac:dyDescent="0.2">
      <c r="B9" s="84" t="s">
        <v>366</v>
      </c>
      <c r="C9" s="35">
        <f>SUM(C8:X8)</f>
        <v>25528.472763234022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2:25" x14ac:dyDescent="0.2">
      <c r="B10" s="84" t="s">
        <v>368</v>
      </c>
      <c r="C10" s="35">
        <f>(Balansen!F45-Balansen!F19)/1000000</f>
        <v>5982.0126704199993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2:25" x14ac:dyDescent="0.2">
      <c r="B11" s="84" t="s">
        <v>329</v>
      </c>
      <c r="C11" s="35">
        <f>C9-C10</f>
        <v>19546.460092814021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2:25" x14ac:dyDescent="0.2">
      <c r="B12" s="84" t="s">
        <v>369</v>
      </c>
      <c r="C12" s="35">
        <v>32.194108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2:25" ht="16" thickBot="1" x14ac:dyDescent="0.25">
      <c r="B13" s="90" t="s">
        <v>370</v>
      </c>
      <c r="C13" s="65">
        <f>C11/C12</f>
        <v>607.14401817916564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2:25" ht="16" thickTop="1" x14ac:dyDescent="0.2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2:25" x14ac:dyDescent="0.2">
      <c r="B15" t="s">
        <v>313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2:25" x14ac:dyDescent="0.2">
      <c r="B16" s="84" t="str">
        <f>B2</f>
        <v>År</v>
      </c>
      <c r="C16" s="89" t="str">
        <f>C2</f>
        <v>E 2023</v>
      </c>
      <c r="D16" s="89" t="str">
        <f t="shared" ref="D16:X16" si="3">D2</f>
        <v>E 2024</v>
      </c>
      <c r="E16" s="89" t="str">
        <f t="shared" si="3"/>
        <v>E 2025</v>
      </c>
      <c r="F16" s="89" t="str">
        <f t="shared" si="3"/>
        <v>E 2026</v>
      </c>
      <c r="G16" s="89" t="str">
        <f t="shared" si="3"/>
        <v>E 2027</v>
      </c>
      <c r="H16" s="89" t="str">
        <f t="shared" si="3"/>
        <v>E 2028</v>
      </c>
      <c r="I16" s="89" t="str">
        <f t="shared" si="3"/>
        <v>E 2029</v>
      </c>
      <c r="J16" s="89" t="str">
        <f t="shared" si="3"/>
        <v>E 2030</v>
      </c>
      <c r="K16" s="89" t="str">
        <f t="shared" si="3"/>
        <v>E 2031</v>
      </c>
      <c r="L16" s="89" t="str">
        <f t="shared" si="3"/>
        <v>E 2032</v>
      </c>
      <c r="M16" s="89" t="str">
        <f t="shared" si="3"/>
        <v>E 2033</v>
      </c>
      <c r="N16" s="89" t="str">
        <f t="shared" si="3"/>
        <v>E 2034</v>
      </c>
      <c r="O16" s="89" t="str">
        <f t="shared" si="3"/>
        <v>E 2035</v>
      </c>
      <c r="P16" s="89" t="str">
        <f t="shared" si="3"/>
        <v>E 2036</v>
      </c>
      <c r="Q16" s="89" t="str">
        <f t="shared" si="3"/>
        <v>E 2037</v>
      </c>
      <c r="R16" s="89" t="str">
        <f t="shared" si="3"/>
        <v>E 2038</v>
      </c>
      <c r="S16" s="89" t="str">
        <f t="shared" si="3"/>
        <v>E 2039</v>
      </c>
      <c r="T16" s="89" t="str">
        <f t="shared" si="3"/>
        <v>E 2040</v>
      </c>
      <c r="U16" s="89" t="str">
        <f t="shared" si="3"/>
        <v>E 2041</v>
      </c>
      <c r="V16" s="89" t="str">
        <f t="shared" si="3"/>
        <v>E 2042</v>
      </c>
      <c r="W16" s="89" t="str">
        <f t="shared" si="3"/>
        <v>E 2043</v>
      </c>
      <c r="X16" s="89" t="str">
        <f t="shared" si="3"/>
        <v>E 2044</v>
      </c>
    </row>
    <row r="17" spans="2:25" x14ac:dyDescent="0.2">
      <c r="B17" s="84" t="str">
        <f t="shared" ref="B17:B27" si="4">B3</f>
        <v>WACC</v>
      </c>
      <c r="C17" s="71">
        <f>C3</f>
        <v>4.6100000000000002E-2</v>
      </c>
      <c r="D17" s="71">
        <f t="shared" ref="D17:X17" si="5">D3</f>
        <v>4.6100000000000002E-2</v>
      </c>
      <c r="E17" s="71">
        <f t="shared" si="5"/>
        <v>4.6100000000000002E-2</v>
      </c>
      <c r="F17" s="71">
        <f t="shared" si="5"/>
        <v>4.6100000000000002E-2</v>
      </c>
      <c r="G17" s="71">
        <f t="shared" si="5"/>
        <v>4.6100000000000002E-2</v>
      </c>
      <c r="H17" s="71">
        <f t="shared" si="5"/>
        <v>4.6100000000000002E-2</v>
      </c>
      <c r="I17" s="71">
        <f t="shared" si="5"/>
        <v>4.6100000000000002E-2</v>
      </c>
      <c r="J17" s="71">
        <f t="shared" si="5"/>
        <v>4.6100000000000002E-2</v>
      </c>
      <c r="K17" s="71">
        <f t="shared" si="5"/>
        <v>4.6100000000000002E-2</v>
      </c>
      <c r="L17" s="71">
        <f t="shared" si="5"/>
        <v>4.6100000000000002E-2</v>
      </c>
      <c r="M17" s="71">
        <f t="shared" si="5"/>
        <v>4.6100000000000002E-2</v>
      </c>
      <c r="N17" s="71">
        <f t="shared" si="5"/>
        <v>4.6100000000000002E-2</v>
      </c>
      <c r="O17" s="71">
        <f t="shared" si="5"/>
        <v>4.6100000000000002E-2</v>
      </c>
      <c r="P17" s="71">
        <f t="shared" si="5"/>
        <v>4.6100000000000002E-2</v>
      </c>
      <c r="Q17" s="71">
        <f t="shared" si="5"/>
        <v>4.6100000000000002E-2</v>
      </c>
      <c r="R17" s="71">
        <f t="shared" si="5"/>
        <v>4.6100000000000002E-2</v>
      </c>
      <c r="S17" s="71">
        <f t="shared" si="5"/>
        <v>4.6100000000000002E-2</v>
      </c>
      <c r="T17" s="71">
        <f t="shared" si="5"/>
        <v>4.6100000000000002E-2</v>
      </c>
      <c r="U17" s="71">
        <f t="shared" si="5"/>
        <v>4.6100000000000002E-2</v>
      </c>
      <c r="V17" s="71">
        <f t="shared" si="5"/>
        <v>4.6100000000000002E-2</v>
      </c>
      <c r="W17" s="71">
        <f t="shared" si="5"/>
        <v>4.6100000000000002E-2</v>
      </c>
      <c r="X17" s="71">
        <f t="shared" si="5"/>
        <v>4.6100000000000002E-2</v>
      </c>
    </row>
    <row r="18" spans="2:25" x14ac:dyDescent="0.2">
      <c r="B18" s="84" t="str">
        <f t="shared" si="4"/>
        <v>NDR</v>
      </c>
      <c r="C18" s="35">
        <f>Fremtidsresultat!C27</f>
        <v>1406.7491591151597</v>
      </c>
      <c r="D18" s="35">
        <f>Fremtidsresultat!D27</f>
        <v>1347.6905818526875</v>
      </c>
      <c r="E18" s="35">
        <f>Fremtidsresultat!E27</f>
        <v>1352.3541410718462</v>
      </c>
      <c r="F18" s="35">
        <f>Fremtidsresultat!F27</f>
        <v>843.14875904283986</v>
      </c>
      <c r="G18" s="35">
        <f>Fremtidsresultat!G27</f>
        <v>771.66497751018642</v>
      </c>
      <c r="H18" s="35">
        <f>Fremtidsresultat!H27</f>
        <v>739.4104849977648</v>
      </c>
      <c r="I18" s="35">
        <f>Fremtidsresultat!I27</f>
        <v>657.6410672859804</v>
      </c>
      <c r="J18" s="35">
        <f>Fremtidsresultat!J27</f>
        <v>634.81242587084489</v>
      </c>
      <c r="K18" s="35">
        <f>Fremtidsresultat!K27</f>
        <v>626.55017627829238</v>
      </c>
      <c r="L18" s="35">
        <f>Fremtidsresultat!L27</f>
        <v>544.1098463447745</v>
      </c>
      <c r="M18" s="35">
        <f>Fremtidsresultat!M27</f>
        <v>515.66687446347123</v>
      </c>
      <c r="N18" s="35">
        <f>Fremtidsresultat!N27</f>
        <v>390.85160779542753</v>
      </c>
      <c r="O18" s="35">
        <f>Fremtidsresultat!O27</f>
        <v>371.78930044490812</v>
      </c>
      <c r="P18" s="35">
        <f>Fremtidsresultat!P27</f>
        <v>330.29511159826302</v>
      </c>
      <c r="Q18" s="35">
        <f>Fremtidsresultat!Q27</f>
        <v>172.69410362557142</v>
      </c>
      <c r="R18" s="35">
        <f>Fremtidsresultat!R27</f>
        <v>211.03133006640542</v>
      </c>
      <c r="S18" s="35">
        <f>Fremtidsresultat!S27</f>
        <v>164.28883193623642</v>
      </c>
      <c r="T18" s="35">
        <f>Fremtidsresultat!T27</f>
        <v>123.43079547922389</v>
      </c>
      <c r="U18" s="35">
        <f>Fremtidsresultat!U27</f>
        <v>151.8253256272726</v>
      </c>
      <c r="V18" s="35">
        <f>Fremtidsresultat!V27</f>
        <v>68.438014256293116</v>
      </c>
      <c r="W18" s="35">
        <f>Fremtidsresultat!W27</f>
        <v>16.180036487120532</v>
      </c>
      <c r="X18" s="35">
        <f>Fremtidsresultat!X27</f>
        <v>8.8689781215500716</v>
      </c>
    </row>
    <row r="19" spans="2:25" x14ac:dyDescent="0.2">
      <c r="B19" s="84" t="str">
        <f t="shared" si="4"/>
        <v>NDE-NDEt-1</v>
      </c>
      <c r="C19" s="35">
        <f>C5</f>
        <v>-429.71127910524046</v>
      </c>
      <c r="D19" s="35">
        <f t="shared" ref="D19:X19" si="6">D5</f>
        <v>-429.71127910524046</v>
      </c>
      <c r="E19" s="35">
        <f t="shared" si="6"/>
        <v>-429.71127910524046</v>
      </c>
      <c r="F19" s="35">
        <f t="shared" si="6"/>
        <v>-429.71127910524046</v>
      </c>
      <c r="G19" s="35">
        <f t="shared" si="6"/>
        <v>-429.71127910524046</v>
      </c>
      <c r="H19" s="35">
        <f t="shared" si="6"/>
        <v>-429.71127910524046</v>
      </c>
      <c r="I19" s="35">
        <f t="shared" si="6"/>
        <v>-429.71127910524046</v>
      </c>
      <c r="J19" s="35">
        <f t="shared" si="6"/>
        <v>-429.71127910524046</v>
      </c>
      <c r="K19" s="35">
        <f t="shared" si="6"/>
        <v>-429.71127910524046</v>
      </c>
      <c r="L19" s="35">
        <f t="shared" si="6"/>
        <v>-429.71127910524046</v>
      </c>
      <c r="M19" s="35">
        <f t="shared" si="6"/>
        <v>-429.71127910524046</v>
      </c>
      <c r="N19" s="35">
        <f t="shared" si="6"/>
        <v>-429.71127910524046</v>
      </c>
      <c r="O19" s="35">
        <f t="shared" si="6"/>
        <v>-429.71127910524046</v>
      </c>
      <c r="P19" s="35">
        <f t="shared" si="6"/>
        <v>-429.71127910524046</v>
      </c>
      <c r="Q19" s="35">
        <f t="shared" si="6"/>
        <v>-429.71127910523956</v>
      </c>
      <c r="R19" s="35">
        <f t="shared" si="6"/>
        <v>-520.42327910524</v>
      </c>
      <c r="S19" s="35">
        <f t="shared" si="6"/>
        <v>-499.56543609382516</v>
      </c>
      <c r="T19" s="35">
        <f t="shared" si="6"/>
        <v>-566.15014174098042</v>
      </c>
      <c r="U19" s="35">
        <f t="shared" si="6"/>
        <v>-1128.541004376721</v>
      </c>
      <c r="V19" s="35">
        <f t="shared" si="6"/>
        <v>-510.64116278339691</v>
      </c>
      <c r="W19" s="35">
        <f t="shared" si="6"/>
        <v>-81.045232271329724</v>
      </c>
      <c r="X19" s="35">
        <f t="shared" si="6"/>
        <v>-393.29578092990118</v>
      </c>
    </row>
    <row r="20" spans="2:25" x14ac:dyDescent="0.2">
      <c r="B20" s="84" t="str">
        <f t="shared" si="4"/>
        <v>FKD</v>
      </c>
      <c r="C20" s="35">
        <f>C18-C19</f>
        <v>1836.4604382204002</v>
      </c>
      <c r="D20" s="35">
        <f t="shared" ref="D20:X20" si="7">D18-D19</f>
        <v>1777.401860957928</v>
      </c>
      <c r="E20" s="35">
        <f t="shared" si="7"/>
        <v>1782.0654201770867</v>
      </c>
      <c r="F20" s="35">
        <f t="shared" si="7"/>
        <v>1272.8600381480803</v>
      </c>
      <c r="G20" s="35">
        <f t="shared" si="7"/>
        <v>1201.3762566154269</v>
      </c>
      <c r="H20" s="35">
        <f t="shared" si="7"/>
        <v>1169.1217641030053</v>
      </c>
      <c r="I20" s="35">
        <f t="shared" si="7"/>
        <v>1087.3523463912209</v>
      </c>
      <c r="J20" s="35">
        <f t="shared" si="7"/>
        <v>1064.5237049760854</v>
      </c>
      <c r="K20" s="35">
        <f t="shared" si="7"/>
        <v>1056.2614553835328</v>
      </c>
      <c r="L20" s="35">
        <f t="shared" si="7"/>
        <v>973.82112545001496</v>
      </c>
      <c r="M20" s="35">
        <f t="shared" si="7"/>
        <v>945.3781535687117</v>
      </c>
      <c r="N20" s="35">
        <f t="shared" si="7"/>
        <v>820.56288690066799</v>
      </c>
      <c r="O20" s="35">
        <f t="shared" si="7"/>
        <v>801.50057955014859</v>
      </c>
      <c r="P20" s="35">
        <f t="shared" si="7"/>
        <v>760.00639070350348</v>
      </c>
      <c r="Q20" s="35">
        <f t="shared" si="7"/>
        <v>602.40538273081097</v>
      </c>
      <c r="R20" s="35">
        <f t="shared" si="7"/>
        <v>731.45460917164542</v>
      </c>
      <c r="S20" s="35">
        <f t="shared" si="7"/>
        <v>663.85426803006158</v>
      </c>
      <c r="T20" s="35">
        <f t="shared" si="7"/>
        <v>689.58093722020431</v>
      </c>
      <c r="U20" s="35">
        <f t="shared" si="7"/>
        <v>1280.3663300039937</v>
      </c>
      <c r="V20" s="35">
        <f t="shared" si="7"/>
        <v>579.07917703968997</v>
      </c>
      <c r="W20" s="35">
        <f t="shared" si="7"/>
        <v>97.225268758450255</v>
      </c>
      <c r="X20" s="35">
        <f t="shared" si="7"/>
        <v>402.16475905145126</v>
      </c>
    </row>
    <row r="21" spans="2:25" x14ac:dyDescent="0.2">
      <c r="B21" s="84" t="str">
        <f t="shared" si="4"/>
        <v>Diskonteringsfaktor</v>
      </c>
      <c r="C21" s="35">
        <f>C7</f>
        <v>1.0461</v>
      </c>
      <c r="D21" s="35">
        <f t="shared" ref="D21:X21" si="8">D7</f>
        <v>1.09432521</v>
      </c>
      <c r="E21" s="35">
        <f t="shared" si="8"/>
        <v>1.144773602181</v>
      </c>
      <c r="F21" s="35">
        <f t="shared" si="8"/>
        <v>1.1975476652415442</v>
      </c>
      <c r="G21" s="35">
        <f t="shared" si="8"/>
        <v>1.2527546126091795</v>
      </c>
      <c r="H21" s="35">
        <f t="shared" si="8"/>
        <v>1.3105066002504628</v>
      </c>
      <c r="I21" s="35">
        <f t="shared" si="8"/>
        <v>1.3709209545220091</v>
      </c>
      <c r="J21" s="35">
        <f t="shared" si="8"/>
        <v>1.4341204105254739</v>
      </c>
      <c r="K21" s="35">
        <f t="shared" si="8"/>
        <v>1.5002333614506982</v>
      </c>
      <c r="L21" s="35">
        <f t="shared" si="8"/>
        <v>1.5693941194135754</v>
      </c>
      <c r="M21" s="35">
        <f t="shared" si="8"/>
        <v>1.6417431883185414</v>
      </c>
      <c r="N21" s="35">
        <f t="shared" si="8"/>
        <v>1.7174275493000262</v>
      </c>
      <c r="O21" s="35">
        <f t="shared" si="8"/>
        <v>1.7966009593227574</v>
      </c>
      <c r="P21" s="35">
        <f t="shared" si="8"/>
        <v>1.8794242635475367</v>
      </c>
      <c r="Q21" s="35">
        <f t="shared" si="8"/>
        <v>1.9660657220970781</v>
      </c>
      <c r="R21" s="35">
        <f t="shared" si="8"/>
        <v>2.0567013518857533</v>
      </c>
      <c r="S21" s="35">
        <f t="shared" si="8"/>
        <v>2.1515152842076866</v>
      </c>
      <c r="T21" s="35">
        <f t="shared" si="8"/>
        <v>2.2507001388096608</v>
      </c>
      <c r="U21" s="35">
        <f t="shared" si="8"/>
        <v>2.354457415208786</v>
      </c>
      <c r="V21" s="35">
        <f t="shared" si="8"/>
        <v>2.4629979020499113</v>
      </c>
      <c r="W21" s="35">
        <f t="shared" si="8"/>
        <v>2.5765421053344122</v>
      </c>
      <c r="X21" s="35">
        <f t="shared" si="8"/>
        <v>2.6953206963903287</v>
      </c>
    </row>
    <row r="22" spans="2:25" x14ac:dyDescent="0.2">
      <c r="B22" s="84" t="str">
        <f t="shared" si="4"/>
        <v>Nåverdi FKD</v>
      </c>
      <c r="C22" s="35">
        <f>C20/C21</f>
        <v>1755.5304829561228</v>
      </c>
      <c r="D22" s="35">
        <f t="shared" ref="D22:X22" si="9">D20/D21</f>
        <v>1624.1989535797388</v>
      </c>
      <c r="E22" s="35">
        <f t="shared" si="9"/>
        <v>1556.696814795459</v>
      </c>
      <c r="F22" s="35">
        <f t="shared" si="9"/>
        <v>1062.8888311442247</v>
      </c>
      <c r="G22" s="35">
        <f t="shared" si="9"/>
        <v>958.9876936180309</v>
      </c>
      <c r="H22" s="35">
        <f t="shared" si="9"/>
        <v>892.11436545192805</v>
      </c>
      <c r="I22" s="35">
        <f t="shared" si="9"/>
        <v>793.15466205733321</v>
      </c>
      <c r="J22" s="35">
        <f t="shared" si="9"/>
        <v>742.28335163714382</v>
      </c>
      <c r="K22" s="35">
        <f t="shared" si="9"/>
        <v>704.06476920507043</v>
      </c>
      <c r="L22" s="35">
        <f t="shared" si="9"/>
        <v>620.50769364033044</v>
      </c>
      <c r="M22" s="35">
        <f t="shared" si="9"/>
        <v>575.83802405597885</v>
      </c>
      <c r="N22" s="35">
        <f t="shared" si="9"/>
        <v>477.78602785026112</v>
      </c>
      <c r="O22" s="35">
        <f t="shared" si="9"/>
        <v>446.12053410696183</v>
      </c>
      <c r="P22" s="35">
        <f t="shared" si="9"/>
        <v>404.38255770357114</v>
      </c>
      <c r="Q22" s="35">
        <f t="shared" si="9"/>
        <v>306.40144729661591</v>
      </c>
      <c r="R22" s="35">
        <f t="shared" si="9"/>
        <v>355.64454144058766</v>
      </c>
      <c r="S22" s="35">
        <f t="shared" si="9"/>
        <v>308.55196470264974</v>
      </c>
      <c r="T22" s="35">
        <f t="shared" si="9"/>
        <v>306.3850778384483</v>
      </c>
      <c r="U22" s="35">
        <f t="shared" si="9"/>
        <v>543.8052613453001</v>
      </c>
      <c r="V22" s="35">
        <f t="shared" si="9"/>
        <v>235.11151859192904</v>
      </c>
      <c r="W22" s="35">
        <f t="shared" si="9"/>
        <v>37.734787472386863</v>
      </c>
      <c r="X22" s="35">
        <f t="shared" si="9"/>
        <v>149.20850034285155</v>
      </c>
    </row>
    <row r="23" spans="2:25" x14ac:dyDescent="0.2">
      <c r="B23" s="84" t="str">
        <f t="shared" si="4"/>
        <v>Sum nåverdi FKD</v>
      </c>
      <c r="C23" s="35">
        <f>SUM(C22:X22)</f>
        <v>14857.397860832923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2:25" x14ac:dyDescent="0.2">
      <c r="B24" s="84" t="str">
        <f t="shared" si="4"/>
        <v>Netto balanseført gjeld</v>
      </c>
      <c r="C24" s="35">
        <f>C10</f>
        <v>5982.0126704199993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2:25" x14ac:dyDescent="0.2">
      <c r="B25" s="84" t="str">
        <f t="shared" si="4"/>
        <v>Verdi av EK</v>
      </c>
      <c r="C25" s="35">
        <f>C23-C24</f>
        <v>8875.3851904129242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2:25" x14ac:dyDescent="0.2">
      <c r="B26" s="84" t="str">
        <f t="shared" si="4"/>
        <v>Aksjer</v>
      </c>
      <c r="C26" s="35">
        <v>32.194108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2:25" ht="16" thickBot="1" x14ac:dyDescent="0.25">
      <c r="B27" s="91" t="str">
        <f t="shared" si="4"/>
        <v>Kursmål</v>
      </c>
      <c r="C27" s="65">
        <f>C25/C26</f>
        <v>275.68352539579365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2:25" ht="16" thickTop="1" x14ac:dyDescent="0.2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2:25" x14ac:dyDescent="0.2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2:25" x14ac:dyDescent="0.2">
      <c r="B30" s="62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2:25" x14ac:dyDescent="0.2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2:25" x14ac:dyDescent="0.2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3:24" x14ac:dyDescent="0.2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5C1FB-DBAE-4B57-8EF6-D04F2E9784B5}">
  <dimension ref="B2:J44"/>
  <sheetViews>
    <sheetView zoomScale="80" zoomScaleNormal="80" workbookViewId="0">
      <selection activeCell="J4" sqref="J4"/>
    </sheetView>
  </sheetViews>
  <sheetFormatPr baseColWidth="10" defaultRowHeight="15" x14ac:dyDescent="0.2"/>
  <cols>
    <col min="2" max="2" width="15.6640625" bestFit="1" customWidth="1"/>
    <col min="3" max="3" width="17.83203125" bestFit="1" customWidth="1"/>
    <col min="4" max="5" width="13.6640625" bestFit="1" customWidth="1"/>
    <col min="6" max="6" width="15" customWidth="1"/>
    <col min="7" max="7" width="13.6640625" bestFit="1" customWidth="1"/>
    <col min="8" max="8" width="12.1640625" bestFit="1" customWidth="1"/>
  </cols>
  <sheetData>
    <row r="2" spans="2:10" x14ac:dyDescent="0.2">
      <c r="B2" s="98" t="s">
        <v>6</v>
      </c>
      <c r="C2" s="98"/>
      <c r="D2" s="98"/>
      <c r="E2" s="98"/>
      <c r="F2" s="98"/>
      <c r="G2" s="98"/>
    </row>
    <row r="3" spans="2:10" x14ac:dyDescent="0.2">
      <c r="B3" s="19" t="s">
        <v>0</v>
      </c>
      <c r="C3" s="19">
        <v>2018</v>
      </c>
      <c r="D3" s="19">
        <v>2019</v>
      </c>
      <c r="E3" s="19">
        <v>2020</v>
      </c>
      <c r="F3" s="19">
        <v>2021</v>
      </c>
      <c r="G3" s="19">
        <v>2022</v>
      </c>
      <c r="I3" t="s">
        <v>119</v>
      </c>
      <c r="J3">
        <v>9.86</v>
      </c>
    </row>
    <row r="4" spans="2:10" x14ac:dyDescent="0.2">
      <c r="B4" s="1" t="s">
        <v>7</v>
      </c>
      <c r="C4" s="3">
        <f>316369773*J3</f>
        <v>3119405961.7799997</v>
      </c>
      <c r="D4" s="3">
        <f>341694303*J3</f>
        <v>3369105827.5799999</v>
      </c>
      <c r="E4" s="3">
        <f>397228193*J3</f>
        <v>3916669982.9799995</v>
      </c>
      <c r="F4" s="3">
        <f>358292858*J3</f>
        <v>3532767579.8799996</v>
      </c>
      <c r="G4" s="3">
        <f>422243261*J3</f>
        <v>4163318553.4599996</v>
      </c>
    </row>
    <row r="5" spans="2:10" x14ac:dyDescent="0.2">
      <c r="B5" s="1" t="s">
        <v>8</v>
      </c>
      <c r="C5" s="3">
        <f>668499173*J3</f>
        <v>6591401845.7799997</v>
      </c>
      <c r="D5" s="3">
        <f>1110833832*J3</f>
        <v>10952821583.519999</v>
      </c>
      <c r="E5" s="3">
        <f>1259728336*J3</f>
        <v>12420921392.959999</v>
      </c>
      <c r="F5" s="3">
        <f>954588775*J3</f>
        <v>9412245321.5</v>
      </c>
      <c r="G5" s="3">
        <f>1183355242*J3</f>
        <v>11667882686.119999</v>
      </c>
    </row>
    <row r="6" spans="2:10" x14ac:dyDescent="0.2">
      <c r="B6" s="1" t="s">
        <v>9</v>
      </c>
      <c r="C6" s="5">
        <f>C4/C5</f>
        <v>0.47325379862511807</v>
      </c>
      <c r="D6" s="5">
        <f>D4/D5</f>
        <v>0.30760163505715049</v>
      </c>
      <c r="E6" s="5">
        <f>E4/E5</f>
        <v>0.31532845745243282</v>
      </c>
      <c r="F6" s="5">
        <f>F4/F5</f>
        <v>0.37533738860484711</v>
      </c>
      <c r="G6" s="5">
        <f>G4/G5</f>
        <v>0.3568186847141207</v>
      </c>
    </row>
    <row r="7" spans="2:10" x14ac:dyDescent="0.2">
      <c r="C7" s="12"/>
      <c r="D7" s="12"/>
      <c r="E7" s="12"/>
      <c r="F7" s="12"/>
      <c r="G7" s="12"/>
    </row>
    <row r="8" spans="2:10" x14ac:dyDescent="0.2">
      <c r="C8" s="7"/>
    </row>
    <row r="9" spans="2:10" x14ac:dyDescent="0.2">
      <c r="B9" s="98" t="s">
        <v>20</v>
      </c>
      <c r="C9" s="98"/>
      <c r="D9" s="98"/>
      <c r="E9" s="98"/>
      <c r="F9" s="98"/>
      <c r="G9" s="98"/>
    </row>
    <row r="10" spans="2:10" x14ac:dyDescent="0.2">
      <c r="B10" s="19" t="s">
        <v>0</v>
      </c>
      <c r="C10" s="19">
        <v>2018</v>
      </c>
      <c r="D10" s="19">
        <v>2019</v>
      </c>
      <c r="E10" s="19">
        <v>2020</v>
      </c>
      <c r="F10" s="19">
        <v>2021</v>
      </c>
      <c r="G10" s="19">
        <v>2022</v>
      </c>
    </row>
    <row r="11" spans="2:10" x14ac:dyDescent="0.2">
      <c r="B11" s="1" t="s">
        <v>7</v>
      </c>
      <c r="C11" s="3">
        <f>861668000*J3</f>
        <v>8496046479.999999</v>
      </c>
      <c r="D11" s="3">
        <f>932449000*J3</f>
        <v>9193947140</v>
      </c>
      <c r="E11" s="3">
        <f>1108940000*J3</f>
        <v>10934148400</v>
      </c>
      <c r="F11" s="3">
        <f>1047359000*J3</f>
        <v>10326959740</v>
      </c>
      <c r="G11" s="3">
        <f>1068478000*J3</f>
        <v>10535193080</v>
      </c>
    </row>
    <row r="12" spans="2:10" x14ac:dyDescent="0.2">
      <c r="B12" s="1" t="s">
        <v>8</v>
      </c>
      <c r="C12" s="3">
        <f>1863856000*J3</f>
        <v>18377620160</v>
      </c>
      <c r="D12" s="3">
        <f>1827218000*J3</f>
        <v>18016369480</v>
      </c>
      <c r="E12" s="3">
        <f>1621989000*J3</f>
        <v>15992811540</v>
      </c>
      <c r="F12" s="3">
        <f>1609362000*J3</f>
        <v>15868309320</v>
      </c>
      <c r="G12" s="3">
        <f>1508474000*J3</f>
        <v>14873553640</v>
      </c>
    </row>
    <row r="13" spans="2:10" x14ac:dyDescent="0.2">
      <c r="B13" s="1" t="s">
        <v>9</v>
      </c>
      <c r="C13" s="5">
        <f>C11/C12</f>
        <v>0.46230395481195968</v>
      </c>
      <c r="D13" s="5">
        <f>D11/D12</f>
        <v>0.51031075657091818</v>
      </c>
      <c r="E13" s="5">
        <f>E11/E12</f>
        <v>0.68369144303691332</v>
      </c>
      <c r="F13" s="5">
        <f>F11/F12</f>
        <v>0.6507914316356419</v>
      </c>
      <c r="G13" s="5">
        <f>G11/G12</f>
        <v>0.70831714699756176</v>
      </c>
    </row>
    <row r="16" spans="2:10" x14ac:dyDescent="0.2">
      <c r="B16" s="98" t="s">
        <v>21</v>
      </c>
      <c r="C16" s="98"/>
      <c r="D16" s="98"/>
      <c r="E16" s="98"/>
      <c r="F16" s="98"/>
      <c r="G16" s="98"/>
    </row>
    <row r="17" spans="2:7" x14ac:dyDescent="0.2">
      <c r="B17" s="19" t="s">
        <v>0</v>
      </c>
      <c r="C17" s="19">
        <v>2018</v>
      </c>
      <c r="D17" s="19">
        <v>2019</v>
      </c>
      <c r="E17" s="19">
        <v>2020</v>
      </c>
      <c r="F17" s="19">
        <v>2021</v>
      </c>
      <c r="G17" s="19">
        <v>2022</v>
      </c>
    </row>
    <row r="18" spans="2:7" x14ac:dyDescent="0.2">
      <c r="B18" s="1" t="s">
        <v>7</v>
      </c>
      <c r="C18" s="3">
        <f>2260523000*J3</f>
        <v>22288756780</v>
      </c>
      <c r="D18" s="3">
        <f>2311855000*J3</f>
        <v>22794890300</v>
      </c>
      <c r="E18" s="3">
        <f>2311786000*J3</f>
        <v>22794209960</v>
      </c>
      <c r="F18" s="3">
        <f>1960582000*J3</f>
        <v>19331338520</v>
      </c>
      <c r="G18" s="3">
        <f>2173465000*J3</f>
        <v>21430364900</v>
      </c>
    </row>
    <row r="19" spans="2:7" x14ac:dyDescent="0.2">
      <c r="B19" s="1" t="s">
        <v>8</v>
      </c>
      <c r="C19" s="3">
        <f>4127351000*J3</f>
        <v>40695680860</v>
      </c>
      <c r="D19" s="3">
        <f>4164843000*J3</f>
        <v>41065351980</v>
      </c>
      <c r="E19" s="3">
        <f>3687239000*J3</f>
        <v>36356176540</v>
      </c>
      <c r="F19" s="3">
        <f>3768523000*J3</f>
        <v>37157636780</v>
      </c>
      <c r="G19" s="3">
        <f>3969073000*J3</f>
        <v>39135059780</v>
      </c>
    </row>
    <row r="20" spans="2:7" x14ac:dyDescent="0.2">
      <c r="B20" s="1" t="s">
        <v>9</v>
      </c>
      <c r="C20" s="5">
        <f>C18/C19</f>
        <v>0.54769342369960783</v>
      </c>
      <c r="D20" s="5">
        <f>D18/D19</f>
        <v>0.55508815098192177</v>
      </c>
      <c r="E20" s="5">
        <f>E18/E19</f>
        <v>0.62696939363030169</v>
      </c>
      <c r="F20" s="5">
        <f>F18/F19</f>
        <v>0.52025209876654599</v>
      </c>
      <c r="G20" s="5">
        <f>G18/G19</f>
        <v>0.54760015751788893</v>
      </c>
    </row>
    <row r="23" spans="2:7" x14ac:dyDescent="0.2">
      <c r="B23" s="98" t="s">
        <v>22</v>
      </c>
      <c r="C23" s="98"/>
      <c r="D23" s="98"/>
      <c r="E23" s="98"/>
      <c r="F23" s="98"/>
      <c r="G23" s="98"/>
    </row>
    <row r="24" spans="2:7" x14ac:dyDescent="0.2">
      <c r="B24" s="19" t="s">
        <v>0</v>
      </c>
      <c r="C24" s="19">
        <v>2018</v>
      </c>
      <c r="D24" s="19">
        <v>2019</v>
      </c>
      <c r="E24" s="19">
        <v>2020</v>
      </c>
      <c r="F24" s="19">
        <v>2021</v>
      </c>
      <c r="G24" s="19">
        <v>2022</v>
      </c>
    </row>
    <row r="25" spans="2:7" x14ac:dyDescent="0.2">
      <c r="B25" s="1" t="s">
        <v>7</v>
      </c>
      <c r="C25" s="3">
        <f>602031000*J3</f>
        <v>5936025660</v>
      </c>
      <c r="D25" s="3">
        <f>595424000*J3</f>
        <v>5870880640</v>
      </c>
      <c r="E25" s="3">
        <f>599126000*J3</f>
        <v>5907382360</v>
      </c>
      <c r="F25" s="3">
        <f>498223000*J3</f>
        <v>4912478780</v>
      </c>
      <c r="G25" s="3">
        <f>539982000*J3</f>
        <v>5324222520</v>
      </c>
    </row>
    <row r="26" spans="2:7" x14ac:dyDescent="0.2">
      <c r="B26" s="1" t="s">
        <v>8</v>
      </c>
      <c r="C26" s="3">
        <f>1071111000*J3</f>
        <v>10561154460</v>
      </c>
      <c r="D26" s="3">
        <f>1030903000*J3</f>
        <v>10164703580</v>
      </c>
      <c r="E26" s="3">
        <f>974347000*J3</f>
        <v>9607061420</v>
      </c>
      <c r="F26" s="3">
        <f>851152000*J3</f>
        <v>8392358719.999999</v>
      </c>
      <c r="G26" s="3">
        <f>879883000*J3</f>
        <v>8675646380</v>
      </c>
    </row>
    <row r="27" spans="2:7" x14ac:dyDescent="0.2">
      <c r="B27" s="1" t="s">
        <v>9</v>
      </c>
      <c r="C27" s="5">
        <f>C25/C26</f>
        <v>0.56206219523466761</v>
      </c>
      <c r="D27" s="5">
        <f>D25/D26</f>
        <v>0.57757519378641831</v>
      </c>
      <c r="E27" s="5">
        <f>E25/E26</f>
        <v>0.61490003048195352</v>
      </c>
      <c r="F27" s="5">
        <f>F25/F26</f>
        <v>0.585351382596763</v>
      </c>
      <c r="G27" s="5">
        <f>G25/G26</f>
        <v>0.61369750296346215</v>
      </c>
    </row>
    <row r="30" spans="2:7" x14ac:dyDescent="0.2">
      <c r="B30" s="98" t="s">
        <v>24</v>
      </c>
      <c r="C30" s="98"/>
      <c r="D30" s="98"/>
      <c r="E30" s="98"/>
      <c r="F30" s="98"/>
      <c r="G30" s="98"/>
    </row>
    <row r="31" spans="2:7" x14ac:dyDescent="0.2">
      <c r="B31" s="19" t="s">
        <v>0</v>
      </c>
      <c r="C31" s="19">
        <v>2018</v>
      </c>
      <c r="D31" s="19">
        <v>2019</v>
      </c>
      <c r="E31" s="19">
        <v>2020</v>
      </c>
      <c r="F31" s="19">
        <v>2021</v>
      </c>
      <c r="G31" s="19">
        <v>2022</v>
      </c>
    </row>
    <row r="32" spans="2:7" x14ac:dyDescent="0.2">
      <c r="B32" s="1" t="s">
        <v>7</v>
      </c>
      <c r="C32" s="3">
        <f>1163800000*J3</f>
        <v>11475068000</v>
      </c>
      <c r="D32" s="3">
        <f>1509976000*J3</f>
        <v>14888363360</v>
      </c>
      <c r="E32" s="3">
        <f>1612025000*J3</f>
        <v>15894566500</v>
      </c>
      <c r="F32" s="3">
        <f>1642513000*J3</f>
        <v>16195178180</v>
      </c>
      <c r="G32" s="3">
        <f>2260371000*J3</f>
        <v>22287258060</v>
      </c>
    </row>
    <row r="33" spans="2:8" x14ac:dyDescent="0.2">
      <c r="B33" s="1" t="s">
        <v>8</v>
      </c>
      <c r="C33" s="3">
        <f>3077841000*J3</f>
        <v>30347512260</v>
      </c>
      <c r="D33" s="3">
        <f>3697818000*J3</f>
        <v>36460485480</v>
      </c>
      <c r="E33" s="3">
        <f>3911533000*J3</f>
        <v>38567715380</v>
      </c>
      <c r="F33" s="3">
        <f>4106597000*J3</f>
        <v>40491046420</v>
      </c>
      <c r="G33" s="3">
        <f>4768443000*J3</f>
        <v>47016847980</v>
      </c>
    </row>
    <row r="34" spans="2:8" x14ac:dyDescent="0.2">
      <c r="B34" s="1" t="s">
        <v>9</v>
      </c>
      <c r="C34" s="5">
        <f>C32/C33</f>
        <v>0.37812219669567076</v>
      </c>
      <c r="D34" s="5">
        <f>D32/D33</f>
        <v>0.40834243329444553</v>
      </c>
      <c r="E34" s="5">
        <f>E32/E33</f>
        <v>0.4121210277402747</v>
      </c>
      <c r="F34" s="5">
        <f>F32/F33</f>
        <v>0.3999693663634391</v>
      </c>
      <c r="G34" s="5">
        <f>G32/G33</f>
        <v>0.47402705663043471</v>
      </c>
    </row>
    <row r="36" spans="2:8" x14ac:dyDescent="0.2">
      <c r="B36" s="98" t="s">
        <v>26</v>
      </c>
      <c r="C36" s="98"/>
      <c r="D36" s="98"/>
      <c r="E36" s="98"/>
      <c r="F36" s="98"/>
      <c r="G36" s="98"/>
      <c r="H36" s="98"/>
    </row>
    <row r="37" spans="2:8" x14ac:dyDescent="0.2">
      <c r="B37" s="19" t="s">
        <v>0</v>
      </c>
      <c r="C37" s="19">
        <v>2018</v>
      </c>
      <c r="D37" s="19">
        <v>2019</v>
      </c>
      <c r="E37" s="19">
        <v>2020</v>
      </c>
      <c r="F37" s="19">
        <v>2021</v>
      </c>
      <c r="G37" s="19">
        <v>2022</v>
      </c>
      <c r="H37" s="19" t="s">
        <v>25</v>
      </c>
    </row>
    <row r="38" spans="2:8" x14ac:dyDescent="0.2">
      <c r="B38" s="1" t="s">
        <v>15</v>
      </c>
      <c r="C38" s="5">
        <f>C6</f>
        <v>0.47325379862511807</v>
      </c>
      <c r="D38" s="5">
        <f>D6</f>
        <v>0.30760163505715049</v>
      </c>
      <c r="E38" s="5">
        <f>E6</f>
        <v>0.31532845745243282</v>
      </c>
      <c r="F38" s="5">
        <f>F6</f>
        <v>0.37533738860484711</v>
      </c>
      <c r="G38" s="5">
        <f>G6</f>
        <v>0.3568186847141207</v>
      </c>
      <c r="H38" s="5">
        <f>AVERAGE(C38:G38)</f>
        <v>0.36566799289073382</v>
      </c>
    </row>
    <row r="39" spans="2:8" x14ac:dyDescent="0.2">
      <c r="B39" s="1" t="s">
        <v>16</v>
      </c>
      <c r="C39" s="5">
        <f>(C6+C13+C20+C27+C34)/5</f>
        <v>0.48468711381340485</v>
      </c>
      <c r="D39" s="5">
        <f>(D6+D13+D20+D27+D34)/5</f>
        <v>0.47178363393817085</v>
      </c>
      <c r="E39" s="5">
        <f>(E6+E13+E20+E27+E34)/5</f>
        <v>0.53060207046837515</v>
      </c>
      <c r="F39" s="5">
        <f>(F6+F13+F20+F27+F34)/5</f>
        <v>0.50634033359344743</v>
      </c>
      <c r="G39" s="5">
        <f>(G6+G13+G20+G27+G34)/5</f>
        <v>0.54009210976469357</v>
      </c>
      <c r="H39" s="5">
        <f>AVERAGE(C39:G39)</f>
        <v>0.50670105231561835</v>
      </c>
    </row>
    <row r="42" spans="2:8" x14ac:dyDescent="0.2">
      <c r="B42" s="97" t="s">
        <v>171</v>
      </c>
      <c r="C42" s="97"/>
    </row>
    <row r="43" spans="2:8" x14ac:dyDescent="0.2">
      <c r="B43" s="1" t="s">
        <v>15</v>
      </c>
      <c r="C43" s="21">
        <f>H38</f>
        <v>0.36566799289073382</v>
      </c>
    </row>
    <row r="44" spans="2:8" x14ac:dyDescent="0.2">
      <c r="B44" s="1" t="s">
        <v>16</v>
      </c>
      <c r="C44" s="21">
        <f>H39</f>
        <v>0.50670105231561835</v>
      </c>
      <c r="D44" s="12"/>
    </row>
  </sheetData>
  <mergeCells count="7">
    <mergeCell ref="B42:C42"/>
    <mergeCell ref="B30:G30"/>
    <mergeCell ref="B2:G2"/>
    <mergeCell ref="B9:G9"/>
    <mergeCell ref="B16:G16"/>
    <mergeCell ref="B23:G23"/>
    <mergeCell ref="B36:H36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BF542-455B-E540-A6E2-3918D3142C87}">
  <dimension ref="A2:AC117"/>
  <sheetViews>
    <sheetView tabSelected="1" zoomScale="90" zoomScaleNormal="90" workbookViewId="0">
      <selection activeCell="H2" sqref="H2"/>
    </sheetView>
  </sheetViews>
  <sheetFormatPr baseColWidth="10" defaultColWidth="10.83203125" defaultRowHeight="16" x14ac:dyDescent="0.2"/>
  <cols>
    <col min="1" max="2" width="10.83203125" style="24"/>
    <col min="3" max="3" width="24.1640625" style="24" customWidth="1"/>
    <col min="4" max="4" width="21.5" style="24" customWidth="1"/>
    <col min="5" max="6" width="20.1640625" style="24" bestFit="1" customWidth="1"/>
    <col min="7" max="10" width="19.6640625" style="24" bestFit="1" customWidth="1"/>
    <col min="11" max="12" width="18.6640625" style="24" bestFit="1" customWidth="1"/>
    <col min="13" max="13" width="19.6640625" style="24" bestFit="1" customWidth="1"/>
    <col min="14" max="14" width="22.5" style="24" customWidth="1"/>
    <col min="15" max="23" width="19.6640625" style="24" bestFit="1" customWidth="1"/>
    <col min="24" max="25" width="18.6640625" style="24" bestFit="1" customWidth="1"/>
    <col min="26" max="26" width="12.83203125" style="24" bestFit="1" customWidth="1"/>
    <col min="27" max="16384" width="10.83203125" style="24"/>
  </cols>
  <sheetData>
    <row r="2" spans="1:29" x14ac:dyDescent="0.2">
      <c r="E2" s="24">
        <v>2023</v>
      </c>
    </row>
    <row r="3" spans="1:29" x14ac:dyDescent="0.2">
      <c r="E3" s="24">
        <v>1</v>
      </c>
      <c r="F3" s="24">
        <v>2</v>
      </c>
      <c r="G3" s="24">
        <v>3</v>
      </c>
      <c r="H3" s="24">
        <v>4</v>
      </c>
      <c r="I3" s="24">
        <v>5</v>
      </c>
      <c r="J3" s="24">
        <v>6</v>
      </c>
      <c r="K3" s="24">
        <v>7</v>
      </c>
      <c r="L3" s="24">
        <v>8</v>
      </c>
      <c r="M3" s="24">
        <v>9</v>
      </c>
      <c r="N3" s="24">
        <v>10</v>
      </c>
      <c r="O3" s="24">
        <v>11</v>
      </c>
      <c r="P3" s="24">
        <v>12</v>
      </c>
      <c r="Q3" s="24">
        <v>13</v>
      </c>
      <c r="R3" s="24">
        <v>14</v>
      </c>
      <c r="S3" s="24">
        <v>15</v>
      </c>
      <c r="T3" s="24">
        <v>16</v>
      </c>
      <c r="U3" s="24">
        <v>17</v>
      </c>
      <c r="V3" s="24">
        <v>18</v>
      </c>
      <c r="W3" s="24">
        <v>19</v>
      </c>
      <c r="X3" s="24">
        <v>20</v>
      </c>
      <c r="Y3" s="24">
        <v>21</v>
      </c>
      <c r="Z3" s="24">
        <v>22</v>
      </c>
      <c r="AA3" s="24">
        <v>23</v>
      </c>
      <c r="AB3" s="24">
        <v>24</v>
      </c>
      <c r="AC3" s="24">
        <v>25</v>
      </c>
    </row>
    <row r="4" spans="1:29" x14ac:dyDescent="0.2">
      <c r="A4" s="24" t="s">
        <v>281</v>
      </c>
      <c r="B4" s="56">
        <v>9.86</v>
      </c>
      <c r="C4" s="24" t="s">
        <v>210</v>
      </c>
      <c r="D4" s="24">
        <v>2023</v>
      </c>
      <c r="E4" s="24">
        <v>2024</v>
      </c>
      <c r="F4" s="24">
        <v>2025</v>
      </c>
      <c r="G4" s="24">
        <v>2026</v>
      </c>
      <c r="H4" s="24">
        <f t="shared" ref="H4:Y4" si="0">G4+1</f>
        <v>2027</v>
      </c>
      <c r="I4" s="24">
        <f t="shared" si="0"/>
        <v>2028</v>
      </c>
      <c r="J4" s="24">
        <f t="shared" si="0"/>
        <v>2029</v>
      </c>
      <c r="K4" s="24">
        <f t="shared" si="0"/>
        <v>2030</v>
      </c>
      <c r="L4" s="24">
        <f t="shared" si="0"/>
        <v>2031</v>
      </c>
      <c r="M4" s="24">
        <f t="shared" si="0"/>
        <v>2032</v>
      </c>
      <c r="N4" s="24">
        <f t="shared" si="0"/>
        <v>2033</v>
      </c>
      <c r="O4" s="24">
        <f t="shared" si="0"/>
        <v>2034</v>
      </c>
      <c r="P4" s="24">
        <f t="shared" si="0"/>
        <v>2035</v>
      </c>
      <c r="Q4" s="24">
        <f t="shared" si="0"/>
        <v>2036</v>
      </c>
      <c r="R4" s="24">
        <f t="shared" si="0"/>
        <v>2037</v>
      </c>
      <c r="S4" s="24">
        <f t="shared" si="0"/>
        <v>2038</v>
      </c>
      <c r="T4" s="24">
        <f t="shared" si="0"/>
        <v>2039</v>
      </c>
      <c r="U4" s="24">
        <f t="shared" si="0"/>
        <v>2040</v>
      </c>
      <c r="V4" s="24">
        <f t="shared" si="0"/>
        <v>2041</v>
      </c>
      <c r="W4" s="24">
        <f t="shared" si="0"/>
        <v>2042</v>
      </c>
      <c r="X4" s="24">
        <f t="shared" si="0"/>
        <v>2043</v>
      </c>
      <c r="Y4" s="24">
        <f t="shared" si="0"/>
        <v>2044</v>
      </c>
    </row>
    <row r="5" spans="1:29" x14ac:dyDescent="0.2">
      <c r="A5" s="24" t="s">
        <v>280</v>
      </c>
      <c r="B5" s="24">
        <v>400</v>
      </c>
      <c r="C5" s="41" t="s">
        <v>210</v>
      </c>
      <c r="D5" s="79" t="s">
        <v>291</v>
      </c>
      <c r="E5" s="79" t="s">
        <v>292</v>
      </c>
      <c r="F5" s="79" t="s">
        <v>292</v>
      </c>
      <c r="G5" s="79" t="s">
        <v>293</v>
      </c>
      <c r="H5" s="79" t="s">
        <v>294</v>
      </c>
      <c r="I5" s="79" t="s">
        <v>295</v>
      </c>
      <c r="J5" s="79" t="s">
        <v>296</v>
      </c>
      <c r="K5" s="79" t="s">
        <v>297</v>
      </c>
      <c r="L5" s="79" t="s">
        <v>298</v>
      </c>
      <c r="M5" s="79" t="s">
        <v>299</v>
      </c>
      <c r="N5" s="79" t="s">
        <v>300</v>
      </c>
      <c r="O5" s="79" t="s">
        <v>301</v>
      </c>
      <c r="P5" s="79" t="s">
        <v>302</v>
      </c>
      <c r="Q5" s="79" t="s">
        <v>303</v>
      </c>
      <c r="R5" s="79" t="s">
        <v>304</v>
      </c>
      <c r="S5" s="79" t="s">
        <v>305</v>
      </c>
      <c r="T5" s="79" t="s">
        <v>306</v>
      </c>
      <c r="U5" s="79" t="s">
        <v>307</v>
      </c>
      <c r="V5" s="79" t="s">
        <v>308</v>
      </c>
      <c r="W5" s="79" t="s">
        <v>309</v>
      </c>
      <c r="X5" s="79" t="s">
        <v>310</v>
      </c>
      <c r="Y5" s="79" t="s">
        <v>311</v>
      </c>
      <c r="Z5" s="79" t="s">
        <v>312</v>
      </c>
    </row>
    <row r="6" spans="1:29" x14ac:dyDescent="0.2">
      <c r="C6" s="24" t="s">
        <v>238</v>
      </c>
      <c r="D6" s="24">
        <f>(1.24-0.02*E3)*73445</f>
        <v>89602.9</v>
      </c>
      <c r="E6" s="24">
        <f>(1.24-0.02*F3)*92381</f>
        <v>110857.2</v>
      </c>
      <c r="F6" s="24">
        <f>(1.24-0.02*G3)*100102</f>
        <v>118120.36</v>
      </c>
      <c r="G6" s="24">
        <f>(1.24-0.02*H3)*73780</f>
        <v>85584.799999999988</v>
      </c>
      <c r="H6" s="24">
        <v>85000</v>
      </c>
      <c r="I6" s="24">
        <v>35000</v>
      </c>
      <c r="J6" s="24">
        <v>20000</v>
      </c>
      <c r="K6" s="24">
        <v>15000</v>
      </c>
      <c r="L6" s="24">
        <v>15000</v>
      </c>
      <c r="M6" s="24">
        <v>20000</v>
      </c>
      <c r="N6" s="24">
        <v>25000</v>
      </c>
      <c r="O6" s="31">
        <f>N111</f>
        <v>28569</v>
      </c>
      <c r="P6" s="31">
        <f t="shared" ref="P6:Z6" si="1">O111</f>
        <v>28008</v>
      </c>
      <c r="Q6" s="31">
        <f t="shared" si="1"/>
        <v>27448</v>
      </c>
      <c r="R6" s="31">
        <f t="shared" si="1"/>
        <v>26888</v>
      </c>
      <c r="S6" s="31">
        <f t="shared" si="1"/>
        <v>26328</v>
      </c>
      <c r="T6" s="31">
        <f t="shared" si="1"/>
        <v>25768</v>
      </c>
      <c r="U6" s="31">
        <f t="shared" si="1"/>
        <v>25208</v>
      </c>
      <c r="V6" s="31">
        <f t="shared" si="1"/>
        <v>24647</v>
      </c>
      <c r="W6" s="31">
        <f t="shared" si="1"/>
        <v>24087</v>
      </c>
      <c r="X6" s="31">
        <f t="shared" si="1"/>
        <v>23527</v>
      </c>
      <c r="Y6" s="31">
        <f t="shared" si="1"/>
        <v>22967</v>
      </c>
      <c r="Z6" s="31">
        <f t="shared" si="1"/>
        <v>22407</v>
      </c>
    </row>
    <row r="7" spans="1:29" x14ac:dyDescent="0.2">
      <c r="C7" s="24" t="s">
        <v>215</v>
      </c>
      <c r="D7" s="24">
        <f>(1.24-0.02*E3)*71737</f>
        <v>87519.14</v>
      </c>
      <c r="E7" s="24">
        <f>(1.24-0.02*F3)*104922</f>
        <v>125906.4</v>
      </c>
      <c r="F7" s="24">
        <f>(1.24-0.02*G3)*119472</f>
        <v>140976.95999999999</v>
      </c>
      <c r="G7" s="24">
        <f>(1.24-0.02*H3)*96591</f>
        <v>112045.56</v>
      </c>
      <c r="H7" s="24">
        <v>95000</v>
      </c>
      <c r="I7" s="24">
        <v>45000</v>
      </c>
      <c r="J7" s="24">
        <v>20000</v>
      </c>
      <c r="K7" s="24">
        <v>18000</v>
      </c>
      <c r="L7" s="24">
        <v>18000</v>
      </c>
      <c r="M7" s="24">
        <v>22000</v>
      </c>
      <c r="N7" s="24">
        <v>28000</v>
      </c>
      <c r="O7" s="31">
        <f>N112</f>
        <v>37246</v>
      </c>
      <c r="P7" s="31">
        <f t="shared" ref="P7:Z7" si="2">O112</f>
        <v>36515</v>
      </c>
      <c r="Q7" s="31">
        <f t="shared" si="2"/>
        <v>35785</v>
      </c>
      <c r="R7" s="31">
        <f t="shared" si="2"/>
        <v>35055</v>
      </c>
      <c r="S7" s="31">
        <f t="shared" si="2"/>
        <v>34325</v>
      </c>
      <c r="T7" s="31">
        <f t="shared" si="2"/>
        <v>33594</v>
      </c>
      <c r="U7" s="31">
        <f t="shared" si="2"/>
        <v>32864</v>
      </c>
      <c r="V7" s="31">
        <f t="shared" si="2"/>
        <v>32134</v>
      </c>
      <c r="W7" s="31">
        <f t="shared" si="2"/>
        <v>31403</v>
      </c>
      <c r="X7" s="31">
        <f t="shared" si="2"/>
        <v>30673</v>
      </c>
      <c r="Y7" s="31">
        <f t="shared" si="2"/>
        <v>29943</v>
      </c>
      <c r="Z7" s="31">
        <f t="shared" si="2"/>
        <v>29212</v>
      </c>
    </row>
    <row r="9" spans="1:29" x14ac:dyDescent="0.2">
      <c r="C9" s="41" t="s">
        <v>237</v>
      </c>
    </row>
    <row r="10" spans="1:29" x14ac:dyDescent="0.2">
      <c r="C10" s="24" t="s">
        <v>238</v>
      </c>
      <c r="D10" s="24">
        <v>6</v>
      </c>
      <c r="E10" s="24">
        <v>6</v>
      </c>
      <c r="F10" s="24">
        <v>6</v>
      </c>
      <c r="G10" s="24">
        <v>6</v>
      </c>
      <c r="H10" s="24">
        <v>6</v>
      </c>
      <c r="I10" s="24">
        <v>6</v>
      </c>
      <c r="J10" s="24">
        <v>6</v>
      </c>
      <c r="K10" s="24">
        <v>6</v>
      </c>
      <c r="L10" s="24">
        <v>6</v>
      </c>
      <c r="M10" s="24">
        <v>6</v>
      </c>
      <c r="N10" s="24">
        <v>6</v>
      </c>
      <c r="O10" s="24">
        <v>6</v>
      </c>
      <c r="P10" s="24">
        <v>6</v>
      </c>
      <c r="Q10" s="24">
        <v>6</v>
      </c>
      <c r="R10" s="24">
        <v>6</v>
      </c>
      <c r="S10" s="24">
        <v>5</v>
      </c>
      <c r="T10" s="24">
        <v>4</v>
      </c>
      <c r="U10" s="24">
        <v>2</v>
      </c>
      <c r="V10" s="24">
        <v>2</v>
      </c>
      <c r="W10" s="24">
        <v>0</v>
      </c>
      <c r="X10" s="24">
        <v>0</v>
      </c>
      <c r="Y10" s="24">
        <v>0</v>
      </c>
    </row>
    <row r="11" spans="1:29" x14ac:dyDescent="0.2">
      <c r="C11" s="24" t="s">
        <v>215</v>
      </c>
      <c r="D11" s="24">
        <v>8</v>
      </c>
      <c r="E11" s="24">
        <v>8</v>
      </c>
      <c r="F11" s="24">
        <v>8</v>
      </c>
      <c r="G11" s="24">
        <v>8</v>
      </c>
      <c r="H11" s="24">
        <v>8</v>
      </c>
      <c r="I11" s="24">
        <v>8</v>
      </c>
      <c r="J11" s="24">
        <v>8</v>
      </c>
      <c r="K11" s="24">
        <v>8</v>
      </c>
      <c r="L11" s="24">
        <v>8</v>
      </c>
      <c r="M11" s="24">
        <v>8</v>
      </c>
      <c r="N11" s="24">
        <v>8</v>
      </c>
      <c r="O11" s="24">
        <v>8</v>
      </c>
      <c r="P11" s="24">
        <v>8</v>
      </c>
      <c r="Q11" s="24">
        <v>8</v>
      </c>
      <c r="R11" s="24">
        <v>8</v>
      </c>
      <c r="S11" s="24">
        <v>8</v>
      </c>
      <c r="T11" s="24">
        <v>8</v>
      </c>
      <c r="U11" s="24">
        <v>8</v>
      </c>
      <c r="V11" s="24">
        <v>8</v>
      </c>
      <c r="W11" s="24">
        <v>3</v>
      </c>
      <c r="X11" s="24">
        <v>2</v>
      </c>
      <c r="Y11" s="24">
        <v>2</v>
      </c>
    </row>
    <row r="13" spans="1:29" x14ac:dyDescent="0.2">
      <c r="C13" s="24" t="s">
        <v>279</v>
      </c>
      <c r="D13" s="24">
        <f t="shared" ref="D13:N13" si="3">D6*D10+D7*D11</f>
        <v>1237770.52</v>
      </c>
      <c r="E13" s="24">
        <f t="shared" si="3"/>
        <v>1672394.4</v>
      </c>
      <c r="F13" s="24">
        <f t="shared" si="3"/>
        <v>1836537.8399999999</v>
      </c>
      <c r="G13" s="24">
        <f t="shared" si="3"/>
        <v>1409873.2799999998</v>
      </c>
      <c r="H13" s="24">
        <f t="shared" si="3"/>
        <v>1270000</v>
      </c>
      <c r="I13" s="24">
        <f t="shared" si="3"/>
        <v>570000</v>
      </c>
      <c r="J13" s="24">
        <f t="shared" si="3"/>
        <v>280000</v>
      </c>
      <c r="K13" s="24">
        <f t="shared" si="3"/>
        <v>234000</v>
      </c>
      <c r="L13" s="24">
        <f t="shared" si="3"/>
        <v>234000</v>
      </c>
      <c r="M13" s="24">
        <f t="shared" si="3"/>
        <v>296000</v>
      </c>
      <c r="N13" s="24">
        <f t="shared" si="3"/>
        <v>374000</v>
      </c>
      <c r="P13" s="24">
        <f>((P11*'Estimert dagrate steady state'!P7+'Kladd TCE'!P20*'Kladd TCE'!P10)/10000000)*365*95*10.59</f>
        <v>3707604.5878697531</v>
      </c>
      <c r="Q13" s="24">
        <f>((Q11*'Estimert dagrate steady state'!Q7+'Kladd TCE'!Q20*'Kladd TCE'!Q10)/10000000)*365*95*10.59</f>
        <v>3707604.5878697531</v>
      </c>
      <c r="R13" s="24">
        <f>((R11*'Estimert dagrate steady state'!R7+'Kladd TCE'!R20*'Kladd TCE'!R10)/10000000)*365*95*10.59</f>
        <v>3707604.5878697531</v>
      </c>
      <c r="S13" s="24">
        <f>((S11*'Estimert dagrate steady state'!S7+'Kladd TCE'!S20*'Kladd TCE'!S10)/10000000)*365*95*10.59</f>
        <v>3707604.56950934</v>
      </c>
      <c r="T13" s="24">
        <f>((T11*'Estimert dagrate steady state'!T7+'Kladd TCE'!T20*'Kladd TCE'!T10)/10000000)*365*95*10.59</f>
        <v>3707604.5511489268</v>
      </c>
      <c r="U13" s="24">
        <f>((U11*'Estimert dagrate steady state'!U7+'Kladd TCE'!U20*'Kladd TCE'!U10)/10000000)*365*95*10.59</f>
        <v>3707604.5144281024</v>
      </c>
      <c r="V13" s="24">
        <f>((V11*'Estimert dagrate steady state'!V7+'Kladd TCE'!V20*'Kladd TCE'!V10)/10000000)*365*95*10.59</f>
        <v>3707604.5144281024</v>
      </c>
      <c r="W13" s="24">
        <f>((W11*'Estimert dagrate steady state'!W7+'Kladd TCE'!W20*'Kladd TCE'!W10)/10000000)*365*95*10.59</f>
        <v>1390351.6791402292</v>
      </c>
      <c r="X13" s="24">
        <f>((X11*'Estimert dagrate steady state'!X7+'Kladd TCE'!X20*'Kladd TCE'!X10)/10000000)*365*95*10.59</f>
        <v>926901.1194268195</v>
      </c>
      <c r="Y13" s="24">
        <f>((Y11*'Estimert dagrate steady state'!Y7+'Kladd TCE'!Y20*'Kladd TCE'!Y10)/10000000)*365*95*10.59</f>
        <v>926901.1194268195</v>
      </c>
    </row>
    <row r="14" spans="1:29" x14ac:dyDescent="0.2">
      <c r="C14" s="24" t="s">
        <v>278</v>
      </c>
      <c r="D14" s="24">
        <f t="shared" ref="D14:Y14" si="4">D13/(D10+D11)</f>
        <v>88412.180000000008</v>
      </c>
      <c r="E14" s="24">
        <f t="shared" si="4"/>
        <v>119456.74285714285</v>
      </c>
      <c r="F14" s="24">
        <f t="shared" si="4"/>
        <v>131181.27428571429</v>
      </c>
      <c r="G14" s="24">
        <f t="shared" si="4"/>
        <v>100705.23428571426</v>
      </c>
      <c r="H14" s="24">
        <f t="shared" si="4"/>
        <v>90714.28571428571</v>
      </c>
      <c r="I14" s="24">
        <f t="shared" si="4"/>
        <v>40714.285714285717</v>
      </c>
      <c r="J14" s="24">
        <f t="shared" si="4"/>
        <v>20000</v>
      </c>
      <c r="K14" s="24">
        <f t="shared" si="4"/>
        <v>16714.285714285714</v>
      </c>
      <c r="L14" s="24">
        <f t="shared" si="4"/>
        <v>16714.285714285714</v>
      </c>
      <c r="M14" s="24">
        <f t="shared" si="4"/>
        <v>21142.857142857141</v>
      </c>
      <c r="N14" s="24">
        <f t="shared" si="4"/>
        <v>26714.285714285714</v>
      </c>
      <c r="O14" s="24">
        <f t="shared" si="4"/>
        <v>0</v>
      </c>
      <c r="P14" s="24">
        <f t="shared" si="4"/>
        <v>264828.89913355379</v>
      </c>
      <c r="Q14" s="24">
        <f t="shared" si="4"/>
        <v>264828.89913355379</v>
      </c>
      <c r="R14" s="24">
        <f t="shared" si="4"/>
        <v>264828.89913355379</v>
      </c>
      <c r="S14" s="24">
        <f t="shared" si="4"/>
        <v>285200.35150071845</v>
      </c>
      <c r="T14" s="24">
        <f t="shared" si="4"/>
        <v>308967.04592907726</v>
      </c>
      <c r="U14" s="24">
        <f t="shared" si="4"/>
        <v>370760.45144281024</v>
      </c>
      <c r="V14" s="24">
        <f t="shared" si="4"/>
        <v>370760.45144281024</v>
      </c>
      <c r="W14" s="24">
        <f t="shared" si="4"/>
        <v>463450.55971340975</v>
      </c>
      <c r="X14" s="24">
        <f t="shared" si="4"/>
        <v>463450.55971340975</v>
      </c>
      <c r="Y14" s="24">
        <f t="shared" si="4"/>
        <v>463450.55971340975</v>
      </c>
    </row>
    <row r="15" spans="1:29" x14ac:dyDescent="0.2">
      <c r="C15" s="24" t="s">
        <v>277</v>
      </c>
      <c r="D15" s="24">
        <v>365</v>
      </c>
      <c r="E15" s="24">
        <v>365</v>
      </c>
      <c r="F15" s="24">
        <v>365</v>
      </c>
      <c r="G15" s="24">
        <v>365</v>
      </c>
      <c r="H15" s="24">
        <v>365</v>
      </c>
      <c r="I15" s="24">
        <v>365</v>
      </c>
      <c r="J15" s="24">
        <v>365</v>
      </c>
      <c r="K15" s="24">
        <v>365</v>
      </c>
      <c r="L15" s="24">
        <v>365</v>
      </c>
      <c r="M15" s="24">
        <v>365</v>
      </c>
      <c r="N15" s="24">
        <v>365</v>
      </c>
      <c r="O15" s="24">
        <v>365</v>
      </c>
      <c r="P15" s="24">
        <v>365</v>
      </c>
      <c r="Q15" s="24">
        <v>365</v>
      </c>
      <c r="R15" s="24">
        <v>365</v>
      </c>
      <c r="S15" s="24">
        <v>365</v>
      </c>
      <c r="T15" s="24">
        <v>365</v>
      </c>
      <c r="U15" s="24">
        <v>365</v>
      </c>
      <c r="V15" s="24">
        <v>365</v>
      </c>
      <c r="W15" s="24">
        <v>365</v>
      </c>
      <c r="X15" s="24">
        <v>365</v>
      </c>
      <c r="Y15" s="24">
        <v>365</v>
      </c>
    </row>
    <row r="16" spans="1:29" x14ac:dyDescent="0.2">
      <c r="C16" s="24" t="s">
        <v>276</v>
      </c>
      <c r="D16" s="29">
        <v>0.95</v>
      </c>
      <c r="E16" s="29">
        <v>0.95</v>
      </c>
      <c r="F16" s="29">
        <v>0.95</v>
      </c>
      <c r="G16" s="29">
        <v>0.95</v>
      </c>
      <c r="H16" s="29">
        <v>0.95</v>
      </c>
      <c r="I16" s="29">
        <v>0.95</v>
      </c>
      <c r="J16" s="29">
        <v>0.95</v>
      </c>
      <c r="K16" s="29">
        <v>0.95</v>
      </c>
      <c r="L16" s="29">
        <v>0.95</v>
      </c>
      <c r="M16" s="29">
        <v>0.95</v>
      </c>
      <c r="N16" s="29">
        <v>0.95</v>
      </c>
      <c r="O16" s="29">
        <v>0.95</v>
      </c>
      <c r="P16" s="29">
        <v>0.95</v>
      </c>
      <c r="Q16" s="29">
        <v>0.95</v>
      </c>
      <c r="R16" s="29">
        <v>0.95</v>
      </c>
      <c r="S16" s="29">
        <v>0.95</v>
      </c>
      <c r="T16" s="29">
        <v>0.95</v>
      </c>
      <c r="U16" s="29">
        <v>0.95</v>
      </c>
      <c r="V16" s="29">
        <v>0.95</v>
      </c>
      <c r="W16" s="29">
        <v>0.95</v>
      </c>
      <c r="X16" s="29">
        <v>0.95</v>
      </c>
      <c r="Y16" s="29">
        <v>0.95</v>
      </c>
    </row>
    <row r="17" spans="3:26" x14ac:dyDescent="0.2">
      <c r="C17" s="24" t="s">
        <v>275</v>
      </c>
      <c r="D17" s="24">
        <f t="shared" ref="D17:Y17" si="5">D16*D15*D13</f>
        <v>429196927.81</v>
      </c>
      <c r="E17" s="24">
        <f t="shared" si="5"/>
        <v>579902758.19999993</v>
      </c>
      <c r="F17" s="24">
        <f t="shared" si="5"/>
        <v>636819496.01999998</v>
      </c>
      <c r="G17" s="24">
        <f t="shared" si="5"/>
        <v>488873559.83999991</v>
      </c>
      <c r="H17" s="24">
        <f t="shared" si="5"/>
        <v>440372500</v>
      </c>
      <c r="I17" s="24">
        <f t="shared" si="5"/>
        <v>197647500</v>
      </c>
      <c r="J17" s="24">
        <f t="shared" si="5"/>
        <v>97090000</v>
      </c>
      <c r="K17" s="24">
        <f t="shared" si="5"/>
        <v>81139500</v>
      </c>
      <c r="L17" s="24">
        <f t="shared" si="5"/>
        <v>81139500</v>
      </c>
      <c r="M17" s="24">
        <f t="shared" si="5"/>
        <v>102638000</v>
      </c>
      <c r="N17" s="24">
        <f t="shared" si="5"/>
        <v>129684500</v>
      </c>
      <c r="O17" s="24">
        <f t="shared" si="5"/>
        <v>0</v>
      </c>
      <c r="P17" s="24">
        <f t="shared" si="5"/>
        <v>1285611890.8438368</v>
      </c>
      <c r="Q17" s="24">
        <f t="shared" si="5"/>
        <v>1285611890.8438368</v>
      </c>
      <c r="R17" s="24">
        <f t="shared" si="5"/>
        <v>1285611890.8438368</v>
      </c>
      <c r="S17" s="24">
        <f t="shared" si="5"/>
        <v>1285611884.4773636</v>
      </c>
      <c r="T17" s="24">
        <f t="shared" si="5"/>
        <v>1285611878.1108904</v>
      </c>
      <c r="U17" s="24">
        <f t="shared" si="5"/>
        <v>1285611865.3779445</v>
      </c>
      <c r="V17" s="24">
        <f t="shared" si="5"/>
        <v>1285611865.3779445</v>
      </c>
      <c r="W17" s="24">
        <f t="shared" si="5"/>
        <v>482104444.74187452</v>
      </c>
      <c r="X17" s="24">
        <f t="shared" si="5"/>
        <v>321402963.16124964</v>
      </c>
      <c r="Y17" s="24">
        <f t="shared" si="5"/>
        <v>321402963.16124964</v>
      </c>
    </row>
    <row r="19" spans="3:26" x14ac:dyDescent="0.2">
      <c r="C19" s="41" t="s">
        <v>0</v>
      </c>
      <c r="D19" s="24">
        <v>2023</v>
      </c>
      <c r="E19" s="24">
        <v>2024</v>
      </c>
      <c r="F19" s="24">
        <v>2025</v>
      </c>
      <c r="G19" s="24">
        <v>2026</v>
      </c>
      <c r="H19" s="24">
        <f t="shared" ref="H19:Y19" si="6">G19+1</f>
        <v>2027</v>
      </c>
      <c r="I19" s="24">
        <f t="shared" si="6"/>
        <v>2028</v>
      </c>
      <c r="J19" s="24">
        <f t="shared" si="6"/>
        <v>2029</v>
      </c>
      <c r="K19" s="24">
        <f t="shared" si="6"/>
        <v>2030</v>
      </c>
      <c r="L19" s="24">
        <f t="shared" si="6"/>
        <v>2031</v>
      </c>
      <c r="M19" s="24">
        <f t="shared" si="6"/>
        <v>2032</v>
      </c>
      <c r="N19" s="24">
        <f t="shared" si="6"/>
        <v>2033</v>
      </c>
      <c r="O19" s="24">
        <f t="shared" si="6"/>
        <v>2034</v>
      </c>
      <c r="P19" s="24">
        <f t="shared" si="6"/>
        <v>2035</v>
      </c>
      <c r="Q19" s="24">
        <f t="shared" si="6"/>
        <v>2036</v>
      </c>
      <c r="R19" s="24">
        <f t="shared" si="6"/>
        <v>2037</v>
      </c>
      <c r="S19" s="24">
        <f t="shared" si="6"/>
        <v>2038</v>
      </c>
      <c r="T19" s="24">
        <f t="shared" si="6"/>
        <v>2039</v>
      </c>
      <c r="U19" s="24">
        <f t="shared" si="6"/>
        <v>2040</v>
      </c>
      <c r="V19" s="24">
        <f t="shared" si="6"/>
        <v>2041</v>
      </c>
      <c r="W19" s="24">
        <f t="shared" si="6"/>
        <v>2042</v>
      </c>
      <c r="X19" s="24">
        <f t="shared" si="6"/>
        <v>2043</v>
      </c>
      <c r="Y19" s="24">
        <f t="shared" si="6"/>
        <v>2044</v>
      </c>
    </row>
    <row r="20" spans="3:26" x14ac:dyDescent="0.2">
      <c r="C20" s="24" t="s">
        <v>220</v>
      </c>
      <c r="D20" s="26">
        <v>0.6</v>
      </c>
      <c r="E20" s="26">
        <f>D20-2.5%</f>
        <v>0.57499999999999996</v>
      </c>
      <c r="F20" s="26">
        <f>E20-2.5%</f>
        <v>0.54999999999999993</v>
      </c>
      <c r="G20" s="26">
        <f>F20-2.5%</f>
        <v>0.52499999999999991</v>
      </c>
      <c r="H20" s="26">
        <f>G20-2.5%</f>
        <v>0.49999999999999989</v>
      </c>
      <c r="I20" s="26">
        <f t="shared" ref="I20:Y20" si="7">H20</f>
        <v>0.49999999999999989</v>
      </c>
      <c r="J20" s="26">
        <f t="shared" si="7"/>
        <v>0.49999999999999989</v>
      </c>
      <c r="K20" s="26">
        <f t="shared" si="7"/>
        <v>0.49999999999999989</v>
      </c>
      <c r="L20" s="26">
        <f t="shared" si="7"/>
        <v>0.49999999999999989</v>
      </c>
      <c r="M20" s="26">
        <f t="shared" si="7"/>
        <v>0.49999999999999989</v>
      </c>
      <c r="N20" s="26">
        <f t="shared" si="7"/>
        <v>0.49999999999999989</v>
      </c>
      <c r="O20" s="26">
        <f t="shared" si="7"/>
        <v>0.49999999999999989</v>
      </c>
      <c r="P20" s="26">
        <f t="shared" si="7"/>
        <v>0.49999999999999989</v>
      </c>
      <c r="Q20" s="26">
        <f t="shared" si="7"/>
        <v>0.49999999999999989</v>
      </c>
      <c r="R20" s="26">
        <f t="shared" si="7"/>
        <v>0.49999999999999989</v>
      </c>
      <c r="S20" s="26">
        <f t="shared" si="7"/>
        <v>0.49999999999999989</v>
      </c>
      <c r="T20" s="26">
        <f t="shared" si="7"/>
        <v>0.49999999999999989</v>
      </c>
      <c r="U20" s="26">
        <f t="shared" si="7"/>
        <v>0.49999999999999989</v>
      </c>
      <c r="V20" s="26">
        <f t="shared" si="7"/>
        <v>0.49999999999999989</v>
      </c>
      <c r="W20" s="26">
        <f t="shared" si="7"/>
        <v>0.49999999999999989</v>
      </c>
      <c r="X20" s="26">
        <f t="shared" si="7"/>
        <v>0.49999999999999989</v>
      </c>
      <c r="Y20" s="26">
        <f t="shared" si="7"/>
        <v>0.49999999999999989</v>
      </c>
    </row>
    <row r="21" spans="3:26" x14ac:dyDescent="0.2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3:26" x14ac:dyDescent="0.2"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3:26" x14ac:dyDescent="0.2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3:26" x14ac:dyDescent="0.2">
      <c r="C24" s="24" t="s">
        <v>210</v>
      </c>
      <c r="D24" s="24">
        <v>2023</v>
      </c>
      <c r="E24" s="24">
        <v>2024</v>
      </c>
      <c r="F24" s="24">
        <v>2025</v>
      </c>
      <c r="G24" s="24">
        <v>2026</v>
      </c>
      <c r="H24" s="24">
        <f t="shared" ref="H24:Y24" si="8">G24+1</f>
        <v>2027</v>
      </c>
      <c r="I24" s="24">
        <f t="shared" si="8"/>
        <v>2028</v>
      </c>
      <c r="J24" s="24">
        <f t="shared" si="8"/>
        <v>2029</v>
      </c>
      <c r="K24" s="24">
        <f t="shared" si="8"/>
        <v>2030</v>
      </c>
      <c r="L24" s="24">
        <f t="shared" si="8"/>
        <v>2031</v>
      </c>
      <c r="M24" s="24">
        <f t="shared" si="8"/>
        <v>2032</v>
      </c>
      <c r="N24" s="24">
        <f t="shared" si="8"/>
        <v>2033</v>
      </c>
      <c r="O24" s="24">
        <f t="shared" si="8"/>
        <v>2034</v>
      </c>
      <c r="P24" s="24">
        <f t="shared" si="8"/>
        <v>2035</v>
      </c>
      <c r="Q24" s="24">
        <f t="shared" si="8"/>
        <v>2036</v>
      </c>
      <c r="R24" s="24">
        <f t="shared" si="8"/>
        <v>2037</v>
      </c>
      <c r="S24" s="24">
        <f t="shared" si="8"/>
        <v>2038</v>
      </c>
      <c r="T24" s="24">
        <f t="shared" si="8"/>
        <v>2039</v>
      </c>
      <c r="U24" s="24">
        <f t="shared" si="8"/>
        <v>2040</v>
      </c>
      <c r="V24" s="24">
        <f t="shared" si="8"/>
        <v>2041</v>
      </c>
      <c r="W24" s="24">
        <f t="shared" si="8"/>
        <v>2042</v>
      </c>
      <c r="X24" s="24">
        <f t="shared" si="8"/>
        <v>2043</v>
      </c>
      <c r="Y24" s="24">
        <f t="shared" si="8"/>
        <v>2044</v>
      </c>
    </row>
    <row r="25" spans="3:26" x14ac:dyDescent="0.2">
      <c r="C25" s="41" t="s">
        <v>241</v>
      </c>
      <c r="D25" s="52">
        <f>738959000*$B$4</f>
        <v>7286135740</v>
      </c>
      <c r="E25" s="52">
        <f t="shared" ref="E25:R25" si="9">D25-D26</f>
        <v>6800393357.333333</v>
      </c>
      <c r="F25" s="52">
        <f t="shared" si="9"/>
        <v>6314650974.666666</v>
      </c>
      <c r="G25" s="52">
        <f t="shared" si="9"/>
        <v>5828908591.999999</v>
      </c>
      <c r="H25" s="52">
        <f t="shared" si="9"/>
        <v>5343166209.3333321</v>
      </c>
      <c r="I25" s="52">
        <f t="shared" si="9"/>
        <v>4857423826.6666651</v>
      </c>
      <c r="J25" s="52">
        <f t="shared" si="9"/>
        <v>4371681443.9999981</v>
      </c>
      <c r="K25" s="52">
        <f t="shared" si="9"/>
        <v>3885939061.3333316</v>
      </c>
      <c r="L25" s="52">
        <f t="shared" si="9"/>
        <v>3400196678.6666651</v>
      </c>
      <c r="M25" s="52">
        <f t="shared" si="9"/>
        <v>2914454295.9999986</v>
      </c>
      <c r="N25" s="52">
        <f t="shared" si="9"/>
        <v>2428711913.3333321</v>
      </c>
      <c r="O25" s="52">
        <f t="shared" si="9"/>
        <v>1942969530.6666653</v>
      </c>
      <c r="P25" s="52">
        <f t="shared" si="9"/>
        <v>1457227147.9999986</v>
      </c>
      <c r="Q25" s="52">
        <f t="shared" si="9"/>
        <v>971484765.33333182</v>
      </c>
      <c r="R25" s="52">
        <f t="shared" si="9"/>
        <v>485742382.66666514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</row>
    <row r="26" spans="3:26" x14ac:dyDescent="0.2">
      <c r="C26" s="24" t="s">
        <v>242</v>
      </c>
      <c r="D26" s="52">
        <f t="shared" ref="D26:R26" si="10">$D$25/15</f>
        <v>485742382.66666669</v>
      </c>
      <c r="E26" s="52">
        <f t="shared" si="10"/>
        <v>485742382.66666669</v>
      </c>
      <c r="F26" s="52">
        <f t="shared" si="10"/>
        <v>485742382.66666669</v>
      </c>
      <c r="G26" s="52">
        <f t="shared" si="10"/>
        <v>485742382.66666669</v>
      </c>
      <c r="H26" s="52">
        <f t="shared" si="10"/>
        <v>485742382.66666669</v>
      </c>
      <c r="I26" s="52">
        <f t="shared" si="10"/>
        <v>485742382.66666669</v>
      </c>
      <c r="J26" s="52">
        <f t="shared" si="10"/>
        <v>485742382.66666669</v>
      </c>
      <c r="K26" s="52">
        <f t="shared" si="10"/>
        <v>485742382.66666669</v>
      </c>
      <c r="L26" s="52">
        <f t="shared" si="10"/>
        <v>485742382.66666669</v>
      </c>
      <c r="M26" s="52">
        <f t="shared" si="10"/>
        <v>485742382.66666669</v>
      </c>
      <c r="N26" s="52">
        <f t="shared" si="10"/>
        <v>485742382.66666669</v>
      </c>
      <c r="O26" s="52">
        <f t="shared" si="10"/>
        <v>485742382.66666669</v>
      </c>
      <c r="P26" s="52">
        <f t="shared" si="10"/>
        <v>485742382.66666669</v>
      </c>
      <c r="Q26" s="52">
        <f t="shared" si="10"/>
        <v>485742382.66666669</v>
      </c>
      <c r="R26" s="52">
        <f t="shared" si="10"/>
        <v>485742382.66666669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</row>
    <row r="27" spans="3:26" x14ac:dyDescent="0.2">
      <c r="C27" s="24" t="s">
        <v>265</v>
      </c>
      <c r="D27" s="52">
        <f t="shared" ref="D27:R27" si="11">D25*D22</f>
        <v>0</v>
      </c>
      <c r="E27" s="52">
        <f t="shared" si="11"/>
        <v>0</v>
      </c>
      <c r="F27" s="52">
        <f t="shared" si="11"/>
        <v>0</v>
      </c>
      <c r="G27" s="52">
        <f t="shared" si="11"/>
        <v>0</v>
      </c>
      <c r="H27" s="52">
        <f t="shared" si="11"/>
        <v>0</v>
      </c>
      <c r="I27" s="52">
        <f t="shared" si="11"/>
        <v>0</v>
      </c>
      <c r="J27" s="52">
        <f t="shared" si="11"/>
        <v>0</v>
      </c>
      <c r="K27" s="52">
        <f t="shared" si="11"/>
        <v>0</v>
      </c>
      <c r="L27" s="52">
        <f t="shared" si="11"/>
        <v>0</v>
      </c>
      <c r="M27" s="52">
        <f t="shared" si="11"/>
        <v>0</v>
      </c>
      <c r="N27" s="52">
        <f t="shared" si="11"/>
        <v>0</v>
      </c>
      <c r="O27" s="52">
        <f t="shared" si="11"/>
        <v>0</v>
      </c>
      <c r="P27" s="52">
        <f t="shared" si="11"/>
        <v>0</v>
      </c>
      <c r="Q27" s="52">
        <f t="shared" si="11"/>
        <v>0</v>
      </c>
      <c r="R27" s="52">
        <f t="shared" si="11"/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</row>
    <row r="28" spans="3:26" x14ac:dyDescent="0.2">
      <c r="C28" s="24" t="s">
        <v>264</v>
      </c>
      <c r="D28" s="52">
        <f t="shared" ref="D28:R28" si="12">D26+D27</f>
        <v>485742382.66666669</v>
      </c>
      <c r="E28" s="52">
        <f t="shared" si="12"/>
        <v>485742382.66666669</v>
      </c>
      <c r="F28" s="52">
        <f t="shared" si="12"/>
        <v>485742382.66666669</v>
      </c>
      <c r="G28" s="52">
        <f t="shared" si="12"/>
        <v>485742382.66666669</v>
      </c>
      <c r="H28" s="52">
        <f t="shared" si="12"/>
        <v>485742382.66666669</v>
      </c>
      <c r="I28" s="52">
        <f t="shared" si="12"/>
        <v>485742382.66666669</v>
      </c>
      <c r="J28" s="52">
        <f t="shared" si="12"/>
        <v>485742382.66666669</v>
      </c>
      <c r="K28" s="52">
        <f t="shared" si="12"/>
        <v>485742382.66666669</v>
      </c>
      <c r="L28" s="52">
        <f t="shared" si="12"/>
        <v>485742382.66666669</v>
      </c>
      <c r="M28" s="52">
        <f t="shared" si="12"/>
        <v>485742382.66666669</v>
      </c>
      <c r="N28" s="52">
        <f t="shared" si="12"/>
        <v>485742382.66666669</v>
      </c>
      <c r="O28" s="52">
        <f t="shared" si="12"/>
        <v>485742382.66666669</v>
      </c>
      <c r="P28" s="52">
        <f t="shared" si="12"/>
        <v>485742382.66666669</v>
      </c>
      <c r="Q28" s="52">
        <f t="shared" si="12"/>
        <v>485742382.66666669</v>
      </c>
      <c r="R28" s="52">
        <f t="shared" si="12"/>
        <v>485742382.66666669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</row>
    <row r="30" spans="3:26" x14ac:dyDescent="0.2">
      <c r="C30" s="41" t="s">
        <v>274</v>
      </c>
      <c r="D30" s="24">
        <f t="shared" ref="D30:M30" si="13">D25/1000000</f>
        <v>7286.1357399999997</v>
      </c>
      <c r="E30" s="24">
        <f t="shared" si="13"/>
        <v>6800.3933573333334</v>
      </c>
      <c r="F30" s="24">
        <f t="shared" si="13"/>
        <v>6314.6509746666661</v>
      </c>
      <c r="G30" s="24">
        <f t="shared" si="13"/>
        <v>5828.9085919999989</v>
      </c>
      <c r="H30" s="24">
        <f t="shared" si="13"/>
        <v>5343.1662093333316</v>
      </c>
      <c r="I30" s="24">
        <f t="shared" si="13"/>
        <v>4857.4238266666653</v>
      </c>
      <c r="J30" s="24">
        <f t="shared" si="13"/>
        <v>4371.681443999998</v>
      </c>
      <c r="K30" s="24">
        <f t="shared" si="13"/>
        <v>3885.9390613333317</v>
      </c>
      <c r="L30" s="24">
        <f t="shared" si="13"/>
        <v>3400.1966786666649</v>
      </c>
      <c r="M30" s="24">
        <f t="shared" si="13"/>
        <v>2914.4542959999985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</row>
    <row r="31" spans="3:26" x14ac:dyDescent="0.2">
      <c r="C31" s="24" t="s">
        <v>242</v>
      </c>
      <c r="D31" s="24">
        <f t="shared" ref="D31:M31" si="14">D26/1000000</f>
        <v>485.74238266666669</v>
      </c>
      <c r="E31" s="24">
        <f t="shared" si="14"/>
        <v>485.74238266666669</v>
      </c>
      <c r="F31" s="24">
        <f t="shared" si="14"/>
        <v>485.74238266666669</v>
      </c>
      <c r="G31" s="24">
        <f t="shared" si="14"/>
        <v>485.74238266666669</v>
      </c>
      <c r="H31" s="24">
        <f t="shared" si="14"/>
        <v>485.74238266666669</v>
      </c>
      <c r="I31" s="24">
        <f t="shared" si="14"/>
        <v>485.74238266666669</v>
      </c>
      <c r="J31" s="24">
        <f t="shared" si="14"/>
        <v>485.74238266666669</v>
      </c>
      <c r="K31" s="24">
        <f t="shared" si="14"/>
        <v>485.74238266666669</v>
      </c>
      <c r="L31" s="24">
        <f t="shared" si="14"/>
        <v>485.74238266666669</v>
      </c>
      <c r="M31" s="24">
        <f t="shared" si="14"/>
        <v>485.74238266666669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</row>
    <row r="32" spans="3:26" x14ac:dyDescent="0.2">
      <c r="C32" s="24" t="s">
        <v>257</v>
      </c>
      <c r="D32" s="24">
        <f t="shared" ref="D32:M32" si="15">D27/1000000</f>
        <v>0</v>
      </c>
      <c r="E32" s="24">
        <f t="shared" si="15"/>
        <v>0</v>
      </c>
      <c r="F32" s="24">
        <f t="shared" si="15"/>
        <v>0</v>
      </c>
      <c r="G32" s="24">
        <f t="shared" si="15"/>
        <v>0</v>
      </c>
      <c r="H32" s="24">
        <f t="shared" si="15"/>
        <v>0</v>
      </c>
      <c r="I32" s="24">
        <f t="shared" si="15"/>
        <v>0</v>
      </c>
      <c r="J32" s="24">
        <f t="shared" si="15"/>
        <v>0</v>
      </c>
      <c r="K32" s="24">
        <f t="shared" si="15"/>
        <v>0</v>
      </c>
      <c r="L32" s="24">
        <f t="shared" si="15"/>
        <v>0</v>
      </c>
      <c r="M32" s="24">
        <f t="shared" si="15"/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</row>
    <row r="33" spans="3:25" x14ac:dyDescent="0.2">
      <c r="C33" s="24" t="s">
        <v>273</v>
      </c>
      <c r="D33" s="24">
        <f t="shared" ref="D33:M33" si="16">D28/1000000</f>
        <v>485.74238266666669</v>
      </c>
      <c r="E33" s="24">
        <f t="shared" si="16"/>
        <v>485.74238266666669</v>
      </c>
      <c r="F33" s="24">
        <f t="shared" si="16"/>
        <v>485.74238266666669</v>
      </c>
      <c r="G33" s="24">
        <f t="shared" si="16"/>
        <v>485.74238266666669</v>
      </c>
      <c r="H33" s="24">
        <f t="shared" si="16"/>
        <v>485.74238266666669</v>
      </c>
      <c r="I33" s="24">
        <f t="shared" si="16"/>
        <v>485.74238266666669</v>
      </c>
      <c r="J33" s="24">
        <f t="shared" si="16"/>
        <v>485.74238266666669</v>
      </c>
      <c r="K33" s="24">
        <f t="shared" si="16"/>
        <v>485.74238266666669</v>
      </c>
      <c r="L33" s="24">
        <f t="shared" si="16"/>
        <v>485.74238266666669</v>
      </c>
      <c r="M33" s="24">
        <f t="shared" si="16"/>
        <v>485.74238266666669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</row>
    <row r="35" spans="3:25" x14ac:dyDescent="0.2">
      <c r="C35" s="41" t="s">
        <v>272</v>
      </c>
      <c r="D35" s="24">
        <f>(8242*$B$4*(D10+D11))*D15</f>
        <v>415269873.19999999</v>
      </c>
      <c r="E35" s="52">
        <f t="shared" ref="E35:Y35" si="17">((8242*$B$4*(E10+E11))*E15)*1.02^E3</f>
        <v>423575270.66399997</v>
      </c>
      <c r="F35" s="52">
        <f t="shared" si="17"/>
        <v>432046776.07727998</v>
      </c>
      <c r="G35" s="52">
        <f t="shared" si="17"/>
        <v>440687711.59882557</v>
      </c>
      <c r="H35" s="52">
        <f t="shared" si="17"/>
        <v>449501465.83080208</v>
      </c>
      <c r="I35" s="52">
        <f t="shared" si="17"/>
        <v>458491495.14741814</v>
      </c>
      <c r="J35" s="52">
        <f t="shared" si="17"/>
        <v>467661325.05036652</v>
      </c>
      <c r="K35" s="52">
        <f t="shared" si="17"/>
        <v>477014551.55137378</v>
      </c>
      <c r="L35" s="52">
        <f t="shared" si="17"/>
        <v>486554842.58240128</v>
      </c>
      <c r="M35" s="52">
        <f t="shared" si="17"/>
        <v>496285939.43404931</v>
      </c>
      <c r="N35" s="52">
        <f t="shared" si="17"/>
        <v>506211658.22273034</v>
      </c>
      <c r="O35" s="52">
        <f t="shared" si="17"/>
        <v>516335891.3871848</v>
      </c>
      <c r="P35" s="52">
        <f t="shared" si="17"/>
        <v>526662609.21492863</v>
      </c>
      <c r="Q35" s="52">
        <f t="shared" si="17"/>
        <v>537195861.39922714</v>
      </c>
      <c r="R35" s="52">
        <f t="shared" si="17"/>
        <v>547939778.62721169</v>
      </c>
      <c r="S35" s="52">
        <f t="shared" si="17"/>
        <v>518977247.4712019</v>
      </c>
      <c r="T35" s="52">
        <f t="shared" si="17"/>
        <v>488637039.15750086</v>
      </c>
      <c r="U35" s="52">
        <f t="shared" si="17"/>
        <v>415341483.28387582</v>
      </c>
      <c r="V35" s="52">
        <f t="shared" si="17"/>
        <v>423648312.94955325</v>
      </c>
      <c r="W35" s="52">
        <f t="shared" si="17"/>
        <v>129636383.76256329</v>
      </c>
      <c r="X35" s="52">
        <f t="shared" si="17"/>
        <v>88152740.958543047</v>
      </c>
      <c r="Y35" s="52">
        <f t="shared" si="17"/>
        <v>89915795.777713895</v>
      </c>
    </row>
    <row r="36" spans="3:25" x14ac:dyDescent="0.2">
      <c r="C36" s="41" t="s">
        <v>263</v>
      </c>
      <c r="D36" s="24">
        <f>5.3</f>
        <v>5.3</v>
      </c>
      <c r="E36" s="24">
        <f t="shared" ref="E36:Y36" si="18">(5.3*1.02^E3)*((E10+E11)/(14))</f>
        <v>5.4059999999999997</v>
      </c>
      <c r="F36" s="24">
        <f t="shared" si="18"/>
        <v>5.5141200000000001</v>
      </c>
      <c r="G36" s="24">
        <f t="shared" si="18"/>
        <v>5.6244023999999992</v>
      </c>
      <c r="H36" s="24">
        <f t="shared" si="18"/>
        <v>5.7368904479999996</v>
      </c>
      <c r="I36" s="24">
        <f t="shared" si="18"/>
        <v>5.8516282569599998</v>
      </c>
      <c r="J36" s="24">
        <f t="shared" si="18"/>
        <v>5.9686608220992001</v>
      </c>
      <c r="K36" s="24">
        <f t="shared" si="18"/>
        <v>6.0880340385411831</v>
      </c>
      <c r="L36" s="24">
        <f t="shared" si="18"/>
        <v>6.2097947193120069</v>
      </c>
      <c r="M36" s="24">
        <f t="shared" si="18"/>
        <v>6.3339906136982469</v>
      </c>
      <c r="N36" s="24">
        <f t="shared" si="18"/>
        <v>6.4606704259722125</v>
      </c>
      <c r="O36" s="24">
        <f t="shared" si="18"/>
        <v>6.5898838344916557</v>
      </c>
      <c r="P36" s="24">
        <f t="shared" si="18"/>
        <v>6.7216815111814894</v>
      </c>
      <c r="Q36" s="24">
        <f t="shared" si="18"/>
        <v>6.8561151414051187</v>
      </c>
      <c r="R36" s="24">
        <f t="shared" si="18"/>
        <v>6.9932374442332224</v>
      </c>
      <c r="S36" s="24">
        <f t="shared" si="18"/>
        <v>6.6235948936094644</v>
      </c>
      <c r="T36" s="24">
        <f t="shared" si="18"/>
        <v>6.236369345983066</v>
      </c>
      <c r="U36" s="24">
        <f t="shared" si="18"/>
        <v>5.3009139440856066</v>
      </c>
      <c r="V36" s="24">
        <f t="shared" si="18"/>
        <v>5.4069322229673178</v>
      </c>
      <c r="W36" s="24">
        <f t="shared" si="18"/>
        <v>1.6545212602279991</v>
      </c>
      <c r="X36" s="24">
        <f t="shared" si="18"/>
        <v>1.1250744569550395</v>
      </c>
      <c r="Y36" s="24">
        <f t="shared" si="18"/>
        <v>1.1475759460941402</v>
      </c>
    </row>
    <row r="38" spans="3:25" x14ac:dyDescent="0.2">
      <c r="C38" s="41" t="s">
        <v>271</v>
      </c>
      <c r="D38" s="24">
        <f t="shared" ref="D38:Y38" si="19">1000/22</f>
        <v>45.454545454545453</v>
      </c>
      <c r="E38" s="24">
        <f t="shared" si="19"/>
        <v>45.454545454545453</v>
      </c>
      <c r="F38" s="24">
        <f t="shared" si="19"/>
        <v>45.454545454545453</v>
      </c>
      <c r="G38" s="24">
        <f t="shared" si="19"/>
        <v>45.454545454545453</v>
      </c>
      <c r="H38" s="24">
        <f t="shared" si="19"/>
        <v>45.454545454545453</v>
      </c>
      <c r="I38" s="24">
        <f t="shared" si="19"/>
        <v>45.454545454545453</v>
      </c>
      <c r="J38" s="24">
        <f t="shared" si="19"/>
        <v>45.454545454545453</v>
      </c>
      <c r="K38" s="24">
        <f t="shared" si="19"/>
        <v>45.454545454545453</v>
      </c>
      <c r="L38" s="24">
        <f t="shared" si="19"/>
        <v>45.454545454545453</v>
      </c>
      <c r="M38" s="24">
        <f t="shared" si="19"/>
        <v>45.454545454545453</v>
      </c>
      <c r="N38" s="24">
        <f t="shared" si="19"/>
        <v>45.454545454545453</v>
      </c>
      <c r="O38" s="24">
        <f t="shared" si="19"/>
        <v>45.454545454545453</v>
      </c>
      <c r="P38" s="24">
        <f t="shared" si="19"/>
        <v>45.454545454545453</v>
      </c>
      <c r="Q38" s="24">
        <f t="shared" si="19"/>
        <v>45.454545454545453</v>
      </c>
      <c r="R38" s="24">
        <f t="shared" si="19"/>
        <v>45.454545454545453</v>
      </c>
      <c r="S38" s="24">
        <f t="shared" si="19"/>
        <v>45.454545454545453</v>
      </c>
      <c r="T38" s="24">
        <f t="shared" si="19"/>
        <v>45.454545454545453</v>
      </c>
      <c r="U38" s="24">
        <f t="shared" si="19"/>
        <v>45.454545454545453</v>
      </c>
      <c r="V38" s="24">
        <f t="shared" si="19"/>
        <v>45.454545454545453</v>
      </c>
      <c r="W38" s="24">
        <f t="shared" si="19"/>
        <v>45.454545454545453</v>
      </c>
      <c r="X38" s="24">
        <f t="shared" si="19"/>
        <v>45.454545454545453</v>
      </c>
      <c r="Y38" s="24">
        <f t="shared" si="19"/>
        <v>45.454545454545453</v>
      </c>
    </row>
    <row r="39" spans="3:25" x14ac:dyDescent="0.2">
      <c r="C39" s="41" t="s">
        <v>270</v>
      </c>
      <c r="D39" s="24">
        <f t="shared" ref="D39:Y39" si="20">D38*$B$4</f>
        <v>448.18181818181813</v>
      </c>
      <c r="E39" s="24">
        <f t="shared" si="20"/>
        <v>448.18181818181813</v>
      </c>
      <c r="F39" s="24">
        <f t="shared" si="20"/>
        <v>448.18181818181813</v>
      </c>
      <c r="G39" s="24">
        <f t="shared" si="20"/>
        <v>448.18181818181813</v>
      </c>
      <c r="H39" s="24">
        <f t="shared" si="20"/>
        <v>448.18181818181813</v>
      </c>
      <c r="I39" s="24">
        <f t="shared" si="20"/>
        <v>448.18181818181813</v>
      </c>
      <c r="J39" s="24">
        <f t="shared" si="20"/>
        <v>448.18181818181813</v>
      </c>
      <c r="K39" s="24">
        <f t="shared" si="20"/>
        <v>448.18181818181813</v>
      </c>
      <c r="L39" s="24">
        <f t="shared" si="20"/>
        <v>448.18181818181813</v>
      </c>
      <c r="M39" s="24">
        <f t="shared" si="20"/>
        <v>448.18181818181813</v>
      </c>
      <c r="N39" s="24">
        <f t="shared" si="20"/>
        <v>448.18181818181813</v>
      </c>
      <c r="O39" s="24">
        <f t="shared" si="20"/>
        <v>448.18181818181813</v>
      </c>
      <c r="P39" s="24">
        <f t="shared" si="20"/>
        <v>448.18181818181813</v>
      </c>
      <c r="Q39" s="24">
        <f t="shared" si="20"/>
        <v>448.18181818181813</v>
      </c>
      <c r="R39" s="24">
        <f t="shared" si="20"/>
        <v>448.18181818181813</v>
      </c>
      <c r="S39" s="24">
        <f t="shared" si="20"/>
        <v>448.18181818181813</v>
      </c>
      <c r="T39" s="24">
        <f t="shared" si="20"/>
        <v>448.18181818181813</v>
      </c>
      <c r="U39" s="24">
        <f t="shared" si="20"/>
        <v>448.18181818181813</v>
      </c>
      <c r="V39" s="24">
        <f t="shared" si="20"/>
        <v>448.18181818181813</v>
      </c>
      <c r="W39" s="24">
        <f t="shared" si="20"/>
        <v>448.18181818181813</v>
      </c>
      <c r="X39" s="24">
        <f t="shared" si="20"/>
        <v>448.18181818181813</v>
      </c>
      <c r="Y39" s="24">
        <f t="shared" si="20"/>
        <v>448.18181818181813</v>
      </c>
    </row>
    <row r="40" spans="3:25" x14ac:dyDescent="0.2">
      <c r="T40" s="24">
        <f t="shared" ref="T40:Y40" si="21">T24</f>
        <v>2039</v>
      </c>
      <c r="U40" s="24">
        <f t="shared" si="21"/>
        <v>2040</v>
      </c>
      <c r="V40" s="24">
        <f t="shared" si="21"/>
        <v>2041</v>
      </c>
      <c r="W40" s="24">
        <f t="shared" si="21"/>
        <v>2042</v>
      </c>
      <c r="X40" s="24">
        <f t="shared" si="21"/>
        <v>2043</v>
      </c>
      <c r="Y40" s="24">
        <f t="shared" si="21"/>
        <v>2044</v>
      </c>
    </row>
    <row r="41" spans="3:25" x14ac:dyDescent="0.2">
      <c r="C41" s="41" t="s">
        <v>267</v>
      </c>
      <c r="S41" s="24" t="s">
        <v>269</v>
      </c>
      <c r="T41" s="24">
        <f>(1*23000*$B$5*$B$4)/1000000</f>
        <v>90.712000000000003</v>
      </c>
      <c r="U41" s="24">
        <f>(1*23000*$B$5*$B$4)/1000000</f>
        <v>90.712000000000003</v>
      </c>
      <c r="V41" s="24">
        <f>(2*23000*$B$5*$B$4)/1000000</f>
        <v>181.42400000000001</v>
      </c>
      <c r="W41" s="24">
        <f>(5*40000*$B$5*$B$4)/1000000</f>
        <v>788.8</v>
      </c>
      <c r="X41" s="24">
        <f>((1*23000+40000*1)*$B$5*$B$4)/1000000</f>
        <v>248.47200000000001</v>
      </c>
      <c r="Y41" s="24">
        <f>(40000*2*$B$5*$B$4)/1000000</f>
        <v>315.52</v>
      </c>
    </row>
    <row r="43" spans="3:25" x14ac:dyDescent="0.2">
      <c r="C43" s="55" t="s">
        <v>210</v>
      </c>
      <c r="D43" s="49">
        <v>2023</v>
      </c>
      <c r="E43" s="49">
        <f t="shared" ref="E43:Y43" si="22">D43+1</f>
        <v>2024</v>
      </c>
      <c r="F43" s="49">
        <f t="shared" si="22"/>
        <v>2025</v>
      </c>
      <c r="G43" s="49">
        <f t="shared" si="22"/>
        <v>2026</v>
      </c>
      <c r="H43" s="49">
        <f t="shared" si="22"/>
        <v>2027</v>
      </c>
      <c r="I43" s="49">
        <f t="shared" si="22"/>
        <v>2028</v>
      </c>
      <c r="J43" s="49">
        <f t="shared" si="22"/>
        <v>2029</v>
      </c>
      <c r="K43" s="49">
        <f t="shared" si="22"/>
        <v>2030</v>
      </c>
      <c r="L43" s="49">
        <f t="shared" si="22"/>
        <v>2031</v>
      </c>
      <c r="M43" s="49">
        <f t="shared" si="22"/>
        <v>2032</v>
      </c>
      <c r="N43" s="49">
        <f t="shared" si="22"/>
        <v>2033</v>
      </c>
      <c r="O43" s="49">
        <f t="shared" si="22"/>
        <v>2034</v>
      </c>
      <c r="P43" s="49">
        <f t="shared" si="22"/>
        <v>2035</v>
      </c>
      <c r="Q43" s="49">
        <f t="shared" si="22"/>
        <v>2036</v>
      </c>
      <c r="R43" s="49">
        <f t="shared" si="22"/>
        <v>2037</v>
      </c>
      <c r="S43" s="49">
        <f t="shared" si="22"/>
        <v>2038</v>
      </c>
      <c r="T43" s="49">
        <f t="shared" si="22"/>
        <v>2039</v>
      </c>
      <c r="U43" s="49">
        <f t="shared" si="22"/>
        <v>2040</v>
      </c>
      <c r="V43" s="49">
        <f t="shared" si="22"/>
        <v>2041</v>
      </c>
      <c r="W43" s="49">
        <f t="shared" si="22"/>
        <v>2042</v>
      </c>
      <c r="X43" s="49">
        <f t="shared" si="22"/>
        <v>2043</v>
      </c>
      <c r="Y43" s="49">
        <f t="shared" si="22"/>
        <v>2044</v>
      </c>
    </row>
    <row r="44" spans="3:25" x14ac:dyDescent="0.2">
      <c r="C44" s="55" t="s">
        <v>243</v>
      </c>
      <c r="D44" s="48">
        <f t="shared" ref="D44:Y44" si="23">D17*$B$4</f>
        <v>4231881708.2065997</v>
      </c>
      <c r="E44" s="48">
        <f t="shared" si="23"/>
        <v>5717841195.8519993</v>
      </c>
      <c r="F44" s="48">
        <f t="shared" si="23"/>
        <v>6279040230.7571993</v>
      </c>
      <c r="G44" s="48">
        <f t="shared" si="23"/>
        <v>4820293300.0223989</v>
      </c>
      <c r="H44" s="48">
        <f t="shared" si="23"/>
        <v>4342072850</v>
      </c>
      <c r="I44" s="48">
        <f t="shared" si="23"/>
        <v>1948804350</v>
      </c>
      <c r="J44" s="48">
        <f t="shared" si="23"/>
        <v>957307400</v>
      </c>
      <c r="K44" s="48">
        <f t="shared" si="23"/>
        <v>800035470</v>
      </c>
      <c r="L44" s="48">
        <f t="shared" si="23"/>
        <v>800035470</v>
      </c>
      <c r="M44" s="48">
        <f t="shared" si="23"/>
        <v>1012010680</v>
      </c>
      <c r="N44" s="48">
        <f t="shared" si="23"/>
        <v>1278689170</v>
      </c>
      <c r="O44" s="48">
        <f t="shared" si="23"/>
        <v>0</v>
      </c>
      <c r="P44" s="48">
        <f t="shared" si="23"/>
        <v>12676133243.72023</v>
      </c>
      <c r="Q44" s="48">
        <f t="shared" si="23"/>
        <v>12676133243.72023</v>
      </c>
      <c r="R44" s="48">
        <f t="shared" si="23"/>
        <v>12676133243.72023</v>
      </c>
      <c r="S44" s="48">
        <f t="shared" si="23"/>
        <v>12676133180.946804</v>
      </c>
      <c r="T44" s="48">
        <f t="shared" si="23"/>
        <v>12676133118.173378</v>
      </c>
      <c r="U44" s="48">
        <f t="shared" si="23"/>
        <v>12676132992.626532</v>
      </c>
      <c r="V44" s="48">
        <f t="shared" si="23"/>
        <v>12676132992.626532</v>
      </c>
      <c r="W44" s="48">
        <f t="shared" si="23"/>
        <v>4753549825.1548824</v>
      </c>
      <c r="X44" s="48">
        <f t="shared" si="23"/>
        <v>3169033216.7699213</v>
      </c>
      <c r="Y44" s="48">
        <f t="shared" si="23"/>
        <v>3169033216.7699213</v>
      </c>
    </row>
    <row r="45" spans="3:25" x14ac:dyDescent="0.2">
      <c r="C45" s="55" t="s">
        <v>268</v>
      </c>
      <c r="D45" s="48">
        <f t="shared" ref="D45:Y45" si="24">-D28</f>
        <v>-485742382.66666669</v>
      </c>
      <c r="E45" s="48">
        <f t="shared" si="24"/>
        <v>-485742382.66666669</v>
      </c>
      <c r="F45" s="48">
        <f t="shared" si="24"/>
        <v>-485742382.66666669</v>
      </c>
      <c r="G45" s="48">
        <f t="shared" si="24"/>
        <v>-485742382.66666669</v>
      </c>
      <c r="H45" s="48">
        <f t="shared" si="24"/>
        <v>-485742382.66666669</v>
      </c>
      <c r="I45" s="48">
        <f t="shared" si="24"/>
        <v>-485742382.66666669</v>
      </c>
      <c r="J45" s="48">
        <f t="shared" si="24"/>
        <v>-485742382.66666669</v>
      </c>
      <c r="K45" s="48">
        <f t="shared" si="24"/>
        <v>-485742382.66666669</v>
      </c>
      <c r="L45" s="48">
        <f t="shared" si="24"/>
        <v>-485742382.66666669</v>
      </c>
      <c r="M45" s="48">
        <f t="shared" si="24"/>
        <v>-485742382.66666669</v>
      </c>
      <c r="N45" s="48">
        <f t="shared" si="24"/>
        <v>-485742382.66666669</v>
      </c>
      <c r="O45" s="48">
        <f t="shared" si="24"/>
        <v>-485742382.66666669</v>
      </c>
      <c r="P45" s="48">
        <f t="shared" si="24"/>
        <v>-485742382.66666669</v>
      </c>
      <c r="Q45" s="48">
        <f t="shared" si="24"/>
        <v>-485742382.66666669</v>
      </c>
      <c r="R45" s="48">
        <f t="shared" si="24"/>
        <v>-485742382.66666669</v>
      </c>
      <c r="S45" s="48">
        <f t="shared" si="24"/>
        <v>0</v>
      </c>
      <c r="T45" s="48">
        <f t="shared" si="24"/>
        <v>0</v>
      </c>
      <c r="U45" s="48">
        <f t="shared" si="24"/>
        <v>0</v>
      </c>
      <c r="V45" s="48">
        <f t="shared" si="24"/>
        <v>0</v>
      </c>
      <c r="W45" s="48">
        <f t="shared" si="24"/>
        <v>0</v>
      </c>
      <c r="X45" s="48">
        <f t="shared" si="24"/>
        <v>0</v>
      </c>
      <c r="Y45" s="48">
        <f t="shared" si="24"/>
        <v>0</v>
      </c>
    </row>
    <row r="46" spans="3:25" x14ac:dyDescent="0.2">
      <c r="C46" s="55" t="s">
        <v>226</v>
      </c>
      <c r="D46" s="48">
        <f t="shared" ref="D46:Y46" si="25">-D35</f>
        <v>-415269873.19999999</v>
      </c>
      <c r="E46" s="48">
        <f t="shared" si="25"/>
        <v>-423575270.66399997</v>
      </c>
      <c r="F46" s="48">
        <f t="shared" si="25"/>
        <v>-432046776.07727998</v>
      </c>
      <c r="G46" s="48">
        <f t="shared" si="25"/>
        <v>-440687711.59882557</v>
      </c>
      <c r="H46" s="48">
        <f t="shared" si="25"/>
        <v>-449501465.83080208</v>
      </c>
      <c r="I46" s="48">
        <f t="shared" si="25"/>
        <v>-458491495.14741814</v>
      </c>
      <c r="J46" s="48">
        <f t="shared" si="25"/>
        <v>-467661325.05036652</v>
      </c>
      <c r="K46" s="48">
        <f t="shared" si="25"/>
        <v>-477014551.55137378</v>
      </c>
      <c r="L46" s="48">
        <f t="shared" si="25"/>
        <v>-486554842.58240128</v>
      </c>
      <c r="M46" s="48">
        <f t="shared" si="25"/>
        <v>-496285939.43404931</v>
      </c>
      <c r="N46" s="48">
        <f t="shared" si="25"/>
        <v>-506211658.22273034</v>
      </c>
      <c r="O46" s="48">
        <f t="shared" si="25"/>
        <v>-516335891.3871848</v>
      </c>
      <c r="P46" s="48">
        <f t="shared" si="25"/>
        <v>-526662609.21492863</v>
      </c>
      <c r="Q46" s="48">
        <f t="shared" si="25"/>
        <v>-537195861.39922714</v>
      </c>
      <c r="R46" s="48">
        <f t="shared" si="25"/>
        <v>-547939778.62721169</v>
      </c>
      <c r="S46" s="48">
        <f t="shared" si="25"/>
        <v>-518977247.4712019</v>
      </c>
      <c r="T46" s="48">
        <f t="shared" si="25"/>
        <v>-488637039.15750086</v>
      </c>
      <c r="U46" s="48">
        <f t="shared" si="25"/>
        <v>-415341483.28387582</v>
      </c>
      <c r="V46" s="48">
        <f t="shared" si="25"/>
        <v>-423648312.94955325</v>
      </c>
      <c r="W46" s="48">
        <f t="shared" si="25"/>
        <v>-129636383.76256329</v>
      </c>
      <c r="X46" s="48">
        <f t="shared" si="25"/>
        <v>-88152740.958543047</v>
      </c>
      <c r="Y46" s="48">
        <f t="shared" si="25"/>
        <v>-89915795.777713895</v>
      </c>
    </row>
    <row r="47" spans="3:25" x14ac:dyDescent="0.2">
      <c r="C47" s="55" t="s">
        <v>267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>
        <f t="shared" ref="T47:Y47" si="26">T41*1000000</f>
        <v>90712000</v>
      </c>
      <c r="U47" s="48">
        <f t="shared" si="26"/>
        <v>90712000</v>
      </c>
      <c r="V47" s="48">
        <f t="shared" si="26"/>
        <v>181424000</v>
      </c>
      <c r="W47" s="48">
        <f t="shared" si="26"/>
        <v>788800000</v>
      </c>
      <c r="X47" s="48">
        <f t="shared" si="26"/>
        <v>248472000</v>
      </c>
      <c r="Y47" s="48">
        <f t="shared" si="26"/>
        <v>315520000</v>
      </c>
    </row>
    <row r="48" spans="3:25" x14ac:dyDescent="0.2">
      <c r="C48" s="55" t="s">
        <v>266</v>
      </c>
      <c r="D48" s="48">
        <f t="shared" ref="D48:Y48" si="27">(-(D36*$B$4))*1000000</f>
        <v>-52257999.999999993</v>
      </c>
      <c r="E48" s="48">
        <f t="shared" si="27"/>
        <v>-53303159.999999993</v>
      </c>
      <c r="F48" s="48">
        <f t="shared" si="27"/>
        <v>-54369223.200000003</v>
      </c>
      <c r="G48" s="48">
        <f t="shared" si="27"/>
        <v>-55456607.66399999</v>
      </c>
      <c r="H48" s="48">
        <f t="shared" si="27"/>
        <v>-56565739.817279987</v>
      </c>
      <c r="I48" s="48">
        <f t="shared" si="27"/>
        <v>-57697054.613625593</v>
      </c>
      <c r="J48" s="48">
        <f t="shared" si="27"/>
        <v>-58850995.705898106</v>
      </c>
      <c r="K48" s="48">
        <f t="shared" si="27"/>
        <v>-60028015.620016061</v>
      </c>
      <c r="L48" s="48">
        <f t="shared" si="27"/>
        <v>-61228575.932416387</v>
      </c>
      <c r="M48" s="48">
        <f t="shared" si="27"/>
        <v>-62453147.451064706</v>
      </c>
      <c r="N48" s="48">
        <f t="shared" si="27"/>
        <v>-63702210.400086008</v>
      </c>
      <c r="O48" s="48">
        <f t="shared" si="27"/>
        <v>-64976254.608087726</v>
      </c>
      <c r="P48" s="48">
        <f t="shared" si="27"/>
        <v>-66275779.700249486</v>
      </c>
      <c r="Q48" s="48">
        <f t="shared" si="27"/>
        <v>-67601295.294254467</v>
      </c>
      <c r="R48" s="48">
        <f t="shared" si="27"/>
        <v>-68953321.200139567</v>
      </c>
      <c r="S48" s="48">
        <f t="shared" si="27"/>
        <v>-65308645.650989316</v>
      </c>
      <c r="T48" s="48">
        <f t="shared" si="27"/>
        <v>-61490601.751393028</v>
      </c>
      <c r="U48" s="48">
        <f t="shared" si="27"/>
        <v>-52267011.488684073</v>
      </c>
      <c r="V48" s="48">
        <f t="shared" si="27"/>
        <v>-53312351.718457751</v>
      </c>
      <c r="W48" s="48">
        <f t="shared" si="27"/>
        <v>-16313579.625848072</v>
      </c>
      <c r="X48" s="48">
        <f t="shared" si="27"/>
        <v>-11093234.145576689</v>
      </c>
      <c r="Y48" s="48">
        <f t="shared" si="27"/>
        <v>-11315098.828488221</v>
      </c>
    </row>
    <row r="49" spans="3:25" ht="17" thickBot="1" x14ac:dyDescent="0.25">
      <c r="C49" s="47" t="s">
        <v>223</v>
      </c>
      <c r="D49" s="54">
        <f t="shared" ref="D49:Y49" si="28">SUM(D44:D47)</f>
        <v>3330869452.3399334</v>
      </c>
      <c r="E49" s="54">
        <f t="shared" si="28"/>
        <v>4808523542.5213327</v>
      </c>
      <c r="F49" s="54">
        <f t="shared" si="28"/>
        <v>5361251072.0132523</v>
      </c>
      <c r="G49" s="54">
        <f t="shared" si="28"/>
        <v>3893863205.7569065</v>
      </c>
      <c r="H49" s="54">
        <f t="shared" si="28"/>
        <v>3406829001.5025315</v>
      </c>
      <c r="I49" s="54">
        <f t="shared" si="28"/>
        <v>1004570472.1859151</v>
      </c>
      <c r="J49" s="54">
        <f t="shared" si="28"/>
        <v>3903692.2829667926</v>
      </c>
      <c r="K49" s="54">
        <f t="shared" si="28"/>
        <v>-162721464.21804047</v>
      </c>
      <c r="L49" s="54">
        <f t="shared" si="28"/>
        <v>-172261755.24906796</v>
      </c>
      <c r="M49" s="54">
        <f t="shared" si="28"/>
        <v>29982357.899284005</v>
      </c>
      <c r="N49" s="54">
        <f t="shared" si="28"/>
        <v>286735129.11060292</v>
      </c>
      <c r="O49" s="54">
        <f t="shared" si="28"/>
        <v>-1002078274.0538515</v>
      </c>
      <c r="P49" s="54">
        <f t="shared" si="28"/>
        <v>11663728251.838634</v>
      </c>
      <c r="Q49" s="54">
        <f t="shared" si="28"/>
        <v>11653194999.654337</v>
      </c>
      <c r="R49" s="54">
        <f t="shared" si="28"/>
        <v>11642451082.426352</v>
      </c>
      <c r="S49" s="54">
        <f t="shared" si="28"/>
        <v>12157155933.475601</v>
      </c>
      <c r="T49" s="54">
        <f t="shared" si="28"/>
        <v>12278208079.015877</v>
      </c>
      <c r="U49" s="54">
        <f t="shared" si="28"/>
        <v>12351503509.342655</v>
      </c>
      <c r="V49" s="54">
        <f t="shared" si="28"/>
        <v>12433908679.676979</v>
      </c>
      <c r="W49" s="54">
        <f t="shared" si="28"/>
        <v>5412713441.3923187</v>
      </c>
      <c r="X49" s="54">
        <f t="shared" si="28"/>
        <v>3329352475.8113785</v>
      </c>
      <c r="Y49" s="54">
        <f t="shared" si="28"/>
        <v>3394637420.9922075</v>
      </c>
    </row>
    <row r="50" spans="3:25" ht="17" thickTop="1" x14ac:dyDescent="0.2">
      <c r="C50" s="53">
        <f>NPV(5.16%,D49:Y49)</f>
        <v>60108381187.953598</v>
      </c>
    </row>
    <row r="51" spans="3:25" x14ac:dyDescent="0.2">
      <c r="C51" s="53">
        <f>C50/32000000</f>
        <v>1878.38691212355</v>
      </c>
    </row>
    <row r="53" spans="3:25" x14ac:dyDescent="0.2">
      <c r="C53" s="24" t="s">
        <v>210</v>
      </c>
      <c r="D53" s="24">
        <v>2023</v>
      </c>
      <c r="E53" s="24">
        <v>2024</v>
      </c>
      <c r="F53" s="24">
        <v>2025</v>
      </c>
      <c r="G53" s="24">
        <v>2026</v>
      </c>
      <c r="H53" s="24">
        <f t="shared" ref="H53:O53" si="29">G53+1</f>
        <v>2027</v>
      </c>
      <c r="I53" s="24">
        <f t="shared" si="29"/>
        <v>2028</v>
      </c>
      <c r="J53" s="24">
        <f t="shared" si="29"/>
        <v>2029</v>
      </c>
      <c r="K53" s="24">
        <f t="shared" si="29"/>
        <v>2030</v>
      </c>
      <c r="L53" s="24">
        <f t="shared" si="29"/>
        <v>2031</v>
      </c>
      <c r="M53" s="24">
        <f t="shared" si="29"/>
        <v>2032</v>
      </c>
      <c r="N53" s="24">
        <f t="shared" si="29"/>
        <v>2033</v>
      </c>
      <c r="O53" s="24">
        <f t="shared" si="29"/>
        <v>2034</v>
      </c>
    </row>
    <row r="54" spans="3:25" x14ac:dyDescent="0.2">
      <c r="C54" s="24" t="s">
        <v>242</v>
      </c>
      <c r="D54" s="52">
        <f t="shared" ref="D54:O54" si="30">D26/1000000</f>
        <v>485.74238266666669</v>
      </c>
      <c r="E54" s="52">
        <f t="shared" si="30"/>
        <v>485.74238266666669</v>
      </c>
      <c r="F54" s="52">
        <f t="shared" si="30"/>
        <v>485.74238266666669</v>
      </c>
      <c r="G54" s="52">
        <f t="shared" si="30"/>
        <v>485.74238266666669</v>
      </c>
      <c r="H54" s="52">
        <f t="shared" si="30"/>
        <v>485.74238266666669</v>
      </c>
      <c r="I54" s="52">
        <f t="shared" si="30"/>
        <v>485.74238266666669</v>
      </c>
      <c r="J54" s="52">
        <f t="shared" si="30"/>
        <v>485.74238266666669</v>
      </c>
      <c r="K54" s="52">
        <f t="shared" si="30"/>
        <v>485.74238266666669</v>
      </c>
      <c r="L54" s="52">
        <f t="shared" si="30"/>
        <v>485.74238266666669</v>
      </c>
      <c r="M54" s="52">
        <f t="shared" si="30"/>
        <v>485.74238266666669</v>
      </c>
      <c r="N54" s="52">
        <f t="shared" si="30"/>
        <v>485.74238266666669</v>
      </c>
      <c r="O54" s="52">
        <f t="shared" si="30"/>
        <v>485.74238266666669</v>
      </c>
      <c r="P54" s="52"/>
    </row>
    <row r="55" spans="3:25" x14ac:dyDescent="0.2">
      <c r="C55" s="24" t="s">
        <v>265</v>
      </c>
      <c r="D55" s="52">
        <f t="shared" ref="D55:O55" si="31">D27/1000000</f>
        <v>0</v>
      </c>
      <c r="E55" s="52">
        <f t="shared" si="31"/>
        <v>0</v>
      </c>
      <c r="F55" s="52">
        <f t="shared" si="31"/>
        <v>0</v>
      </c>
      <c r="G55" s="52">
        <f t="shared" si="31"/>
        <v>0</v>
      </c>
      <c r="H55" s="52">
        <f t="shared" si="31"/>
        <v>0</v>
      </c>
      <c r="I55" s="52">
        <f t="shared" si="31"/>
        <v>0</v>
      </c>
      <c r="J55" s="52">
        <f t="shared" si="31"/>
        <v>0</v>
      </c>
      <c r="K55" s="52">
        <f t="shared" si="31"/>
        <v>0</v>
      </c>
      <c r="L55" s="52">
        <f t="shared" si="31"/>
        <v>0</v>
      </c>
      <c r="M55" s="52">
        <f t="shared" si="31"/>
        <v>0</v>
      </c>
      <c r="N55" s="52">
        <f t="shared" si="31"/>
        <v>0</v>
      </c>
      <c r="O55" s="52">
        <f t="shared" si="31"/>
        <v>0</v>
      </c>
      <c r="P55" s="52"/>
    </row>
    <row r="56" spans="3:25" x14ac:dyDescent="0.2">
      <c r="C56" s="24" t="s">
        <v>264</v>
      </c>
      <c r="D56" s="52">
        <f t="shared" ref="D56:O56" si="32">D28/1000000</f>
        <v>485.74238266666669</v>
      </c>
      <c r="E56" s="52">
        <f t="shared" si="32"/>
        <v>485.74238266666669</v>
      </c>
      <c r="F56" s="52">
        <f t="shared" si="32"/>
        <v>485.74238266666669</v>
      </c>
      <c r="G56" s="52">
        <f t="shared" si="32"/>
        <v>485.74238266666669</v>
      </c>
      <c r="H56" s="52">
        <f t="shared" si="32"/>
        <v>485.74238266666669</v>
      </c>
      <c r="I56" s="52">
        <f t="shared" si="32"/>
        <v>485.74238266666669</v>
      </c>
      <c r="J56" s="52">
        <f t="shared" si="32"/>
        <v>485.74238266666669</v>
      </c>
      <c r="K56" s="52">
        <f t="shared" si="32"/>
        <v>485.74238266666669</v>
      </c>
      <c r="L56" s="52">
        <f t="shared" si="32"/>
        <v>485.74238266666669</v>
      </c>
      <c r="M56" s="52">
        <f t="shared" si="32"/>
        <v>485.74238266666669</v>
      </c>
      <c r="N56" s="52">
        <f t="shared" si="32"/>
        <v>485.74238266666669</v>
      </c>
      <c r="O56" s="52">
        <f t="shared" si="32"/>
        <v>485.74238266666669</v>
      </c>
      <c r="P56" s="52"/>
    </row>
    <row r="58" spans="3:25" x14ac:dyDescent="0.2">
      <c r="C58" s="24" t="s">
        <v>210</v>
      </c>
      <c r="D58" s="24">
        <f t="shared" ref="D58:O58" si="33">D53</f>
        <v>2023</v>
      </c>
      <c r="E58" s="24">
        <f t="shared" si="33"/>
        <v>2024</v>
      </c>
      <c r="F58" s="24">
        <f t="shared" si="33"/>
        <v>2025</v>
      </c>
      <c r="G58" s="24">
        <f t="shared" si="33"/>
        <v>2026</v>
      </c>
      <c r="H58" s="24">
        <f t="shared" si="33"/>
        <v>2027</v>
      </c>
      <c r="I58" s="24">
        <f t="shared" si="33"/>
        <v>2028</v>
      </c>
      <c r="J58" s="24">
        <f t="shared" si="33"/>
        <v>2029</v>
      </c>
      <c r="K58" s="24">
        <f t="shared" si="33"/>
        <v>2030</v>
      </c>
      <c r="L58" s="24">
        <f t="shared" si="33"/>
        <v>2031</v>
      </c>
      <c r="M58" s="24">
        <f t="shared" si="33"/>
        <v>2032</v>
      </c>
      <c r="N58" s="24">
        <f t="shared" si="33"/>
        <v>2033</v>
      </c>
      <c r="O58" s="24">
        <f t="shared" si="33"/>
        <v>2034</v>
      </c>
      <c r="P58" s="24">
        <f t="shared" ref="P58:Y58" si="34">O58+1</f>
        <v>2035</v>
      </c>
      <c r="Q58" s="24">
        <f t="shared" si="34"/>
        <v>2036</v>
      </c>
      <c r="R58" s="24">
        <f t="shared" si="34"/>
        <v>2037</v>
      </c>
      <c r="S58" s="24">
        <f t="shared" si="34"/>
        <v>2038</v>
      </c>
      <c r="T58" s="24">
        <f t="shared" si="34"/>
        <v>2039</v>
      </c>
      <c r="U58" s="24">
        <f t="shared" si="34"/>
        <v>2040</v>
      </c>
      <c r="V58" s="24">
        <f t="shared" si="34"/>
        <v>2041</v>
      </c>
      <c r="W58" s="24">
        <f t="shared" si="34"/>
        <v>2042</v>
      </c>
      <c r="X58" s="24">
        <f t="shared" si="34"/>
        <v>2043</v>
      </c>
      <c r="Y58" s="24">
        <f t="shared" si="34"/>
        <v>2044</v>
      </c>
    </row>
    <row r="59" spans="3:25" x14ac:dyDescent="0.2">
      <c r="C59" s="41" t="s">
        <v>263</v>
      </c>
      <c r="D59" s="24">
        <f t="shared" ref="D59:Y59" si="35">(-D48)/1000000</f>
        <v>52.257999999999996</v>
      </c>
      <c r="E59" s="24">
        <f t="shared" si="35"/>
        <v>53.303159999999991</v>
      </c>
      <c r="F59" s="24">
        <f t="shared" si="35"/>
        <v>54.3692232</v>
      </c>
      <c r="G59" s="24">
        <f t="shared" si="35"/>
        <v>55.456607663999989</v>
      </c>
      <c r="H59" s="24">
        <f t="shared" si="35"/>
        <v>56.56573981727999</v>
      </c>
      <c r="I59" s="24">
        <f t="shared" si="35"/>
        <v>57.697054613625596</v>
      </c>
      <c r="J59" s="24">
        <f t="shared" si="35"/>
        <v>58.850995705898107</v>
      </c>
      <c r="K59" s="24">
        <f t="shared" si="35"/>
        <v>60.028015620016063</v>
      </c>
      <c r="L59" s="24">
        <f t="shared" si="35"/>
        <v>61.228575932416383</v>
      </c>
      <c r="M59" s="24">
        <f t="shared" si="35"/>
        <v>62.453147451064709</v>
      </c>
      <c r="N59" s="24">
        <f t="shared" si="35"/>
        <v>63.70221040008601</v>
      </c>
      <c r="O59" s="24">
        <f t="shared" si="35"/>
        <v>64.976254608087729</v>
      </c>
      <c r="P59" s="24">
        <f t="shared" si="35"/>
        <v>66.275779700249487</v>
      </c>
      <c r="Q59" s="24">
        <f t="shared" si="35"/>
        <v>67.60129529425447</v>
      </c>
      <c r="R59" s="24">
        <f t="shared" si="35"/>
        <v>68.95332120013957</v>
      </c>
      <c r="S59" s="24">
        <f t="shared" si="35"/>
        <v>65.30864565098932</v>
      </c>
      <c r="T59" s="24">
        <f t="shared" si="35"/>
        <v>61.490601751393029</v>
      </c>
      <c r="U59" s="24">
        <f t="shared" si="35"/>
        <v>52.267011488684076</v>
      </c>
      <c r="V59" s="24">
        <f t="shared" si="35"/>
        <v>53.312351718457748</v>
      </c>
      <c r="W59" s="24">
        <f t="shared" si="35"/>
        <v>16.313579625848071</v>
      </c>
      <c r="X59" s="24">
        <f t="shared" si="35"/>
        <v>11.093234145576689</v>
      </c>
      <c r="Y59" s="24">
        <f t="shared" si="35"/>
        <v>11.315098828488221</v>
      </c>
    </row>
    <row r="61" spans="3:25" x14ac:dyDescent="0.2">
      <c r="C61" s="24" t="s">
        <v>210</v>
      </c>
      <c r="D61" s="24">
        <f t="shared" ref="D61:Y61" si="36">D58</f>
        <v>2023</v>
      </c>
      <c r="E61" s="24">
        <f t="shared" si="36"/>
        <v>2024</v>
      </c>
      <c r="F61" s="24">
        <f t="shared" si="36"/>
        <v>2025</v>
      </c>
      <c r="G61" s="24">
        <f t="shared" si="36"/>
        <v>2026</v>
      </c>
      <c r="H61" s="24">
        <f t="shared" si="36"/>
        <v>2027</v>
      </c>
      <c r="I61" s="24">
        <f t="shared" si="36"/>
        <v>2028</v>
      </c>
      <c r="J61" s="24">
        <f t="shared" si="36"/>
        <v>2029</v>
      </c>
      <c r="K61" s="24">
        <f t="shared" si="36"/>
        <v>2030</v>
      </c>
      <c r="L61" s="24">
        <f t="shared" si="36"/>
        <v>2031</v>
      </c>
      <c r="M61" s="24">
        <f t="shared" si="36"/>
        <v>2032</v>
      </c>
      <c r="N61" s="24">
        <f t="shared" si="36"/>
        <v>2033</v>
      </c>
      <c r="O61" s="24">
        <f t="shared" si="36"/>
        <v>2034</v>
      </c>
      <c r="P61" s="24">
        <f t="shared" si="36"/>
        <v>2035</v>
      </c>
      <c r="Q61" s="24">
        <f t="shared" si="36"/>
        <v>2036</v>
      </c>
      <c r="R61" s="24">
        <f t="shared" si="36"/>
        <v>2037</v>
      </c>
      <c r="S61" s="24">
        <f t="shared" si="36"/>
        <v>2038</v>
      </c>
      <c r="T61" s="24">
        <f t="shared" si="36"/>
        <v>2039</v>
      </c>
      <c r="U61" s="24">
        <f t="shared" si="36"/>
        <v>2040</v>
      </c>
      <c r="V61" s="24">
        <f t="shared" si="36"/>
        <v>2041</v>
      </c>
      <c r="W61" s="24">
        <f t="shared" si="36"/>
        <v>2042</v>
      </c>
      <c r="X61" s="24">
        <f t="shared" si="36"/>
        <v>2043</v>
      </c>
      <c r="Y61" s="24">
        <f t="shared" si="36"/>
        <v>2044</v>
      </c>
    </row>
    <row r="62" spans="3:25" x14ac:dyDescent="0.2">
      <c r="C62" s="24" t="s">
        <v>226</v>
      </c>
      <c r="D62" s="30">
        <f t="shared" ref="D62:Y62" si="37">(-D46)/1000000</f>
        <v>415.26987320000001</v>
      </c>
      <c r="E62" s="30">
        <f t="shared" si="37"/>
        <v>423.57527066399996</v>
      </c>
      <c r="F62" s="30">
        <f t="shared" si="37"/>
        <v>432.04677607727996</v>
      </c>
      <c r="G62" s="30">
        <f t="shared" si="37"/>
        <v>440.68771159882556</v>
      </c>
      <c r="H62" s="30">
        <f t="shared" si="37"/>
        <v>449.50146583080209</v>
      </c>
      <c r="I62" s="30">
        <f t="shared" si="37"/>
        <v>458.49149514741816</v>
      </c>
      <c r="J62" s="30">
        <f t="shared" si="37"/>
        <v>467.66132505036654</v>
      </c>
      <c r="K62" s="30">
        <f t="shared" si="37"/>
        <v>477.01455155137376</v>
      </c>
      <c r="L62" s="30">
        <f t="shared" si="37"/>
        <v>486.55484258240125</v>
      </c>
      <c r="M62" s="30">
        <f t="shared" si="37"/>
        <v>496.28593943404928</v>
      </c>
      <c r="N62" s="30">
        <f t="shared" si="37"/>
        <v>506.21165822273036</v>
      </c>
      <c r="O62" s="30">
        <f t="shared" si="37"/>
        <v>516.3358913871848</v>
      </c>
      <c r="P62" s="30">
        <f t="shared" si="37"/>
        <v>526.66260921492858</v>
      </c>
      <c r="Q62" s="30">
        <f t="shared" si="37"/>
        <v>537.19586139922717</v>
      </c>
      <c r="R62" s="30">
        <f t="shared" si="37"/>
        <v>547.93977862721169</v>
      </c>
      <c r="S62" s="30">
        <f t="shared" si="37"/>
        <v>518.97724747120185</v>
      </c>
      <c r="T62" s="30">
        <f t="shared" si="37"/>
        <v>488.63703915750085</v>
      </c>
      <c r="U62" s="30">
        <f t="shared" si="37"/>
        <v>415.34148328387585</v>
      </c>
      <c r="V62" s="30">
        <f t="shared" si="37"/>
        <v>423.64831294955326</v>
      </c>
      <c r="W62" s="30">
        <f t="shared" si="37"/>
        <v>129.6363837625633</v>
      </c>
      <c r="X62" s="30">
        <f t="shared" si="37"/>
        <v>88.152740958543049</v>
      </c>
      <c r="Y62" s="30">
        <f t="shared" si="37"/>
        <v>89.915795777713896</v>
      </c>
    </row>
    <row r="64" spans="3:25" x14ac:dyDescent="0.2">
      <c r="C64" s="24" t="s">
        <v>210</v>
      </c>
      <c r="D64" s="24">
        <f t="shared" ref="D64:Y64" si="38">D4</f>
        <v>2023</v>
      </c>
      <c r="E64" s="24">
        <f t="shared" si="38"/>
        <v>2024</v>
      </c>
      <c r="F64" s="24">
        <f t="shared" si="38"/>
        <v>2025</v>
      </c>
      <c r="G64" s="24">
        <f t="shared" si="38"/>
        <v>2026</v>
      </c>
      <c r="H64" s="24">
        <f t="shared" si="38"/>
        <v>2027</v>
      </c>
      <c r="I64" s="24">
        <f t="shared" si="38"/>
        <v>2028</v>
      </c>
      <c r="J64" s="24">
        <f t="shared" si="38"/>
        <v>2029</v>
      </c>
      <c r="K64" s="24">
        <f t="shared" si="38"/>
        <v>2030</v>
      </c>
      <c r="L64" s="24">
        <f t="shared" si="38"/>
        <v>2031</v>
      </c>
      <c r="M64" s="24">
        <f t="shared" si="38"/>
        <v>2032</v>
      </c>
      <c r="N64" s="24">
        <f t="shared" si="38"/>
        <v>2033</v>
      </c>
      <c r="O64" s="24">
        <f t="shared" si="38"/>
        <v>2034</v>
      </c>
      <c r="P64" s="24">
        <f t="shared" si="38"/>
        <v>2035</v>
      </c>
      <c r="Q64" s="24">
        <f t="shared" si="38"/>
        <v>2036</v>
      </c>
      <c r="R64" s="24">
        <f t="shared" si="38"/>
        <v>2037</v>
      </c>
      <c r="S64" s="24">
        <f t="shared" si="38"/>
        <v>2038</v>
      </c>
      <c r="T64" s="24">
        <f t="shared" si="38"/>
        <v>2039</v>
      </c>
      <c r="U64" s="24">
        <f t="shared" si="38"/>
        <v>2040</v>
      </c>
      <c r="V64" s="24">
        <f t="shared" si="38"/>
        <v>2041</v>
      </c>
      <c r="W64" s="24">
        <f t="shared" si="38"/>
        <v>2042</v>
      </c>
      <c r="X64" s="24">
        <f t="shared" si="38"/>
        <v>2043</v>
      </c>
      <c r="Y64" s="24">
        <f t="shared" si="38"/>
        <v>2044</v>
      </c>
    </row>
    <row r="65" spans="3:25" x14ac:dyDescent="0.2">
      <c r="C65" s="24" t="s">
        <v>243</v>
      </c>
      <c r="D65" s="24" t="s">
        <v>262</v>
      </c>
    </row>
    <row r="67" spans="3:25" x14ac:dyDescent="0.2">
      <c r="C67" s="24" t="s">
        <v>210</v>
      </c>
      <c r="D67" s="24">
        <f t="shared" ref="D67:O67" si="39">D53</f>
        <v>2023</v>
      </c>
      <c r="E67" s="24">
        <f t="shared" si="39"/>
        <v>2024</v>
      </c>
      <c r="F67" s="24">
        <f t="shared" si="39"/>
        <v>2025</v>
      </c>
      <c r="G67" s="24">
        <f t="shared" si="39"/>
        <v>2026</v>
      </c>
      <c r="H67" s="24">
        <f t="shared" si="39"/>
        <v>2027</v>
      </c>
      <c r="I67" s="24">
        <f t="shared" si="39"/>
        <v>2028</v>
      </c>
      <c r="J67" s="24">
        <f t="shared" si="39"/>
        <v>2029</v>
      </c>
      <c r="K67" s="24">
        <f t="shared" si="39"/>
        <v>2030</v>
      </c>
      <c r="L67" s="24">
        <f t="shared" si="39"/>
        <v>2031</v>
      </c>
      <c r="M67" s="24">
        <f t="shared" si="39"/>
        <v>2032</v>
      </c>
      <c r="N67" s="24">
        <f t="shared" si="39"/>
        <v>2033</v>
      </c>
      <c r="O67" s="24">
        <f t="shared" si="39"/>
        <v>2034</v>
      </c>
      <c r="P67" s="24">
        <f t="shared" ref="P67:Y67" si="40">O67+1</f>
        <v>2035</v>
      </c>
      <c r="Q67" s="24">
        <f t="shared" si="40"/>
        <v>2036</v>
      </c>
      <c r="R67" s="24">
        <f t="shared" si="40"/>
        <v>2037</v>
      </c>
      <c r="S67" s="24">
        <f t="shared" si="40"/>
        <v>2038</v>
      </c>
      <c r="T67" s="24">
        <f t="shared" si="40"/>
        <v>2039</v>
      </c>
      <c r="U67" s="24">
        <f t="shared" si="40"/>
        <v>2040</v>
      </c>
      <c r="V67" s="24">
        <f t="shared" si="40"/>
        <v>2041</v>
      </c>
      <c r="W67" s="24">
        <f t="shared" si="40"/>
        <v>2042</v>
      </c>
      <c r="X67" s="24">
        <f t="shared" si="40"/>
        <v>2043</v>
      </c>
      <c r="Y67" s="24">
        <f t="shared" si="40"/>
        <v>2044</v>
      </c>
    </row>
    <row r="68" spans="3:25" x14ac:dyDescent="0.2">
      <c r="C68" s="24" t="s">
        <v>261</v>
      </c>
      <c r="D68" s="25">
        <f t="shared" ref="D68:Y68" si="41">(D17*$B$4)/1000000</f>
        <v>4231.8817082065998</v>
      </c>
      <c r="E68" s="25">
        <f t="shared" si="41"/>
        <v>5717.8411958519991</v>
      </c>
      <c r="F68" s="25">
        <f t="shared" si="41"/>
        <v>6279.0402307571994</v>
      </c>
      <c r="G68" s="25">
        <f t="shared" si="41"/>
        <v>4820.2933000223993</v>
      </c>
      <c r="H68" s="25">
        <f t="shared" si="41"/>
        <v>4342.0728499999996</v>
      </c>
      <c r="I68" s="25">
        <f t="shared" si="41"/>
        <v>1948.8043500000001</v>
      </c>
      <c r="J68" s="25">
        <f t="shared" si="41"/>
        <v>957.30740000000003</v>
      </c>
      <c r="K68" s="25">
        <f t="shared" si="41"/>
        <v>800.03547000000003</v>
      </c>
      <c r="L68" s="25">
        <f t="shared" si="41"/>
        <v>800.03547000000003</v>
      </c>
      <c r="M68" s="25">
        <f t="shared" si="41"/>
        <v>1012.01068</v>
      </c>
      <c r="N68" s="25">
        <f t="shared" si="41"/>
        <v>1278.6891700000001</v>
      </c>
      <c r="O68" s="25">
        <f t="shared" si="41"/>
        <v>0</v>
      </c>
      <c r="P68" s="25">
        <f t="shared" si="41"/>
        <v>12676.133243720231</v>
      </c>
      <c r="Q68" s="25">
        <f t="shared" si="41"/>
        <v>12676.133243720231</v>
      </c>
      <c r="R68" s="25">
        <f t="shared" si="41"/>
        <v>12676.133243720231</v>
      </c>
      <c r="S68" s="25">
        <f t="shared" si="41"/>
        <v>12676.133180946805</v>
      </c>
      <c r="T68" s="25">
        <f t="shared" si="41"/>
        <v>12676.133118173379</v>
      </c>
      <c r="U68" s="25">
        <f t="shared" si="41"/>
        <v>12676.132992626532</v>
      </c>
      <c r="V68" s="25">
        <f t="shared" si="41"/>
        <v>12676.132992626532</v>
      </c>
      <c r="W68" s="25">
        <f t="shared" si="41"/>
        <v>4753.5498251548825</v>
      </c>
      <c r="X68" s="25">
        <f t="shared" si="41"/>
        <v>3169.0332167699212</v>
      </c>
      <c r="Y68" s="25">
        <f t="shared" si="41"/>
        <v>3169.0332167699212</v>
      </c>
    </row>
    <row r="70" spans="3:25" x14ac:dyDescent="0.2">
      <c r="C70" s="24" t="str">
        <f t="shared" ref="C70:Y70" si="42">C67</f>
        <v>år</v>
      </c>
      <c r="D70" s="24">
        <f t="shared" si="42"/>
        <v>2023</v>
      </c>
      <c r="E70" s="24">
        <f t="shared" si="42"/>
        <v>2024</v>
      </c>
      <c r="F70" s="24">
        <f t="shared" si="42"/>
        <v>2025</v>
      </c>
      <c r="G70" s="24">
        <f t="shared" si="42"/>
        <v>2026</v>
      </c>
      <c r="H70" s="24">
        <f t="shared" si="42"/>
        <v>2027</v>
      </c>
      <c r="I70" s="24">
        <f t="shared" si="42"/>
        <v>2028</v>
      </c>
      <c r="J70" s="24">
        <f t="shared" si="42"/>
        <v>2029</v>
      </c>
      <c r="K70" s="24">
        <f t="shared" si="42"/>
        <v>2030</v>
      </c>
      <c r="L70" s="24">
        <f t="shared" si="42"/>
        <v>2031</v>
      </c>
      <c r="M70" s="24">
        <f t="shared" si="42"/>
        <v>2032</v>
      </c>
      <c r="N70" s="24">
        <f t="shared" si="42"/>
        <v>2033</v>
      </c>
      <c r="O70" s="24">
        <f t="shared" si="42"/>
        <v>2034</v>
      </c>
      <c r="P70" s="24">
        <f t="shared" si="42"/>
        <v>2035</v>
      </c>
      <c r="Q70" s="24">
        <f t="shared" si="42"/>
        <v>2036</v>
      </c>
      <c r="R70" s="24">
        <f t="shared" si="42"/>
        <v>2037</v>
      </c>
      <c r="S70" s="24">
        <f t="shared" si="42"/>
        <v>2038</v>
      </c>
      <c r="T70" s="24">
        <f t="shared" si="42"/>
        <v>2039</v>
      </c>
      <c r="U70" s="24">
        <f t="shared" si="42"/>
        <v>2040</v>
      </c>
      <c r="V70" s="24">
        <f t="shared" si="42"/>
        <v>2041</v>
      </c>
      <c r="W70" s="24">
        <f t="shared" si="42"/>
        <v>2042</v>
      </c>
      <c r="X70" s="24">
        <f t="shared" si="42"/>
        <v>2043</v>
      </c>
      <c r="Y70" s="24">
        <f t="shared" si="42"/>
        <v>2044</v>
      </c>
    </row>
    <row r="71" spans="3:25" x14ac:dyDescent="0.2">
      <c r="C71" s="24" t="s">
        <v>260</v>
      </c>
      <c r="D71" s="25">
        <f t="shared" ref="D71:Y71" si="43">D68/(D10+D11)</f>
        <v>302.2772648719</v>
      </c>
      <c r="E71" s="25">
        <f t="shared" si="43"/>
        <v>408.4172282751428</v>
      </c>
      <c r="F71" s="25">
        <f t="shared" si="43"/>
        <v>448.50287362551427</v>
      </c>
      <c r="G71" s="25">
        <f t="shared" si="43"/>
        <v>344.30666428731422</v>
      </c>
      <c r="H71" s="25">
        <f t="shared" si="43"/>
        <v>310.14806071428569</v>
      </c>
      <c r="I71" s="25">
        <f t="shared" si="43"/>
        <v>139.20031071428573</v>
      </c>
      <c r="J71" s="25">
        <f t="shared" si="43"/>
        <v>68.379100000000008</v>
      </c>
      <c r="K71" s="25">
        <f t="shared" si="43"/>
        <v>57.145390714285718</v>
      </c>
      <c r="L71" s="25">
        <f t="shared" si="43"/>
        <v>57.145390714285718</v>
      </c>
      <c r="M71" s="25">
        <f t="shared" si="43"/>
        <v>72.286477142857137</v>
      </c>
      <c r="N71" s="25">
        <f t="shared" si="43"/>
        <v>91.334940714285722</v>
      </c>
      <c r="O71" s="25">
        <f t="shared" si="43"/>
        <v>0</v>
      </c>
      <c r="P71" s="25">
        <f t="shared" si="43"/>
        <v>905.4380888371594</v>
      </c>
      <c r="Q71" s="25">
        <f t="shared" si="43"/>
        <v>905.4380888371594</v>
      </c>
      <c r="R71" s="25">
        <f t="shared" si="43"/>
        <v>905.4380888371594</v>
      </c>
      <c r="S71" s="25">
        <f t="shared" si="43"/>
        <v>975.08716776513882</v>
      </c>
      <c r="T71" s="25">
        <f t="shared" si="43"/>
        <v>1056.3444265144483</v>
      </c>
      <c r="U71" s="25">
        <f t="shared" si="43"/>
        <v>1267.6132992626531</v>
      </c>
      <c r="V71" s="25">
        <f t="shared" si="43"/>
        <v>1267.6132992626531</v>
      </c>
      <c r="W71" s="25">
        <f t="shared" si="43"/>
        <v>1584.5166083849608</v>
      </c>
      <c r="X71" s="25">
        <f t="shared" si="43"/>
        <v>1584.5166083849606</v>
      </c>
      <c r="Y71" s="25">
        <f t="shared" si="43"/>
        <v>1584.5166083849606</v>
      </c>
    </row>
    <row r="73" spans="3:25" x14ac:dyDescent="0.2">
      <c r="C73" s="24" t="s">
        <v>259</v>
      </c>
      <c r="D73" s="24">
        <f>1024000000*$B$4</f>
        <v>10096640000</v>
      </c>
      <c r="H73" s="24" t="s">
        <v>258</v>
      </c>
    </row>
    <row r="74" spans="3:25" x14ac:dyDescent="0.2">
      <c r="C74" s="24" t="s">
        <v>253</v>
      </c>
      <c r="D74" s="25">
        <f t="shared" ref="D74:Y74" si="44">D44</f>
        <v>4231881708.2065997</v>
      </c>
      <c r="E74" s="25">
        <f t="shared" si="44"/>
        <v>5717841195.8519993</v>
      </c>
      <c r="F74" s="25">
        <f t="shared" si="44"/>
        <v>6279040230.7571993</v>
      </c>
      <c r="G74" s="25">
        <f t="shared" si="44"/>
        <v>4820293300.0223989</v>
      </c>
      <c r="H74" s="25">
        <f t="shared" si="44"/>
        <v>4342072850</v>
      </c>
      <c r="I74" s="25">
        <f t="shared" si="44"/>
        <v>1948804350</v>
      </c>
      <c r="J74" s="25">
        <f t="shared" si="44"/>
        <v>957307400</v>
      </c>
      <c r="K74" s="25">
        <f t="shared" si="44"/>
        <v>800035470</v>
      </c>
      <c r="L74" s="25">
        <f t="shared" si="44"/>
        <v>800035470</v>
      </c>
      <c r="M74" s="25">
        <f t="shared" si="44"/>
        <v>1012010680</v>
      </c>
      <c r="N74" s="25">
        <f t="shared" si="44"/>
        <v>1278689170</v>
      </c>
      <c r="O74" s="25">
        <f t="shared" si="44"/>
        <v>0</v>
      </c>
      <c r="P74" s="25">
        <f t="shared" si="44"/>
        <v>12676133243.72023</v>
      </c>
      <c r="Q74" s="25">
        <f t="shared" si="44"/>
        <v>12676133243.72023</v>
      </c>
      <c r="R74" s="25">
        <f t="shared" si="44"/>
        <v>12676133243.72023</v>
      </c>
      <c r="S74" s="25">
        <f t="shared" si="44"/>
        <v>12676133180.946804</v>
      </c>
      <c r="T74" s="25">
        <f t="shared" si="44"/>
        <v>12676133118.173378</v>
      </c>
      <c r="U74" s="25">
        <f t="shared" si="44"/>
        <v>12676132992.626532</v>
      </c>
      <c r="V74" s="25">
        <f t="shared" si="44"/>
        <v>12676132992.626532</v>
      </c>
      <c r="W74" s="25">
        <f t="shared" si="44"/>
        <v>4753549825.1548824</v>
      </c>
      <c r="X74" s="25">
        <f t="shared" si="44"/>
        <v>3169033216.7699213</v>
      </c>
      <c r="Y74" s="25">
        <f t="shared" si="44"/>
        <v>3169033216.7699213</v>
      </c>
    </row>
    <row r="75" spans="3:25" x14ac:dyDescent="0.2">
      <c r="C75" s="24" t="s">
        <v>257</v>
      </c>
      <c r="D75" s="24">
        <f t="shared" ref="D75:Y75" si="45">-D32</f>
        <v>0</v>
      </c>
      <c r="E75" s="24">
        <f t="shared" si="45"/>
        <v>0</v>
      </c>
      <c r="F75" s="24">
        <f t="shared" si="45"/>
        <v>0</v>
      </c>
      <c r="G75" s="24">
        <f t="shared" si="45"/>
        <v>0</v>
      </c>
      <c r="H75" s="24">
        <f t="shared" si="45"/>
        <v>0</v>
      </c>
      <c r="I75" s="24">
        <f t="shared" si="45"/>
        <v>0</v>
      </c>
      <c r="J75" s="24">
        <f t="shared" si="45"/>
        <v>0</v>
      </c>
      <c r="K75" s="24">
        <f t="shared" si="45"/>
        <v>0</v>
      </c>
      <c r="L75" s="24">
        <f t="shared" si="45"/>
        <v>0</v>
      </c>
      <c r="M75" s="24">
        <f t="shared" si="45"/>
        <v>0</v>
      </c>
      <c r="N75" s="24">
        <f t="shared" si="45"/>
        <v>0</v>
      </c>
      <c r="O75" s="24">
        <f t="shared" si="45"/>
        <v>0</v>
      </c>
      <c r="P75" s="24">
        <f t="shared" si="45"/>
        <v>0</v>
      </c>
      <c r="Q75" s="24">
        <f t="shared" si="45"/>
        <v>0</v>
      </c>
      <c r="R75" s="24">
        <f t="shared" si="45"/>
        <v>0</v>
      </c>
      <c r="S75" s="24">
        <f t="shared" si="45"/>
        <v>0</v>
      </c>
      <c r="T75" s="24">
        <f t="shared" si="45"/>
        <v>0</v>
      </c>
      <c r="U75" s="24">
        <f t="shared" si="45"/>
        <v>0</v>
      </c>
      <c r="V75" s="24">
        <f t="shared" si="45"/>
        <v>0</v>
      </c>
      <c r="W75" s="24">
        <f t="shared" si="45"/>
        <v>0</v>
      </c>
      <c r="X75" s="24">
        <f t="shared" si="45"/>
        <v>0</v>
      </c>
      <c r="Y75" s="24">
        <f t="shared" si="45"/>
        <v>0</v>
      </c>
    </row>
    <row r="76" spans="3:25" x14ac:dyDescent="0.2">
      <c r="C76" s="24" t="s">
        <v>254</v>
      </c>
    </row>
    <row r="77" spans="3:25" x14ac:dyDescent="0.2">
      <c r="C77" s="24" t="s">
        <v>256</v>
      </c>
      <c r="D77" s="25">
        <f t="shared" ref="D77:Y77" si="46">D48</f>
        <v>-52257999.999999993</v>
      </c>
      <c r="E77" s="25">
        <f t="shared" si="46"/>
        <v>-53303159.999999993</v>
      </c>
      <c r="F77" s="25">
        <f t="shared" si="46"/>
        <v>-54369223.200000003</v>
      </c>
      <c r="G77" s="25">
        <f t="shared" si="46"/>
        <v>-55456607.66399999</v>
      </c>
      <c r="H77" s="25">
        <f t="shared" si="46"/>
        <v>-56565739.817279987</v>
      </c>
      <c r="I77" s="25">
        <f t="shared" si="46"/>
        <v>-57697054.613625593</v>
      </c>
      <c r="J77" s="25">
        <f t="shared" si="46"/>
        <v>-58850995.705898106</v>
      </c>
      <c r="K77" s="25">
        <f t="shared" si="46"/>
        <v>-60028015.620016061</v>
      </c>
      <c r="L77" s="25">
        <f t="shared" si="46"/>
        <v>-61228575.932416387</v>
      </c>
      <c r="M77" s="25">
        <f t="shared" si="46"/>
        <v>-62453147.451064706</v>
      </c>
      <c r="N77" s="25">
        <f t="shared" si="46"/>
        <v>-63702210.400086008</v>
      </c>
      <c r="O77" s="25">
        <f t="shared" si="46"/>
        <v>-64976254.608087726</v>
      </c>
      <c r="P77" s="25">
        <f t="shared" si="46"/>
        <v>-66275779.700249486</v>
      </c>
      <c r="Q77" s="25">
        <f t="shared" si="46"/>
        <v>-67601295.294254467</v>
      </c>
      <c r="R77" s="25">
        <f t="shared" si="46"/>
        <v>-68953321.200139567</v>
      </c>
      <c r="S77" s="25">
        <f t="shared" si="46"/>
        <v>-65308645.650989316</v>
      </c>
      <c r="T77" s="25">
        <f t="shared" si="46"/>
        <v>-61490601.751393028</v>
      </c>
      <c r="U77" s="25">
        <f t="shared" si="46"/>
        <v>-52267011.488684073</v>
      </c>
      <c r="V77" s="25">
        <f t="shared" si="46"/>
        <v>-53312351.718457751</v>
      </c>
      <c r="W77" s="25">
        <f t="shared" si="46"/>
        <v>-16313579.625848072</v>
      </c>
      <c r="X77" s="25">
        <f t="shared" si="46"/>
        <v>-11093234.145576689</v>
      </c>
      <c r="Y77" s="25">
        <f t="shared" si="46"/>
        <v>-11315098.828488221</v>
      </c>
    </row>
    <row r="78" spans="3:25" x14ac:dyDescent="0.2">
      <c r="C78" s="24" t="s">
        <v>255</v>
      </c>
      <c r="D78" s="25">
        <f t="shared" ref="D78:Y78" si="47">D46</f>
        <v>-415269873.19999999</v>
      </c>
      <c r="E78" s="25">
        <f t="shared" si="47"/>
        <v>-423575270.66399997</v>
      </c>
      <c r="F78" s="25">
        <f t="shared" si="47"/>
        <v>-432046776.07727998</v>
      </c>
      <c r="G78" s="25">
        <f t="shared" si="47"/>
        <v>-440687711.59882557</v>
      </c>
      <c r="H78" s="25">
        <f t="shared" si="47"/>
        <v>-449501465.83080208</v>
      </c>
      <c r="I78" s="25">
        <f t="shared" si="47"/>
        <v>-458491495.14741814</v>
      </c>
      <c r="J78" s="25">
        <f t="shared" si="47"/>
        <v>-467661325.05036652</v>
      </c>
      <c r="K78" s="25">
        <f t="shared" si="47"/>
        <v>-477014551.55137378</v>
      </c>
      <c r="L78" s="25">
        <f t="shared" si="47"/>
        <v>-486554842.58240128</v>
      </c>
      <c r="M78" s="25">
        <f t="shared" si="47"/>
        <v>-496285939.43404931</v>
      </c>
      <c r="N78" s="25">
        <f t="shared" si="47"/>
        <v>-506211658.22273034</v>
      </c>
      <c r="O78" s="25">
        <f t="shared" si="47"/>
        <v>-516335891.3871848</v>
      </c>
      <c r="P78" s="25">
        <f t="shared" si="47"/>
        <v>-526662609.21492863</v>
      </c>
      <c r="Q78" s="25">
        <f t="shared" si="47"/>
        <v>-537195861.39922714</v>
      </c>
      <c r="R78" s="25">
        <f t="shared" si="47"/>
        <v>-547939778.62721169</v>
      </c>
      <c r="S78" s="25">
        <f t="shared" si="47"/>
        <v>-518977247.4712019</v>
      </c>
      <c r="T78" s="25">
        <f t="shared" si="47"/>
        <v>-488637039.15750086</v>
      </c>
      <c r="U78" s="25">
        <f t="shared" si="47"/>
        <v>-415341483.28387582</v>
      </c>
      <c r="V78" s="25">
        <f t="shared" si="47"/>
        <v>-423648312.94955325</v>
      </c>
      <c r="W78" s="25">
        <f t="shared" si="47"/>
        <v>-129636383.76256329</v>
      </c>
      <c r="X78" s="25">
        <f t="shared" si="47"/>
        <v>-88152740.958543047</v>
      </c>
      <c r="Y78" s="25">
        <f t="shared" si="47"/>
        <v>-89915795.777713895</v>
      </c>
    </row>
    <row r="79" spans="3:25" x14ac:dyDescent="0.2">
      <c r="C79" s="24" t="s">
        <v>254</v>
      </c>
      <c r="D79" s="25">
        <f t="shared" ref="D79:Y79" si="48">-($D$73-$D$82*8-$D$83*6)/22</f>
        <v>-376831272.72727275</v>
      </c>
      <c r="E79" s="25">
        <f t="shared" si="48"/>
        <v>-376831272.72727275</v>
      </c>
      <c r="F79" s="25">
        <f t="shared" si="48"/>
        <v>-376831272.72727275</v>
      </c>
      <c r="G79" s="25">
        <f t="shared" si="48"/>
        <v>-376831272.72727275</v>
      </c>
      <c r="H79" s="25">
        <f t="shared" si="48"/>
        <v>-376831272.72727275</v>
      </c>
      <c r="I79" s="25">
        <f t="shared" si="48"/>
        <v>-376831272.72727275</v>
      </c>
      <c r="J79" s="25">
        <f t="shared" si="48"/>
        <v>-376831272.72727275</v>
      </c>
      <c r="K79" s="25">
        <f t="shared" si="48"/>
        <v>-376831272.72727275</v>
      </c>
      <c r="L79" s="25">
        <f t="shared" si="48"/>
        <v>-376831272.72727275</v>
      </c>
      <c r="M79" s="25">
        <f t="shared" si="48"/>
        <v>-376831272.72727275</v>
      </c>
      <c r="N79" s="25">
        <f t="shared" si="48"/>
        <v>-376831272.72727275</v>
      </c>
      <c r="O79" s="25">
        <f t="shared" si="48"/>
        <v>-376831272.72727275</v>
      </c>
      <c r="P79" s="25">
        <f t="shared" si="48"/>
        <v>-376831272.72727275</v>
      </c>
      <c r="Q79" s="25">
        <f t="shared" si="48"/>
        <v>-376831272.72727275</v>
      </c>
      <c r="R79" s="25">
        <f t="shared" si="48"/>
        <v>-376831272.72727275</v>
      </c>
      <c r="S79" s="25">
        <f t="shared" si="48"/>
        <v>-376831272.72727275</v>
      </c>
      <c r="T79" s="25">
        <f t="shared" si="48"/>
        <v>-376831272.72727275</v>
      </c>
      <c r="U79" s="25">
        <f t="shared" si="48"/>
        <v>-376831272.72727275</v>
      </c>
      <c r="V79" s="25">
        <f t="shared" si="48"/>
        <v>-376831272.72727275</v>
      </c>
      <c r="W79" s="25">
        <f t="shared" si="48"/>
        <v>-376831272.72727275</v>
      </c>
      <c r="X79" s="25">
        <f t="shared" si="48"/>
        <v>-376831272.72727275</v>
      </c>
      <c r="Y79" s="25">
        <f t="shared" si="48"/>
        <v>-376831272.72727275</v>
      </c>
    </row>
    <row r="80" spans="3:25" x14ac:dyDescent="0.2">
      <c r="C80" s="24" t="s">
        <v>253</v>
      </c>
      <c r="D80" s="25">
        <f t="shared" ref="D80:Y80" si="49">D74+D75+D77+D78+D79</f>
        <v>3387522562.2793274</v>
      </c>
      <c r="E80" s="25">
        <f t="shared" si="49"/>
        <v>4864131492.4607267</v>
      </c>
      <c r="F80" s="25">
        <f t="shared" si="49"/>
        <v>5415792958.7526464</v>
      </c>
      <c r="G80" s="25">
        <f t="shared" si="49"/>
        <v>3947317708.0323009</v>
      </c>
      <c r="H80" s="25">
        <f t="shared" si="49"/>
        <v>3459174371.6246452</v>
      </c>
      <c r="I80" s="25">
        <f t="shared" si="49"/>
        <v>1055784527.5116837</v>
      </c>
      <c r="J80" s="25">
        <f t="shared" si="49"/>
        <v>53963806.516462684</v>
      </c>
      <c r="K80" s="25">
        <f t="shared" si="49"/>
        <v>-113838369.89866263</v>
      </c>
      <c r="L80" s="25">
        <f t="shared" si="49"/>
        <v>-124579221.24209046</v>
      </c>
      <c r="M80" s="25">
        <f t="shared" si="49"/>
        <v>76440320.387613237</v>
      </c>
      <c r="N80" s="25">
        <f t="shared" si="49"/>
        <v>331944028.64991093</v>
      </c>
      <c r="O80" s="25">
        <f t="shared" si="49"/>
        <v>-958143418.72254527</v>
      </c>
      <c r="P80" s="25">
        <f t="shared" si="49"/>
        <v>11706363582.077782</v>
      </c>
      <c r="Q80" s="25">
        <f t="shared" si="49"/>
        <v>11694504814.299477</v>
      </c>
      <c r="R80" s="25">
        <f t="shared" si="49"/>
        <v>11682408871.165606</v>
      </c>
      <c r="S80" s="25">
        <f t="shared" si="49"/>
        <v>11715016015.09734</v>
      </c>
      <c r="T80" s="25">
        <f t="shared" si="49"/>
        <v>11749174204.537212</v>
      </c>
      <c r="U80" s="25">
        <f t="shared" si="49"/>
        <v>11831693225.126699</v>
      </c>
      <c r="V80" s="25">
        <f t="shared" si="49"/>
        <v>11822341055.231249</v>
      </c>
      <c r="W80" s="25">
        <f t="shared" si="49"/>
        <v>4230768589.0391979</v>
      </c>
      <c r="X80" s="25">
        <f t="shared" si="49"/>
        <v>2692955968.938529</v>
      </c>
      <c r="Y80" s="25">
        <f t="shared" si="49"/>
        <v>2690971049.4364462</v>
      </c>
    </row>
    <row r="81" spans="3:26" x14ac:dyDescent="0.2">
      <c r="C81" s="24" t="s">
        <v>252</v>
      </c>
      <c r="D81" s="25" t="e">
        <f t="shared" ref="D81:Y81" si="50">D87*1000000+D75+D77+D78+D76+D79</f>
        <v>#REF!</v>
      </c>
      <c r="E81" s="25" t="e">
        <f t="shared" si="50"/>
        <v>#REF!</v>
      </c>
      <c r="F81" s="25" t="e">
        <f t="shared" si="50"/>
        <v>#REF!</v>
      </c>
      <c r="G81" s="25" t="e">
        <f t="shared" si="50"/>
        <v>#REF!</v>
      </c>
      <c r="H81" s="25" t="e">
        <f t="shared" si="50"/>
        <v>#REF!</v>
      </c>
      <c r="I81" s="25" t="e">
        <f t="shared" si="50"/>
        <v>#REF!</v>
      </c>
      <c r="J81" s="25" t="e">
        <f t="shared" si="50"/>
        <v>#REF!</v>
      </c>
      <c r="K81" s="25" t="e">
        <f t="shared" si="50"/>
        <v>#REF!</v>
      </c>
      <c r="L81" s="25" t="e">
        <f t="shared" si="50"/>
        <v>#REF!</v>
      </c>
      <c r="M81" s="25" t="e">
        <f t="shared" si="50"/>
        <v>#REF!</v>
      </c>
      <c r="N81" s="25" t="e">
        <f t="shared" si="50"/>
        <v>#REF!</v>
      </c>
      <c r="O81" s="25" t="e">
        <f t="shared" si="50"/>
        <v>#REF!</v>
      </c>
      <c r="P81" s="25" t="e">
        <f t="shared" si="50"/>
        <v>#REF!</v>
      </c>
      <c r="Q81" s="25" t="e">
        <f t="shared" si="50"/>
        <v>#REF!</v>
      </c>
      <c r="R81" s="25" t="e">
        <f t="shared" si="50"/>
        <v>#REF!</v>
      </c>
      <c r="S81" s="25" t="e">
        <f t="shared" si="50"/>
        <v>#REF!</v>
      </c>
      <c r="T81" s="25" t="e">
        <f t="shared" si="50"/>
        <v>#REF!</v>
      </c>
      <c r="U81" s="25" t="e">
        <f t="shared" si="50"/>
        <v>#REF!</v>
      </c>
      <c r="V81" s="25" t="e">
        <f t="shared" si="50"/>
        <v>#REF!</v>
      </c>
      <c r="W81" s="25" t="e">
        <f t="shared" si="50"/>
        <v>#REF!</v>
      </c>
      <c r="X81" s="25" t="e">
        <f t="shared" si="50"/>
        <v>#REF!</v>
      </c>
      <c r="Y81" s="25" t="e">
        <f t="shared" si="50"/>
        <v>#REF!</v>
      </c>
    </row>
    <row r="82" spans="3:26" x14ac:dyDescent="0.2">
      <c r="C82" s="24" t="s">
        <v>251</v>
      </c>
      <c r="D82" s="25">
        <f>W47/5</f>
        <v>157760000</v>
      </c>
    </row>
    <row r="83" spans="3:26" x14ac:dyDescent="0.2">
      <c r="C83" s="24" t="s">
        <v>250</v>
      </c>
      <c r="D83" s="25">
        <f>T47</f>
        <v>90712000</v>
      </c>
    </row>
    <row r="85" spans="3:26" x14ac:dyDescent="0.2">
      <c r="C85" s="49" t="s">
        <v>0</v>
      </c>
      <c r="D85" s="49">
        <f t="shared" ref="D85:Y85" si="51">D43</f>
        <v>2023</v>
      </c>
      <c r="E85" s="49">
        <f t="shared" si="51"/>
        <v>2024</v>
      </c>
      <c r="F85" s="49">
        <f t="shared" si="51"/>
        <v>2025</v>
      </c>
      <c r="G85" s="49">
        <f t="shared" si="51"/>
        <v>2026</v>
      </c>
      <c r="H85" s="49">
        <f t="shared" si="51"/>
        <v>2027</v>
      </c>
      <c r="I85" s="49">
        <f t="shared" si="51"/>
        <v>2028</v>
      </c>
      <c r="J85" s="49">
        <f t="shared" si="51"/>
        <v>2029</v>
      </c>
      <c r="K85" s="49">
        <f t="shared" si="51"/>
        <v>2030</v>
      </c>
      <c r="L85" s="49">
        <f t="shared" si="51"/>
        <v>2031</v>
      </c>
      <c r="M85" s="49">
        <f t="shared" si="51"/>
        <v>2032</v>
      </c>
      <c r="N85" s="49">
        <f t="shared" si="51"/>
        <v>2033</v>
      </c>
      <c r="O85" s="49">
        <f t="shared" si="51"/>
        <v>2034</v>
      </c>
      <c r="P85" s="49">
        <f t="shared" si="51"/>
        <v>2035</v>
      </c>
      <c r="Q85" s="49">
        <f t="shared" si="51"/>
        <v>2036</v>
      </c>
      <c r="R85" s="49">
        <f t="shared" si="51"/>
        <v>2037</v>
      </c>
      <c r="S85" s="49">
        <f t="shared" si="51"/>
        <v>2038</v>
      </c>
      <c r="T85" s="49">
        <f t="shared" si="51"/>
        <v>2039</v>
      </c>
      <c r="U85" s="49">
        <f t="shared" si="51"/>
        <v>2040</v>
      </c>
      <c r="V85" s="49">
        <f t="shared" si="51"/>
        <v>2041</v>
      </c>
      <c r="W85" s="49">
        <f t="shared" si="51"/>
        <v>2042</v>
      </c>
      <c r="X85" s="49">
        <f t="shared" si="51"/>
        <v>2043</v>
      </c>
      <c r="Y85" s="49">
        <f t="shared" si="51"/>
        <v>2044</v>
      </c>
    </row>
    <row r="86" spans="3:26" x14ac:dyDescent="0.2">
      <c r="C86" s="49" t="s">
        <v>249</v>
      </c>
      <c r="D86" s="48">
        <f t="shared" ref="D86:Y86" si="52">(D44)/1000000</f>
        <v>4231.8817082065998</v>
      </c>
      <c r="E86" s="48">
        <f t="shared" si="52"/>
        <v>5717.8411958519991</v>
      </c>
      <c r="F86" s="48">
        <f t="shared" si="52"/>
        <v>6279.0402307571994</v>
      </c>
      <c r="G86" s="48">
        <f t="shared" si="52"/>
        <v>4820.2933000223993</v>
      </c>
      <c r="H86" s="48">
        <f t="shared" si="52"/>
        <v>4342.0728499999996</v>
      </c>
      <c r="I86" s="48">
        <f t="shared" si="52"/>
        <v>1948.8043500000001</v>
      </c>
      <c r="J86" s="48">
        <f t="shared" si="52"/>
        <v>957.30740000000003</v>
      </c>
      <c r="K86" s="48">
        <f t="shared" si="52"/>
        <v>800.03547000000003</v>
      </c>
      <c r="L86" s="48">
        <f t="shared" si="52"/>
        <v>800.03547000000003</v>
      </c>
      <c r="M86" s="48">
        <f t="shared" si="52"/>
        <v>1012.01068</v>
      </c>
      <c r="N86" s="48">
        <f t="shared" si="52"/>
        <v>1278.6891700000001</v>
      </c>
      <c r="O86" s="48">
        <f t="shared" si="52"/>
        <v>0</v>
      </c>
      <c r="P86" s="48">
        <f t="shared" si="52"/>
        <v>12676.133243720231</v>
      </c>
      <c r="Q86" s="48">
        <f t="shared" si="52"/>
        <v>12676.133243720231</v>
      </c>
      <c r="R86" s="48">
        <f t="shared" si="52"/>
        <v>12676.133243720231</v>
      </c>
      <c r="S86" s="48">
        <f t="shared" si="52"/>
        <v>12676.133180946805</v>
      </c>
      <c r="T86" s="48">
        <f t="shared" si="52"/>
        <v>12676.133118173379</v>
      </c>
      <c r="U86" s="48">
        <f t="shared" si="52"/>
        <v>12676.132992626532</v>
      </c>
      <c r="V86" s="48">
        <f t="shared" si="52"/>
        <v>12676.132992626532</v>
      </c>
      <c r="W86" s="48">
        <f t="shared" si="52"/>
        <v>4753.5498251548825</v>
      </c>
      <c r="X86" s="48">
        <f t="shared" si="52"/>
        <v>3169.0332167699212</v>
      </c>
      <c r="Y86" s="48">
        <f t="shared" si="52"/>
        <v>3169.0332167699212</v>
      </c>
    </row>
    <row r="87" spans="3:26" x14ac:dyDescent="0.2">
      <c r="C87" s="49" t="s">
        <v>248</v>
      </c>
      <c r="D87" s="48" t="e">
        <f>#REF!/1000000</f>
        <v>#REF!</v>
      </c>
      <c r="E87" s="48" t="e">
        <f>#REF!/1000000</f>
        <v>#REF!</v>
      </c>
      <c r="F87" s="48" t="e">
        <f>#REF!/1000000</f>
        <v>#REF!</v>
      </c>
      <c r="G87" s="48" t="e">
        <f>#REF!/1000000</f>
        <v>#REF!</v>
      </c>
      <c r="H87" s="48" t="e">
        <f>#REF!/1000000</f>
        <v>#REF!</v>
      </c>
      <c r="I87" s="48" t="e">
        <f>#REF!/1000000</f>
        <v>#REF!</v>
      </c>
      <c r="J87" s="48" t="e">
        <f>#REF!/1000000</f>
        <v>#REF!</v>
      </c>
      <c r="K87" s="48" t="e">
        <f>#REF!/1000000</f>
        <v>#REF!</v>
      </c>
      <c r="L87" s="48" t="e">
        <f>#REF!/1000000</f>
        <v>#REF!</v>
      </c>
      <c r="M87" s="48" t="e">
        <f>#REF!/1000000</f>
        <v>#REF!</v>
      </c>
      <c r="N87" s="48" t="e">
        <f>#REF!/1000000</f>
        <v>#REF!</v>
      </c>
      <c r="O87" s="48" t="e">
        <f>#REF!/1000000</f>
        <v>#REF!</v>
      </c>
      <c r="P87" s="48" t="e">
        <f>#REF!/1000000</f>
        <v>#REF!</v>
      </c>
      <c r="Q87" s="48" t="e">
        <f>#REF!/1000000</f>
        <v>#REF!</v>
      </c>
      <c r="R87" s="48" t="e">
        <f>#REF!/1000000</f>
        <v>#REF!</v>
      </c>
      <c r="S87" s="48" t="e">
        <f>#REF!/1000000</f>
        <v>#REF!</v>
      </c>
      <c r="T87" s="48" t="e">
        <f>#REF!/1000000</f>
        <v>#REF!</v>
      </c>
      <c r="U87" s="48" t="e">
        <f>#REF!/1000000</f>
        <v>#REF!</v>
      </c>
      <c r="V87" s="48" t="e">
        <f>#REF!/1000000</f>
        <v>#REF!</v>
      </c>
      <c r="W87" s="48" t="e">
        <f>#REF!/1000000</f>
        <v>#REF!</v>
      </c>
      <c r="X87" s="48" t="e">
        <f>#REF!/1000000</f>
        <v>#REF!</v>
      </c>
      <c r="Y87" s="48" t="e">
        <f>#REF!/1000000</f>
        <v>#REF!</v>
      </c>
    </row>
    <row r="88" spans="3:26" x14ac:dyDescent="0.2">
      <c r="C88" s="49" t="str">
        <f>C45</f>
        <v>Renter og avdrag</v>
      </c>
      <c r="D88" s="48">
        <f t="shared" ref="D88:Y88" si="53">(D45)/1000000</f>
        <v>-485.74238266666669</v>
      </c>
      <c r="E88" s="48">
        <f t="shared" si="53"/>
        <v>-485.74238266666669</v>
      </c>
      <c r="F88" s="48">
        <f t="shared" si="53"/>
        <v>-485.74238266666669</v>
      </c>
      <c r="G88" s="48">
        <f t="shared" si="53"/>
        <v>-485.74238266666669</v>
      </c>
      <c r="H88" s="48">
        <f t="shared" si="53"/>
        <v>-485.74238266666669</v>
      </c>
      <c r="I88" s="48">
        <f t="shared" si="53"/>
        <v>-485.74238266666669</v>
      </c>
      <c r="J88" s="48">
        <f t="shared" si="53"/>
        <v>-485.74238266666669</v>
      </c>
      <c r="K88" s="48">
        <f t="shared" si="53"/>
        <v>-485.74238266666669</v>
      </c>
      <c r="L88" s="48">
        <f t="shared" si="53"/>
        <v>-485.74238266666669</v>
      </c>
      <c r="M88" s="48">
        <f t="shared" si="53"/>
        <v>-485.74238266666669</v>
      </c>
      <c r="N88" s="48">
        <f t="shared" si="53"/>
        <v>-485.74238266666669</v>
      </c>
      <c r="O88" s="48">
        <f t="shared" si="53"/>
        <v>-485.74238266666669</v>
      </c>
      <c r="P88" s="48">
        <f t="shared" si="53"/>
        <v>-485.74238266666669</v>
      </c>
      <c r="Q88" s="48">
        <f t="shared" si="53"/>
        <v>-485.74238266666669</v>
      </c>
      <c r="R88" s="48">
        <f t="shared" si="53"/>
        <v>-485.74238266666669</v>
      </c>
      <c r="S88" s="48">
        <f t="shared" si="53"/>
        <v>0</v>
      </c>
      <c r="T88" s="48">
        <f t="shared" si="53"/>
        <v>0</v>
      </c>
      <c r="U88" s="48">
        <f t="shared" si="53"/>
        <v>0</v>
      </c>
      <c r="V88" s="48">
        <f t="shared" si="53"/>
        <v>0</v>
      </c>
      <c r="W88" s="48">
        <f t="shared" si="53"/>
        <v>0</v>
      </c>
      <c r="X88" s="48">
        <f t="shared" si="53"/>
        <v>0</v>
      </c>
      <c r="Y88" s="48">
        <f t="shared" si="53"/>
        <v>0</v>
      </c>
    </row>
    <row r="89" spans="3:26" x14ac:dyDescent="0.2">
      <c r="C89" s="49" t="str">
        <f>C46</f>
        <v>OPEX</v>
      </c>
      <c r="D89" s="48">
        <f t="shared" ref="D89:Y89" si="54">(D46)/1000000</f>
        <v>-415.26987320000001</v>
      </c>
      <c r="E89" s="48">
        <f t="shared" si="54"/>
        <v>-423.57527066399996</v>
      </c>
      <c r="F89" s="48">
        <f t="shared" si="54"/>
        <v>-432.04677607727996</v>
      </c>
      <c r="G89" s="48">
        <f t="shared" si="54"/>
        <v>-440.68771159882556</v>
      </c>
      <c r="H89" s="48">
        <f t="shared" si="54"/>
        <v>-449.50146583080209</v>
      </c>
      <c r="I89" s="48">
        <f t="shared" si="54"/>
        <v>-458.49149514741816</v>
      </c>
      <c r="J89" s="48">
        <f t="shared" si="54"/>
        <v>-467.66132505036654</v>
      </c>
      <c r="K89" s="48">
        <f t="shared" si="54"/>
        <v>-477.01455155137376</v>
      </c>
      <c r="L89" s="48">
        <f t="shared" si="54"/>
        <v>-486.55484258240125</v>
      </c>
      <c r="M89" s="48">
        <f t="shared" si="54"/>
        <v>-496.28593943404928</v>
      </c>
      <c r="N89" s="48">
        <f t="shared" si="54"/>
        <v>-506.21165822273036</v>
      </c>
      <c r="O89" s="48">
        <f t="shared" si="54"/>
        <v>-516.3358913871848</v>
      </c>
      <c r="P89" s="48">
        <f t="shared" si="54"/>
        <v>-526.66260921492858</v>
      </c>
      <c r="Q89" s="48">
        <f t="shared" si="54"/>
        <v>-537.19586139922717</v>
      </c>
      <c r="R89" s="48">
        <f t="shared" si="54"/>
        <v>-547.93977862721169</v>
      </c>
      <c r="S89" s="48">
        <f t="shared" si="54"/>
        <v>-518.97724747120185</v>
      </c>
      <c r="T89" s="48">
        <f t="shared" si="54"/>
        <v>-488.63703915750085</v>
      </c>
      <c r="U89" s="48">
        <f t="shared" si="54"/>
        <v>-415.34148328387585</v>
      </c>
      <c r="V89" s="48">
        <f t="shared" si="54"/>
        <v>-423.64831294955326</v>
      </c>
      <c r="W89" s="48">
        <f t="shared" si="54"/>
        <v>-129.6363837625633</v>
      </c>
      <c r="X89" s="48">
        <f t="shared" si="54"/>
        <v>-88.152740958543049</v>
      </c>
      <c r="Y89" s="48">
        <f t="shared" si="54"/>
        <v>-89.915795777713896</v>
      </c>
    </row>
    <row r="90" spans="3:26" x14ac:dyDescent="0.2">
      <c r="C90" s="49" t="str">
        <f>C47</f>
        <v>Utrangeringsverdi</v>
      </c>
      <c r="D90" s="48">
        <f t="shared" ref="D90:Y90" si="55">(D47)/1000000</f>
        <v>0</v>
      </c>
      <c r="E90" s="48">
        <f t="shared" si="55"/>
        <v>0</v>
      </c>
      <c r="F90" s="48">
        <f t="shared" si="55"/>
        <v>0</v>
      </c>
      <c r="G90" s="48">
        <f t="shared" si="55"/>
        <v>0</v>
      </c>
      <c r="H90" s="48">
        <f t="shared" si="55"/>
        <v>0</v>
      </c>
      <c r="I90" s="48">
        <f t="shared" si="55"/>
        <v>0</v>
      </c>
      <c r="J90" s="48">
        <f t="shared" si="55"/>
        <v>0</v>
      </c>
      <c r="K90" s="48">
        <f t="shared" si="55"/>
        <v>0</v>
      </c>
      <c r="L90" s="48">
        <f t="shared" si="55"/>
        <v>0</v>
      </c>
      <c r="M90" s="48">
        <f t="shared" si="55"/>
        <v>0</v>
      </c>
      <c r="N90" s="48">
        <f t="shared" si="55"/>
        <v>0</v>
      </c>
      <c r="O90" s="48">
        <f t="shared" si="55"/>
        <v>0</v>
      </c>
      <c r="P90" s="48">
        <f t="shared" si="55"/>
        <v>0</v>
      </c>
      <c r="Q90" s="48">
        <f t="shared" si="55"/>
        <v>0</v>
      </c>
      <c r="R90" s="48">
        <f t="shared" si="55"/>
        <v>0</v>
      </c>
      <c r="S90" s="48">
        <f t="shared" si="55"/>
        <v>0</v>
      </c>
      <c r="T90" s="48">
        <f t="shared" si="55"/>
        <v>90.712000000000003</v>
      </c>
      <c r="U90" s="48">
        <f t="shared" si="55"/>
        <v>90.712000000000003</v>
      </c>
      <c r="V90" s="48">
        <f t="shared" si="55"/>
        <v>181.42400000000001</v>
      </c>
      <c r="W90" s="48">
        <f t="shared" si="55"/>
        <v>788.8</v>
      </c>
      <c r="X90" s="48">
        <f t="shared" si="55"/>
        <v>248.47200000000001</v>
      </c>
      <c r="Y90" s="48">
        <f t="shared" si="55"/>
        <v>315.52</v>
      </c>
    </row>
    <row r="91" spans="3:26" x14ac:dyDescent="0.2">
      <c r="C91" s="49" t="str">
        <f>C48</f>
        <v>G og A</v>
      </c>
      <c r="D91" s="48">
        <f t="shared" ref="D91:Y91" si="56">(D48)/1000000</f>
        <v>-52.257999999999996</v>
      </c>
      <c r="E91" s="48">
        <f t="shared" si="56"/>
        <v>-53.303159999999991</v>
      </c>
      <c r="F91" s="48">
        <f t="shared" si="56"/>
        <v>-54.3692232</v>
      </c>
      <c r="G91" s="48">
        <f t="shared" si="56"/>
        <v>-55.456607663999989</v>
      </c>
      <c r="H91" s="48">
        <f t="shared" si="56"/>
        <v>-56.56573981727999</v>
      </c>
      <c r="I91" s="48">
        <f t="shared" si="56"/>
        <v>-57.697054613625596</v>
      </c>
      <c r="J91" s="48">
        <f t="shared" si="56"/>
        <v>-58.850995705898107</v>
      </c>
      <c r="K91" s="48">
        <f t="shared" si="56"/>
        <v>-60.028015620016063</v>
      </c>
      <c r="L91" s="48">
        <f t="shared" si="56"/>
        <v>-61.228575932416383</v>
      </c>
      <c r="M91" s="48">
        <f t="shared" si="56"/>
        <v>-62.453147451064709</v>
      </c>
      <c r="N91" s="48">
        <f t="shared" si="56"/>
        <v>-63.70221040008601</v>
      </c>
      <c r="O91" s="48">
        <f t="shared" si="56"/>
        <v>-64.976254608087729</v>
      </c>
      <c r="P91" s="48">
        <f t="shared" si="56"/>
        <v>-66.275779700249487</v>
      </c>
      <c r="Q91" s="48">
        <f t="shared" si="56"/>
        <v>-67.60129529425447</v>
      </c>
      <c r="R91" s="48">
        <f t="shared" si="56"/>
        <v>-68.95332120013957</v>
      </c>
      <c r="S91" s="48">
        <f t="shared" si="56"/>
        <v>-65.30864565098932</v>
      </c>
      <c r="T91" s="48">
        <f t="shared" si="56"/>
        <v>-61.490601751393029</v>
      </c>
      <c r="U91" s="48">
        <f t="shared" si="56"/>
        <v>-52.267011488684076</v>
      </c>
      <c r="V91" s="48">
        <f t="shared" si="56"/>
        <v>-53.312351718457748</v>
      </c>
      <c r="W91" s="48">
        <f t="shared" si="56"/>
        <v>-16.313579625848071</v>
      </c>
      <c r="X91" s="48">
        <f t="shared" si="56"/>
        <v>-11.093234145576689</v>
      </c>
      <c r="Y91" s="48">
        <f t="shared" si="56"/>
        <v>-11.315098828488221</v>
      </c>
    </row>
    <row r="92" spans="3:26" ht="17" thickBot="1" x14ac:dyDescent="0.25">
      <c r="C92" s="47" t="s">
        <v>246</v>
      </c>
      <c r="D92" s="46">
        <f t="shared" ref="D92:Y92" si="57">D86+D88+D89+D90+D91</f>
        <v>3278.6114523399333</v>
      </c>
      <c r="E92" s="46">
        <f t="shared" si="57"/>
        <v>4755.2203825213328</v>
      </c>
      <c r="F92" s="46">
        <f t="shared" si="57"/>
        <v>5306.8818488132529</v>
      </c>
      <c r="G92" s="46">
        <f t="shared" si="57"/>
        <v>3838.4065980929076</v>
      </c>
      <c r="H92" s="46">
        <f t="shared" si="57"/>
        <v>3350.2632616852507</v>
      </c>
      <c r="I92" s="46">
        <f t="shared" si="57"/>
        <v>946.87341757228978</v>
      </c>
      <c r="J92" s="46">
        <f t="shared" si="57"/>
        <v>-54.947303422931306</v>
      </c>
      <c r="K92" s="46">
        <f t="shared" si="57"/>
        <v>-222.74947983805646</v>
      </c>
      <c r="L92" s="46">
        <f t="shared" si="57"/>
        <v>-233.49033118148429</v>
      </c>
      <c r="M92" s="46">
        <f t="shared" si="57"/>
        <v>-32.470789551780697</v>
      </c>
      <c r="N92" s="46">
        <f t="shared" si="57"/>
        <v>223.03291871051704</v>
      </c>
      <c r="O92" s="46">
        <f t="shared" si="57"/>
        <v>-1067.0545286619392</v>
      </c>
      <c r="P92" s="46">
        <f t="shared" si="57"/>
        <v>11597.452472138386</v>
      </c>
      <c r="Q92" s="46">
        <f t="shared" si="57"/>
        <v>11585.593704360082</v>
      </c>
      <c r="R92" s="46">
        <f t="shared" si="57"/>
        <v>11573.497761226214</v>
      </c>
      <c r="S92" s="46">
        <f t="shared" si="57"/>
        <v>12091.847287824612</v>
      </c>
      <c r="T92" s="46">
        <f t="shared" si="57"/>
        <v>12216.717477264485</v>
      </c>
      <c r="U92" s="46">
        <f t="shared" si="57"/>
        <v>12299.236497853972</v>
      </c>
      <c r="V92" s="46">
        <f t="shared" si="57"/>
        <v>12380.596327958521</v>
      </c>
      <c r="W92" s="46">
        <f t="shared" si="57"/>
        <v>5396.3998617664711</v>
      </c>
      <c r="X92" s="46">
        <f t="shared" si="57"/>
        <v>3318.2592416658017</v>
      </c>
      <c r="Y92" s="46">
        <f t="shared" si="57"/>
        <v>3383.322322163719</v>
      </c>
      <c r="Z92" s="25">
        <f>SUM(D92:Y92)</f>
        <v>115931.50040130156</v>
      </c>
    </row>
    <row r="93" spans="3:26" ht="18" thickTop="1" thickBot="1" x14ac:dyDescent="0.25">
      <c r="C93" s="51" t="s">
        <v>247</v>
      </c>
      <c r="D93" s="50" t="e">
        <f t="shared" ref="D93:Y93" si="58">D87+D88+D89+D90+D91</f>
        <v>#REF!</v>
      </c>
      <c r="E93" s="50" t="e">
        <f t="shared" si="58"/>
        <v>#REF!</v>
      </c>
      <c r="F93" s="50" t="e">
        <f t="shared" si="58"/>
        <v>#REF!</v>
      </c>
      <c r="G93" s="50" t="e">
        <f t="shared" si="58"/>
        <v>#REF!</v>
      </c>
      <c r="H93" s="50" t="e">
        <f t="shared" si="58"/>
        <v>#REF!</v>
      </c>
      <c r="I93" s="50" t="e">
        <f t="shared" si="58"/>
        <v>#REF!</v>
      </c>
      <c r="J93" s="50" t="e">
        <f t="shared" si="58"/>
        <v>#REF!</v>
      </c>
      <c r="K93" s="50" t="e">
        <f t="shared" si="58"/>
        <v>#REF!</v>
      </c>
      <c r="L93" s="50" t="e">
        <f t="shared" si="58"/>
        <v>#REF!</v>
      </c>
      <c r="M93" s="50" t="e">
        <f t="shared" si="58"/>
        <v>#REF!</v>
      </c>
      <c r="N93" s="50" t="e">
        <f t="shared" si="58"/>
        <v>#REF!</v>
      </c>
      <c r="O93" s="50" t="e">
        <f t="shared" si="58"/>
        <v>#REF!</v>
      </c>
      <c r="P93" s="50" t="e">
        <f t="shared" si="58"/>
        <v>#REF!</v>
      </c>
      <c r="Q93" s="50" t="e">
        <f t="shared" si="58"/>
        <v>#REF!</v>
      </c>
      <c r="R93" s="50" t="e">
        <f t="shared" si="58"/>
        <v>#REF!</v>
      </c>
      <c r="S93" s="50" t="e">
        <f t="shared" si="58"/>
        <v>#REF!</v>
      </c>
      <c r="T93" s="50" t="e">
        <f t="shared" si="58"/>
        <v>#REF!</v>
      </c>
      <c r="U93" s="50" t="e">
        <f t="shared" si="58"/>
        <v>#REF!</v>
      </c>
      <c r="V93" s="50" t="e">
        <f t="shared" si="58"/>
        <v>#REF!</v>
      </c>
      <c r="W93" s="50" t="e">
        <f t="shared" si="58"/>
        <v>#REF!</v>
      </c>
      <c r="X93" s="50" t="e">
        <f t="shared" si="58"/>
        <v>#REF!</v>
      </c>
      <c r="Y93" s="50" t="e">
        <f t="shared" si="58"/>
        <v>#REF!</v>
      </c>
      <c r="Z93" s="25"/>
    </row>
    <row r="94" spans="3:26" ht="17" thickTop="1" x14ac:dyDescent="0.2">
      <c r="C94" s="43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25"/>
    </row>
    <row r="96" spans="3:26" x14ac:dyDescent="0.2">
      <c r="N96" s="49" t="s">
        <v>0</v>
      </c>
      <c r="O96" s="49">
        <f t="shared" ref="O96:Y96" si="59">O85</f>
        <v>2034</v>
      </c>
      <c r="P96" s="49">
        <f t="shared" si="59"/>
        <v>2035</v>
      </c>
      <c r="Q96" s="49">
        <f t="shared" si="59"/>
        <v>2036</v>
      </c>
      <c r="R96" s="49">
        <f t="shared" si="59"/>
        <v>2037</v>
      </c>
      <c r="S96" s="49">
        <f t="shared" si="59"/>
        <v>2038</v>
      </c>
      <c r="T96" s="49">
        <f t="shared" si="59"/>
        <v>2039</v>
      </c>
      <c r="U96" s="49">
        <f t="shared" si="59"/>
        <v>2040</v>
      </c>
      <c r="V96" s="49">
        <f t="shared" si="59"/>
        <v>2041</v>
      </c>
      <c r="W96" s="49">
        <f t="shared" si="59"/>
        <v>2042</v>
      </c>
      <c r="X96" s="49">
        <f t="shared" si="59"/>
        <v>2043</v>
      </c>
      <c r="Y96" s="49">
        <f t="shared" si="59"/>
        <v>2044</v>
      </c>
    </row>
    <row r="97" spans="3:25" x14ac:dyDescent="0.2">
      <c r="N97" s="49" t="str">
        <f t="shared" ref="N97:N102" si="60">C86</f>
        <v>TCE inntekter scenario 1</v>
      </c>
      <c r="O97" s="48">
        <f t="shared" ref="O97:Y97" si="61">O86</f>
        <v>0</v>
      </c>
      <c r="P97" s="48">
        <f t="shared" si="61"/>
        <v>12676.133243720231</v>
      </c>
      <c r="Q97" s="48">
        <f t="shared" si="61"/>
        <v>12676.133243720231</v>
      </c>
      <c r="R97" s="48">
        <f t="shared" si="61"/>
        <v>12676.133243720231</v>
      </c>
      <c r="S97" s="48">
        <f t="shared" si="61"/>
        <v>12676.133180946805</v>
      </c>
      <c r="T97" s="48">
        <f t="shared" si="61"/>
        <v>12676.133118173379</v>
      </c>
      <c r="U97" s="48">
        <f t="shared" si="61"/>
        <v>12676.132992626532</v>
      </c>
      <c r="V97" s="48">
        <f t="shared" si="61"/>
        <v>12676.132992626532</v>
      </c>
      <c r="W97" s="48">
        <f t="shared" si="61"/>
        <v>4753.5498251548825</v>
      </c>
      <c r="X97" s="48">
        <f t="shared" si="61"/>
        <v>3169.0332167699212</v>
      </c>
      <c r="Y97" s="48">
        <f t="shared" si="61"/>
        <v>3169.0332167699212</v>
      </c>
    </row>
    <row r="98" spans="3:25" x14ac:dyDescent="0.2">
      <c r="N98" s="49" t="str">
        <f t="shared" si="60"/>
        <v>TCE inntekter scenario 2</v>
      </c>
      <c r="O98" s="48" t="e">
        <f t="shared" ref="O98:Y98" si="62">O87</f>
        <v>#REF!</v>
      </c>
      <c r="P98" s="48" t="e">
        <f t="shared" si="62"/>
        <v>#REF!</v>
      </c>
      <c r="Q98" s="48" t="e">
        <f t="shared" si="62"/>
        <v>#REF!</v>
      </c>
      <c r="R98" s="48" t="e">
        <f t="shared" si="62"/>
        <v>#REF!</v>
      </c>
      <c r="S98" s="48" t="e">
        <f t="shared" si="62"/>
        <v>#REF!</v>
      </c>
      <c r="T98" s="48" t="e">
        <f t="shared" si="62"/>
        <v>#REF!</v>
      </c>
      <c r="U98" s="48" t="e">
        <f t="shared" si="62"/>
        <v>#REF!</v>
      </c>
      <c r="V98" s="48" t="e">
        <f t="shared" si="62"/>
        <v>#REF!</v>
      </c>
      <c r="W98" s="48" t="e">
        <f t="shared" si="62"/>
        <v>#REF!</v>
      </c>
      <c r="X98" s="48" t="e">
        <f t="shared" si="62"/>
        <v>#REF!</v>
      </c>
      <c r="Y98" s="48" t="e">
        <f t="shared" si="62"/>
        <v>#REF!</v>
      </c>
    </row>
    <row r="99" spans="3:25" x14ac:dyDescent="0.2">
      <c r="N99" s="49" t="str">
        <f t="shared" si="60"/>
        <v>Renter og avdrag</v>
      </c>
      <c r="O99" s="48">
        <f t="shared" ref="O99:Y99" si="63">O88</f>
        <v>-485.74238266666669</v>
      </c>
      <c r="P99" s="48">
        <f t="shared" si="63"/>
        <v>-485.74238266666669</v>
      </c>
      <c r="Q99" s="48">
        <f t="shared" si="63"/>
        <v>-485.74238266666669</v>
      </c>
      <c r="R99" s="48">
        <f t="shared" si="63"/>
        <v>-485.74238266666669</v>
      </c>
      <c r="S99" s="48">
        <f t="shared" si="63"/>
        <v>0</v>
      </c>
      <c r="T99" s="48">
        <f t="shared" si="63"/>
        <v>0</v>
      </c>
      <c r="U99" s="48">
        <f t="shared" si="63"/>
        <v>0</v>
      </c>
      <c r="V99" s="48">
        <f t="shared" si="63"/>
        <v>0</v>
      </c>
      <c r="W99" s="48">
        <f t="shared" si="63"/>
        <v>0</v>
      </c>
      <c r="X99" s="48">
        <f t="shared" si="63"/>
        <v>0</v>
      </c>
      <c r="Y99" s="48">
        <f t="shared" si="63"/>
        <v>0</v>
      </c>
    </row>
    <row r="100" spans="3:25" x14ac:dyDescent="0.2">
      <c r="N100" s="49" t="str">
        <f t="shared" si="60"/>
        <v>OPEX</v>
      </c>
      <c r="O100" s="48">
        <f t="shared" ref="O100:Y100" si="64">O89</f>
        <v>-516.3358913871848</v>
      </c>
      <c r="P100" s="48">
        <f t="shared" si="64"/>
        <v>-526.66260921492858</v>
      </c>
      <c r="Q100" s="48">
        <f t="shared" si="64"/>
        <v>-537.19586139922717</v>
      </c>
      <c r="R100" s="48">
        <f t="shared" si="64"/>
        <v>-547.93977862721169</v>
      </c>
      <c r="S100" s="48">
        <f t="shared" si="64"/>
        <v>-518.97724747120185</v>
      </c>
      <c r="T100" s="48">
        <f t="shared" si="64"/>
        <v>-488.63703915750085</v>
      </c>
      <c r="U100" s="48">
        <f t="shared" si="64"/>
        <v>-415.34148328387585</v>
      </c>
      <c r="V100" s="48">
        <f t="shared" si="64"/>
        <v>-423.64831294955326</v>
      </c>
      <c r="W100" s="48">
        <f t="shared" si="64"/>
        <v>-129.6363837625633</v>
      </c>
      <c r="X100" s="48">
        <f t="shared" si="64"/>
        <v>-88.152740958543049</v>
      </c>
      <c r="Y100" s="48">
        <f t="shared" si="64"/>
        <v>-89.915795777713896</v>
      </c>
    </row>
    <row r="101" spans="3:25" x14ac:dyDescent="0.2">
      <c r="N101" s="49" t="str">
        <f t="shared" si="60"/>
        <v>Utrangeringsverdi</v>
      </c>
      <c r="O101" s="48">
        <f t="shared" ref="O101:Y101" si="65">O90</f>
        <v>0</v>
      </c>
      <c r="P101" s="48">
        <f t="shared" si="65"/>
        <v>0</v>
      </c>
      <c r="Q101" s="48">
        <f t="shared" si="65"/>
        <v>0</v>
      </c>
      <c r="R101" s="48">
        <f t="shared" si="65"/>
        <v>0</v>
      </c>
      <c r="S101" s="48">
        <f t="shared" si="65"/>
        <v>0</v>
      </c>
      <c r="T101" s="48">
        <f t="shared" si="65"/>
        <v>90.712000000000003</v>
      </c>
      <c r="U101" s="48">
        <f t="shared" si="65"/>
        <v>90.712000000000003</v>
      </c>
      <c r="V101" s="48">
        <f t="shared" si="65"/>
        <v>181.42400000000001</v>
      </c>
      <c r="W101" s="48">
        <f t="shared" si="65"/>
        <v>788.8</v>
      </c>
      <c r="X101" s="48">
        <f t="shared" si="65"/>
        <v>248.47200000000001</v>
      </c>
      <c r="Y101" s="48">
        <f t="shared" si="65"/>
        <v>315.52</v>
      </c>
    </row>
    <row r="102" spans="3:25" x14ac:dyDescent="0.2">
      <c r="N102" s="49" t="str">
        <f t="shared" si="60"/>
        <v>G og A</v>
      </c>
      <c r="O102" s="48">
        <f t="shared" ref="O102:Y102" si="66">O91</f>
        <v>-64.976254608087729</v>
      </c>
      <c r="P102" s="48">
        <f t="shared" si="66"/>
        <v>-66.275779700249487</v>
      </c>
      <c r="Q102" s="48">
        <f t="shared" si="66"/>
        <v>-67.60129529425447</v>
      </c>
      <c r="R102" s="48">
        <f t="shared" si="66"/>
        <v>-68.95332120013957</v>
      </c>
      <c r="S102" s="48">
        <f t="shared" si="66"/>
        <v>-65.30864565098932</v>
      </c>
      <c r="T102" s="48">
        <f t="shared" si="66"/>
        <v>-61.490601751393029</v>
      </c>
      <c r="U102" s="48">
        <f t="shared" si="66"/>
        <v>-52.267011488684076</v>
      </c>
      <c r="V102" s="48">
        <f t="shared" si="66"/>
        <v>-53.312351718457748</v>
      </c>
      <c r="W102" s="48">
        <f t="shared" si="66"/>
        <v>-16.313579625848071</v>
      </c>
      <c r="X102" s="48">
        <f t="shared" si="66"/>
        <v>-11.093234145576689</v>
      </c>
      <c r="Y102" s="48">
        <f t="shared" si="66"/>
        <v>-11.315098828488221</v>
      </c>
    </row>
    <row r="103" spans="3:25" ht="17" thickBot="1" x14ac:dyDescent="0.25">
      <c r="N103" s="47" t="s">
        <v>246</v>
      </c>
      <c r="O103" s="46">
        <f t="shared" ref="O103:Y103" si="67">O92</f>
        <v>-1067.0545286619392</v>
      </c>
      <c r="P103" s="46">
        <f t="shared" si="67"/>
        <v>11597.452472138386</v>
      </c>
      <c r="Q103" s="46">
        <f t="shared" si="67"/>
        <v>11585.593704360082</v>
      </c>
      <c r="R103" s="46">
        <f t="shared" si="67"/>
        <v>11573.497761226214</v>
      </c>
      <c r="S103" s="46">
        <f t="shared" si="67"/>
        <v>12091.847287824612</v>
      </c>
      <c r="T103" s="46">
        <f t="shared" si="67"/>
        <v>12216.717477264485</v>
      </c>
      <c r="U103" s="46">
        <f t="shared" si="67"/>
        <v>12299.236497853972</v>
      </c>
      <c r="V103" s="46">
        <f t="shared" si="67"/>
        <v>12380.596327958521</v>
      </c>
      <c r="W103" s="46">
        <f t="shared" si="67"/>
        <v>5396.3998617664711</v>
      </c>
      <c r="X103" s="46">
        <f t="shared" si="67"/>
        <v>3318.2592416658017</v>
      </c>
      <c r="Y103" s="46">
        <f t="shared" si="67"/>
        <v>3383.322322163719</v>
      </c>
    </row>
    <row r="104" spans="3:25" ht="18" thickTop="1" thickBot="1" x14ac:dyDescent="0.25">
      <c r="N104" s="45" t="s">
        <v>245</v>
      </c>
      <c r="O104" s="44">
        <f t="shared" ref="O104:Y104" si="68">O103</f>
        <v>-1067.0545286619392</v>
      </c>
      <c r="P104" s="44">
        <f t="shared" si="68"/>
        <v>11597.452472138386</v>
      </c>
      <c r="Q104" s="44">
        <f t="shared" si="68"/>
        <v>11585.593704360082</v>
      </c>
      <c r="R104" s="44">
        <f t="shared" si="68"/>
        <v>11573.497761226214</v>
      </c>
      <c r="S104" s="44">
        <f t="shared" si="68"/>
        <v>12091.847287824612</v>
      </c>
      <c r="T104" s="44">
        <f t="shared" si="68"/>
        <v>12216.717477264485</v>
      </c>
      <c r="U104" s="44">
        <f t="shared" si="68"/>
        <v>12299.236497853972</v>
      </c>
      <c r="V104" s="44">
        <f t="shared" si="68"/>
        <v>12380.596327958521</v>
      </c>
      <c r="W104" s="44">
        <f t="shared" si="68"/>
        <v>5396.3998617664711</v>
      </c>
      <c r="X104" s="44">
        <f t="shared" si="68"/>
        <v>3318.2592416658017</v>
      </c>
      <c r="Y104" s="44">
        <f t="shared" si="68"/>
        <v>3383.322322163719</v>
      </c>
    </row>
    <row r="105" spans="3:25" ht="17" thickTop="1" x14ac:dyDescent="0.2">
      <c r="N105" s="43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3:25" x14ac:dyDescent="0.2">
      <c r="C106" s="24" t="s">
        <v>0</v>
      </c>
      <c r="D106" s="95" t="s">
        <v>291</v>
      </c>
      <c r="E106" s="95" t="s">
        <v>292</v>
      </c>
      <c r="F106" s="95" t="s">
        <v>293</v>
      </c>
      <c r="G106" s="95" t="s">
        <v>294</v>
      </c>
      <c r="H106" s="95" t="s">
        <v>295</v>
      </c>
      <c r="I106" s="95" t="s">
        <v>296</v>
      </c>
      <c r="J106" s="95" t="s">
        <v>297</v>
      </c>
      <c r="K106" s="95" t="s">
        <v>298</v>
      </c>
      <c r="L106" s="95" t="s">
        <v>299</v>
      </c>
      <c r="M106" s="95" t="s">
        <v>300</v>
      </c>
      <c r="N106" s="95" t="s">
        <v>301</v>
      </c>
      <c r="O106" s="95" t="s">
        <v>302</v>
      </c>
      <c r="P106" s="95" t="s">
        <v>303</v>
      </c>
      <c r="Q106" s="95" t="s">
        <v>304</v>
      </c>
      <c r="R106" s="95" t="s">
        <v>305</v>
      </c>
      <c r="S106" s="95" t="s">
        <v>306</v>
      </c>
      <c r="T106" s="95" t="s">
        <v>307</v>
      </c>
      <c r="U106" s="95" t="s">
        <v>308</v>
      </c>
      <c r="V106" s="95" t="s">
        <v>309</v>
      </c>
      <c r="W106" s="95" t="s">
        <v>310</v>
      </c>
      <c r="X106" s="95" t="s">
        <v>311</v>
      </c>
      <c r="Y106" s="95" t="s">
        <v>312</v>
      </c>
    </row>
    <row r="107" spans="3:25" x14ac:dyDescent="0.2">
      <c r="C107" s="24" t="s">
        <v>244</v>
      </c>
      <c r="D107" s="24">
        <v>2</v>
      </c>
      <c r="E107" s="41">
        <v>4</v>
      </c>
      <c r="F107" s="24">
        <v>3</v>
      </c>
      <c r="G107" s="24">
        <v>1</v>
      </c>
      <c r="H107" s="24">
        <v>3</v>
      </c>
      <c r="I107" s="24">
        <v>2</v>
      </c>
      <c r="J107" s="24">
        <v>4</v>
      </c>
      <c r="K107" s="24">
        <v>3</v>
      </c>
      <c r="L107" s="24">
        <v>1</v>
      </c>
      <c r="M107" s="24">
        <v>3</v>
      </c>
      <c r="N107" s="24">
        <v>2</v>
      </c>
      <c r="O107" s="24">
        <v>5</v>
      </c>
      <c r="P107" s="24">
        <v>4</v>
      </c>
      <c r="Q107" s="24">
        <v>3</v>
      </c>
      <c r="R107" s="24">
        <v>7</v>
      </c>
      <c r="S107" s="24">
        <v>5</v>
      </c>
      <c r="T107" s="24">
        <v>4</v>
      </c>
      <c r="U107" s="24">
        <v>5</v>
      </c>
      <c r="W107" s="24">
        <v>2</v>
      </c>
    </row>
    <row r="108" spans="3:25" x14ac:dyDescent="0.2">
      <c r="C108" s="95" t="s">
        <v>374</v>
      </c>
      <c r="D108" s="24">
        <f>D107*1.5</f>
        <v>3</v>
      </c>
      <c r="E108" s="24">
        <f>E107*1.5</f>
        <v>6</v>
      </c>
      <c r="F108" s="24">
        <f>F107*1.5</f>
        <v>4.5</v>
      </c>
      <c r="G108" s="24">
        <f>G107*2</f>
        <v>2</v>
      </c>
      <c r="H108" s="24">
        <f>1.5*2+2*1</f>
        <v>5</v>
      </c>
      <c r="I108" s="24">
        <f>2*I107</f>
        <v>4</v>
      </c>
      <c r="J108" s="24">
        <f>2*J107</f>
        <v>8</v>
      </c>
      <c r="K108" s="24">
        <f>2*K107</f>
        <v>6</v>
      </c>
      <c r="L108" s="24">
        <v>2.5</v>
      </c>
      <c r="M108" s="24">
        <f>2*2+1*2.5</f>
        <v>6.5</v>
      </c>
      <c r="N108" s="24">
        <f>N107*2.5</f>
        <v>5</v>
      </c>
      <c r="O108" s="24">
        <f>3.25+2.5*4</f>
        <v>13.25</v>
      </c>
      <c r="P108" s="24">
        <f>2.5*3+1*3.25</f>
        <v>10.75</v>
      </c>
      <c r="Q108" s="24">
        <f>4+3.25*2</f>
        <v>10.5</v>
      </c>
      <c r="R108" s="24">
        <f>4+2*2.5+4*3.25</f>
        <v>22</v>
      </c>
      <c r="S108" s="24">
        <f>3*3.25+8</f>
        <v>17.75</v>
      </c>
      <c r="T108" s="24">
        <f>T107*4</f>
        <v>16</v>
      </c>
      <c r="U108" s="24">
        <f>2*3.25+3*4</f>
        <v>18.5</v>
      </c>
      <c r="W108" s="24">
        <v>8</v>
      </c>
    </row>
    <row r="109" spans="3:25" x14ac:dyDescent="0.2">
      <c r="C109" s="24" t="s">
        <v>313</v>
      </c>
    </row>
    <row r="110" spans="3:25" x14ac:dyDescent="0.2">
      <c r="C110" s="61" t="s">
        <v>0</v>
      </c>
      <c r="D110" s="61">
        <v>2023</v>
      </c>
      <c r="E110" s="61">
        <v>2024</v>
      </c>
      <c r="F110" s="61">
        <v>2025</v>
      </c>
      <c r="G110" s="61">
        <v>2026</v>
      </c>
      <c r="H110" s="61">
        <v>2027</v>
      </c>
      <c r="I110" s="61">
        <v>2028</v>
      </c>
      <c r="J110" s="61">
        <v>2029</v>
      </c>
      <c r="K110" s="61">
        <v>2030</v>
      </c>
      <c r="L110" s="61">
        <v>2031</v>
      </c>
      <c r="M110" s="61">
        <v>2032</v>
      </c>
      <c r="N110" s="61">
        <v>2033</v>
      </c>
      <c r="O110" s="61">
        <v>2034</v>
      </c>
      <c r="P110" s="61">
        <v>2035</v>
      </c>
      <c r="Q110" s="61">
        <v>2036</v>
      </c>
      <c r="R110" s="61">
        <v>2037</v>
      </c>
      <c r="S110" s="61">
        <v>2038</v>
      </c>
      <c r="T110" s="61">
        <v>2039</v>
      </c>
      <c r="U110" s="61">
        <v>2040</v>
      </c>
      <c r="V110" s="61">
        <v>2041</v>
      </c>
      <c r="W110" s="61">
        <v>2042</v>
      </c>
      <c r="X110" s="61">
        <v>2043</v>
      </c>
      <c r="Y110" s="61">
        <v>2044</v>
      </c>
    </row>
    <row r="111" spans="3:25" x14ac:dyDescent="0.2">
      <c r="C111" s="61" t="s">
        <v>214</v>
      </c>
      <c r="D111" s="61">
        <v>42500</v>
      </c>
      <c r="E111" s="61">
        <v>42500</v>
      </c>
      <c r="F111" s="61">
        <v>42500</v>
      </c>
      <c r="G111" s="63"/>
      <c r="H111" s="63">
        <v>31930</v>
      </c>
      <c r="I111" s="63">
        <v>31369</v>
      </c>
      <c r="J111" s="63">
        <v>30809</v>
      </c>
      <c r="K111" s="63">
        <v>30249</v>
      </c>
      <c r="L111" s="63">
        <v>29689</v>
      </c>
      <c r="M111" s="63">
        <v>29129</v>
      </c>
      <c r="N111" s="63">
        <v>28569</v>
      </c>
      <c r="O111" s="63">
        <v>28008</v>
      </c>
      <c r="P111" s="63">
        <v>27448</v>
      </c>
      <c r="Q111" s="63">
        <v>26888</v>
      </c>
      <c r="R111" s="63">
        <v>26328</v>
      </c>
      <c r="S111" s="63">
        <v>25768</v>
      </c>
      <c r="T111" s="63">
        <v>25208</v>
      </c>
      <c r="U111" s="63">
        <v>24647</v>
      </c>
      <c r="V111" s="63">
        <v>24087</v>
      </c>
      <c r="W111" s="63">
        <v>23527</v>
      </c>
      <c r="X111" s="63">
        <v>22967</v>
      </c>
      <c r="Y111" s="63">
        <v>22407</v>
      </c>
    </row>
    <row r="112" spans="3:25" x14ac:dyDescent="0.2">
      <c r="C112" s="61" t="s">
        <v>215</v>
      </c>
      <c r="D112" s="61">
        <v>49500</v>
      </c>
      <c r="E112" s="61">
        <v>49500</v>
      </c>
      <c r="F112" s="61">
        <v>49500</v>
      </c>
      <c r="G112" s="63"/>
      <c r="H112" s="63">
        <v>41628</v>
      </c>
      <c r="I112" s="63">
        <v>40897</v>
      </c>
      <c r="J112" s="63">
        <v>40167</v>
      </c>
      <c r="K112" s="63">
        <v>39437</v>
      </c>
      <c r="L112" s="63">
        <v>38706</v>
      </c>
      <c r="M112" s="63">
        <v>37976</v>
      </c>
      <c r="N112" s="63">
        <v>37246</v>
      </c>
      <c r="O112" s="63">
        <v>36515</v>
      </c>
      <c r="P112" s="63">
        <v>35785</v>
      </c>
      <c r="Q112" s="63">
        <v>35055</v>
      </c>
      <c r="R112" s="63">
        <v>34325</v>
      </c>
      <c r="S112" s="63">
        <v>33594</v>
      </c>
      <c r="T112" s="63">
        <v>32864</v>
      </c>
      <c r="U112" s="63">
        <v>32134</v>
      </c>
      <c r="V112" s="63">
        <v>31403</v>
      </c>
      <c r="W112" s="63">
        <v>30673</v>
      </c>
      <c r="X112" s="63">
        <v>29943</v>
      </c>
      <c r="Y112" s="63">
        <v>29212</v>
      </c>
    </row>
    <row r="113" spans="3:25" x14ac:dyDescent="0.2">
      <c r="C113" s="24" t="s">
        <v>314</v>
      </c>
    </row>
    <row r="116" spans="3:25" x14ac:dyDescent="0.2">
      <c r="C116" s="24" t="str">
        <f>C106</f>
        <v>År</v>
      </c>
      <c r="D116" s="24" t="str">
        <f t="shared" ref="D116:Y116" si="69">D106</f>
        <v>E2023</v>
      </c>
      <c r="E116" s="24" t="str">
        <f t="shared" si="69"/>
        <v>E2024</v>
      </c>
      <c r="F116" s="24" t="str">
        <f t="shared" si="69"/>
        <v>E2025</v>
      </c>
      <c r="G116" s="24" t="str">
        <f t="shared" si="69"/>
        <v>E2026</v>
      </c>
      <c r="H116" s="24" t="str">
        <f t="shared" si="69"/>
        <v>E2027</v>
      </c>
      <c r="I116" s="24" t="str">
        <f t="shared" si="69"/>
        <v>E2028</v>
      </c>
      <c r="J116" s="24" t="str">
        <f t="shared" si="69"/>
        <v>E2029</v>
      </c>
      <c r="K116" s="24" t="str">
        <f t="shared" si="69"/>
        <v>E2030</v>
      </c>
      <c r="L116" s="24" t="str">
        <f t="shared" si="69"/>
        <v>E2031</v>
      </c>
      <c r="M116" s="24" t="str">
        <f t="shared" si="69"/>
        <v>E2032</v>
      </c>
      <c r="N116" s="24" t="str">
        <f t="shared" si="69"/>
        <v>E2033</v>
      </c>
      <c r="O116" s="24" t="str">
        <f t="shared" si="69"/>
        <v>E2034</v>
      </c>
      <c r="P116" s="24" t="str">
        <f t="shared" si="69"/>
        <v>E2035</v>
      </c>
      <c r="Q116" s="24" t="str">
        <f t="shared" si="69"/>
        <v>E2036</v>
      </c>
      <c r="R116" s="24" t="str">
        <f t="shared" si="69"/>
        <v>E2037</v>
      </c>
      <c r="S116" s="24" t="str">
        <f t="shared" si="69"/>
        <v>E2038</v>
      </c>
      <c r="T116" s="24" t="str">
        <f t="shared" si="69"/>
        <v>E2039</v>
      </c>
      <c r="U116" s="24" t="str">
        <f t="shared" si="69"/>
        <v>E2040</v>
      </c>
      <c r="V116" s="24" t="str">
        <f t="shared" si="69"/>
        <v>E2041</v>
      </c>
      <c r="W116" s="24" t="str">
        <f t="shared" si="69"/>
        <v>E2042</v>
      </c>
      <c r="X116" s="24" t="str">
        <f t="shared" si="69"/>
        <v>E2043</v>
      </c>
      <c r="Y116" s="24" t="str">
        <f t="shared" si="69"/>
        <v>E2044</v>
      </c>
    </row>
    <row r="117" spans="3:25" x14ac:dyDescent="0.2">
      <c r="C117" s="24" t="str">
        <f>C108</f>
        <v>Tørrdokk M USD</v>
      </c>
      <c r="D117" s="24">
        <f>D108*9.86</f>
        <v>29.58</v>
      </c>
      <c r="E117" s="24">
        <f t="shared" ref="E117:Y117" si="70">E108*9.86</f>
        <v>59.16</v>
      </c>
      <c r="F117" s="24">
        <f t="shared" si="70"/>
        <v>44.37</v>
      </c>
      <c r="G117" s="24">
        <f t="shared" si="70"/>
        <v>19.72</v>
      </c>
      <c r="H117" s="24">
        <f t="shared" si="70"/>
        <v>49.3</v>
      </c>
      <c r="I117" s="24">
        <f t="shared" si="70"/>
        <v>39.44</v>
      </c>
      <c r="J117" s="24">
        <f t="shared" si="70"/>
        <v>78.88</v>
      </c>
      <c r="K117" s="24">
        <f t="shared" si="70"/>
        <v>59.16</v>
      </c>
      <c r="L117" s="24">
        <f t="shared" si="70"/>
        <v>24.65</v>
      </c>
      <c r="M117" s="24">
        <f t="shared" si="70"/>
        <v>64.09</v>
      </c>
      <c r="N117" s="24">
        <f t="shared" si="70"/>
        <v>49.3</v>
      </c>
      <c r="O117" s="24">
        <f t="shared" si="70"/>
        <v>130.64499999999998</v>
      </c>
      <c r="P117" s="24">
        <f t="shared" si="70"/>
        <v>105.99499999999999</v>
      </c>
      <c r="Q117" s="24">
        <f t="shared" si="70"/>
        <v>103.53</v>
      </c>
      <c r="R117" s="24">
        <f t="shared" si="70"/>
        <v>216.92</v>
      </c>
      <c r="S117" s="24">
        <f t="shared" si="70"/>
        <v>175.01499999999999</v>
      </c>
      <c r="T117" s="24">
        <f t="shared" si="70"/>
        <v>157.76</v>
      </c>
      <c r="U117" s="24">
        <f t="shared" si="70"/>
        <v>182.41</v>
      </c>
      <c r="V117" s="24">
        <f t="shared" si="70"/>
        <v>0</v>
      </c>
      <c r="W117" s="24">
        <f t="shared" si="70"/>
        <v>78.88</v>
      </c>
      <c r="X117" s="24">
        <f t="shared" si="70"/>
        <v>0</v>
      </c>
      <c r="Y117" s="24">
        <f t="shared" si="70"/>
        <v>0</v>
      </c>
    </row>
  </sheetData>
  <phoneticPr fontId="7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32077-C74F-4BEA-80BE-A8FC87F1F520}">
  <dimension ref="B2:J49"/>
  <sheetViews>
    <sheetView zoomScale="90" zoomScaleNormal="90" workbookViewId="0">
      <selection activeCell="J4" sqref="J4"/>
    </sheetView>
  </sheetViews>
  <sheetFormatPr baseColWidth="10" defaultRowHeight="15" x14ac:dyDescent="0.2"/>
  <cols>
    <col min="2" max="2" width="15.6640625" bestFit="1" customWidth="1"/>
    <col min="3" max="5" width="13.5" bestFit="1" customWidth="1"/>
    <col min="6" max="6" width="14.5" bestFit="1" customWidth="1"/>
    <col min="7" max="7" width="13.5" bestFit="1" customWidth="1"/>
    <col min="8" max="8" width="12.5" bestFit="1" customWidth="1"/>
  </cols>
  <sheetData>
    <row r="2" spans="2:10" x14ac:dyDescent="0.2">
      <c r="B2" s="98" t="s">
        <v>14</v>
      </c>
      <c r="C2" s="98"/>
      <c r="D2" s="98"/>
      <c r="E2" s="98"/>
      <c r="F2" s="98"/>
      <c r="G2" s="98"/>
    </row>
    <row r="3" spans="2:10" x14ac:dyDescent="0.2">
      <c r="B3" s="19" t="s">
        <v>0</v>
      </c>
      <c r="C3" s="19">
        <v>2018</v>
      </c>
      <c r="D3" s="19">
        <v>2019</v>
      </c>
      <c r="E3" s="19">
        <v>2020</v>
      </c>
      <c r="F3" s="19">
        <v>2021</v>
      </c>
      <c r="G3" s="20">
        <v>2022</v>
      </c>
      <c r="I3" t="s">
        <v>119</v>
      </c>
      <c r="J3">
        <v>9.86</v>
      </c>
    </row>
    <row r="4" spans="2:10" x14ac:dyDescent="0.2">
      <c r="B4" s="1" t="s">
        <v>10</v>
      </c>
      <c r="C4" s="3">
        <f>638184964*J3</f>
        <v>6292503745.04</v>
      </c>
      <c r="D4" s="3">
        <f>1068461368*J3</f>
        <v>10535029088.48</v>
      </c>
      <c r="E4" s="3">
        <f>1205815865*J3</f>
        <v>11889344428.9</v>
      </c>
      <c r="F4" s="3">
        <f>892023423*J3</f>
        <v>8795350950.7799988</v>
      </c>
      <c r="G4" s="3">
        <f>1028938258*J3</f>
        <v>10145331223.879999</v>
      </c>
    </row>
    <row r="5" spans="2:10" x14ac:dyDescent="0.2">
      <c r="B5" s="1" t="s">
        <v>11</v>
      </c>
      <c r="C5" s="3">
        <f>316369773*J3</f>
        <v>3119405961.7799997</v>
      </c>
      <c r="D5" s="3">
        <f>341694303*J3</f>
        <v>3369105827.5799999</v>
      </c>
      <c r="E5" s="3">
        <f>397228193*J3</f>
        <v>3916669982.9799995</v>
      </c>
      <c r="F5" s="3">
        <f>358292858*J3</f>
        <v>3532767579.8799996</v>
      </c>
      <c r="G5" s="3">
        <f>422243261*J3</f>
        <v>4163318553.4599996</v>
      </c>
    </row>
    <row r="6" spans="2:10" x14ac:dyDescent="0.2">
      <c r="B6" s="1" t="s">
        <v>12</v>
      </c>
      <c r="C6" s="3">
        <f>317802753*J3</f>
        <v>3133535144.5799999</v>
      </c>
      <c r="D6" s="3">
        <f>683729450*J3</f>
        <v>6741572377</v>
      </c>
      <c r="E6" s="3">
        <f>760396029*J3</f>
        <v>7497504845.9399996</v>
      </c>
      <c r="F6" s="3">
        <f>534800753*J3</f>
        <v>5273135424.5799999</v>
      </c>
      <c r="G6" s="3">
        <f>668260400*J3</f>
        <v>6589047544</v>
      </c>
    </row>
    <row r="7" spans="2:10" x14ac:dyDescent="0.2">
      <c r="B7" s="1" t="s">
        <v>13</v>
      </c>
      <c r="C7" s="4">
        <f>C4/(C5+C6)</f>
        <v>1.0063270448269153</v>
      </c>
      <c r="D7" s="4">
        <f>D4/(D5+D6)</f>
        <v>1.0419705657042644</v>
      </c>
      <c r="E7" s="4">
        <f>E4/(E5+E6)</f>
        <v>1.0416297811363524</v>
      </c>
      <c r="F7" s="4">
        <f>F4/(F5+F6)</f>
        <v>0.99880170680114733</v>
      </c>
      <c r="G7" s="8">
        <f>G4/(G5+G6)</f>
        <v>0.94354406573606175</v>
      </c>
      <c r="H7" s="9"/>
    </row>
    <row r="10" spans="2:10" x14ac:dyDescent="0.2">
      <c r="B10" s="98" t="s">
        <v>27</v>
      </c>
      <c r="C10" s="98"/>
      <c r="D10" s="98"/>
      <c r="E10" s="98"/>
      <c r="F10" s="98"/>
      <c r="G10" s="98"/>
    </row>
    <row r="11" spans="2:10" x14ac:dyDescent="0.2">
      <c r="B11" s="19" t="s">
        <v>0</v>
      </c>
      <c r="C11" s="19">
        <v>2018</v>
      </c>
      <c r="D11" s="19">
        <v>2019</v>
      </c>
      <c r="E11" s="19">
        <v>2020</v>
      </c>
      <c r="F11" s="19">
        <v>2021</v>
      </c>
      <c r="G11" s="20">
        <v>2022</v>
      </c>
    </row>
    <row r="12" spans="2:10" x14ac:dyDescent="0.2">
      <c r="B12" s="1" t="s">
        <v>10</v>
      </c>
      <c r="C12" s="3">
        <f>1670533000*J3</f>
        <v>16471455380</v>
      </c>
      <c r="D12" s="3">
        <f>1608932000*J3</f>
        <v>15864069520</v>
      </c>
      <c r="E12" s="3">
        <f>1503710000*J3</f>
        <v>14826580600</v>
      </c>
      <c r="F12" s="3">
        <f>1477391000*J3</f>
        <v>14567075260</v>
      </c>
      <c r="G12" s="3">
        <f>1272885000*J3</f>
        <v>12550646100</v>
      </c>
    </row>
    <row r="13" spans="2:10" x14ac:dyDescent="0.2">
      <c r="B13" s="1" t="s">
        <v>11</v>
      </c>
      <c r="C13" s="3">
        <f>'Egenkapitalprosent '!C11</f>
        <v>8496046479.999999</v>
      </c>
      <c r="D13" s="3">
        <f>'Egenkapitalprosent '!D11</f>
        <v>9193947140</v>
      </c>
      <c r="E13" s="3">
        <f>'Egenkapitalprosent '!E11</f>
        <v>10934148400</v>
      </c>
      <c r="F13" s="3">
        <f>'Egenkapitalprosent '!F11</f>
        <v>10326959740</v>
      </c>
      <c r="G13" s="3">
        <f>'Egenkapitalprosent '!G11</f>
        <v>10535193080</v>
      </c>
    </row>
    <row r="14" spans="2:10" x14ac:dyDescent="0.2">
      <c r="B14" s="1" t="s">
        <v>12</v>
      </c>
      <c r="C14" s="3">
        <f>878489000*J3</f>
        <v>8661901540</v>
      </c>
      <c r="D14" s="3">
        <f>764530000*J3</f>
        <v>7538265800</v>
      </c>
      <c r="E14" s="3">
        <f>465120000*J3</f>
        <v>4586083200</v>
      </c>
      <c r="F14" s="3">
        <f>520059000*J3</f>
        <v>5127781740</v>
      </c>
      <c r="G14" s="3">
        <f>370614000*J3</f>
        <v>3654254040</v>
      </c>
    </row>
    <row r="15" spans="2:10" x14ac:dyDescent="0.2">
      <c r="B15" s="1" t="s">
        <v>13</v>
      </c>
      <c r="C15" s="4">
        <f>C12/(C13+C14)</f>
        <v>0.95998981701076402</v>
      </c>
      <c r="D15" s="4">
        <f>D12/(D13+D14)</f>
        <v>0.94811544515282742</v>
      </c>
      <c r="E15" s="4">
        <f>E12/(E13+E14)</f>
        <v>0.95530665921248237</v>
      </c>
      <c r="F15" s="4">
        <f>F12/(F13+F14)</f>
        <v>0.94256350252453402</v>
      </c>
      <c r="G15" s="4">
        <f>G12/(G13+G14)</f>
        <v>0.88450564661606068</v>
      </c>
    </row>
    <row r="18" spans="2:7" x14ac:dyDescent="0.2">
      <c r="B18" s="98" t="s">
        <v>28</v>
      </c>
      <c r="C18" s="98"/>
      <c r="D18" s="98"/>
      <c r="E18" s="98"/>
      <c r="F18" s="98"/>
      <c r="G18" s="98"/>
    </row>
    <row r="19" spans="2:7" x14ac:dyDescent="0.2">
      <c r="B19" s="19" t="s">
        <v>0</v>
      </c>
      <c r="C19" s="19">
        <v>2018</v>
      </c>
      <c r="D19" s="19">
        <v>2019</v>
      </c>
      <c r="E19" s="19">
        <v>2020</v>
      </c>
      <c r="F19" s="19">
        <v>2021</v>
      </c>
      <c r="G19" s="20">
        <v>2022</v>
      </c>
    </row>
    <row r="20" spans="2:7" x14ac:dyDescent="0.2">
      <c r="B20" s="1" t="s">
        <v>10</v>
      </c>
      <c r="C20" s="3">
        <f>3606210000*J3</f>
        <v>35557230600</v>
      </c>
      <c r="D20" s="3">
        <f>3362594000*J3</f>
        <v>33155176839.999996</v>
      </c>
      <c r="E20" s="3">
        <f>3235366000*J3</f>
        <v>31900708760</v>
      </c>
      <c r="F20" s="3">
        <f>3309116000*J3</f>
        <v>32627883760</v>
      </c>
      <c r="G20" s="3">
        <f>3362014000*J3</f>
        <v>33149458039.999996</v>
      </c>
    </row>
    <row r="21" spans="2:7" x14ac:dyDescent="0.2">
      <c r="B21" s="1" t="s">
        <v>11</v>
      </c>
      <c r="C21" s="3">
        <f>'Egenkapitalprosent '!C18</f>
        <v>22288756780</v>
      </c>
      <c r="D21" s="3">
        <f>'Egenkapitalprosent '!D18</f>
        <v>22794890300</v>
      </c>
      <c r="E21" s="3">
        <f>'Egenkapitalprosent '!E18</f>
        <v>22794209960</v>
      </c>
      <c r="F21" s="3">
        <f>'Egenkapitalprosent '!F18</f>
        <v>19331338520</v>
      </c>
      <c r="G21" s="3">
        <f>'Egenkapitalprosent '!G18</f>
        <v>21430364900</v>
      </c>
    </row>
    <row r="22" spans="2:7" x14ac:dyDescent="0.2">
      <c r="B22" s="1" t="s">
        <v>12</v>
      </c>
      <c r="C22" s="3">
        <f>1579706000*J3</f>
        <v>15575901160</v>
      </c>
      <c r="D22" s="3">
        <f>1536938000*J3</f>
        <v>15154208680</v>
      </c>
      <c r="E22" s="3">
        <f>1171859000*J3</f>
        <v>11554529740</v>
      </c>
      <c r="F22" s="3">
        <f>1486908000*J3</f>
        <v>14660912880</v>
      </c>
      <c r="G22" s="3">
        <f>1541270000*J3</f>
        <v>15196922200</v>
      </c>
    </row>
    <row r="23" spans="2:7" x14ac:dyDescent="0.2">
      <c r="B23" s="1" t="s">
        <v>13</v>
      </c>
      <c r="C23" s="4">
        <f>C20/(C21+C22)</f>
        <v>0.93906118619488577</v>
      </c>
      <c r="D23" s="4">
        <f>D20/(D21+D22)</f>
        <v>0.8736749417284847</v>
      </c>
      <c r="E23" s="4">
        <f>E20/(E21+E22)</f>
        <v>0.9287301088371519</v>
      </c>
      <c r="F23" s="4">
        <f>F20/(F21+F22)</f>
        <v>0.95986239263928252</v>
      </c>
      <c r="G23" s="4">
        <f>G20/(G21+G22)</f>
        <v>0.9050481393692954</v>
      </c>
    </row>
    <row r="26" spans="2:7" x14ac:dyDescent="0.2">
      <c r="B26" s="98" t="s">
        <v>29</v>
      </c>
      <c r="C26" s="98"/>
      <c r="D26" s="98"/>
      <c r="E26" s="98"/>
      <c r="F26" s="98"/>
      <c r="G26" s="98"/>
    </row>
    <row r="27" spans="2:7" x14ac:dyDescent="0.2">
      <c r="B27" s="19" t="s">
        <v>0</v>
      </c>
      <c r="C27" s="19">
        <v>2018</v>
      </c>
      <c r="D27" s="19">
        <v>2019</v>
      </c>
      <c r="E27" s="19">
        <v>2020</v>
      </c>
      <c r="F27" s="19">
        <v>2021</v>
      </c>
      <c r="G27" s="20">
        <v>2022</v>
      </c>
    </row>
    <row r="28" spans="2:7" x14ac:dyDescent="0.2">
      <c r="B28" s="1" t="s">
        <v>10</v>
      </c>
      <c r="C28" s="3">
        <f>958166000*J3</f>
        <v>9447516760</v>
      </c>
      <c r="D28" s="3">
        <f>901531000*J3</f>
        <v>8889095660</v>
      </c>
      <c r="E28" s="3">
        <f>874825000*J3</f>
        <v>8625774500</v>
      </c>
      <c r="F28" s="3">
        <f>744044000*J3</f>
        <v>7336273840</v>
      </c>
      <c r="G28" s="3">
        <f>737221000*J3</f>
        <v>7268999060</v>
      </c>
    </row>
    <row r="29" spans="2:7" x14ac:dyDescent="0.2">
      <c r="B29" s="1" t="s">
        <v>11</v>
      </c>
      <c r="C29" s="3">
        <f>'Egenkapitalprosent '!C25</f>
        <v>5936025660</v>
      </c>
      <c r="D29" s="3">
        <f>'Egenkapitalprosent '!D25</f>
        <v>5870880640</v>
      </c>
      <c r="E29" s="3">
        <f>'Egenkapitalprosent '!E25</f>
        <v>5907382360</v>
      </c>
      <c r="F29" s="3">
        <f>'Egenkapitalprosent '!F25</f>
        <v>4912478780</v>
      </c>
      <c r="G29" s="3">
        <f>'Egenkapitalprosent '!G25</f>
        <v>5324222520</v>
      </c>
    </row>
    <row r="30" spans="2:7" x14ac:dyDescent="0.2">
      <c r="B30" s="1" t="s">
        <v>12</v>
      </c>
      <c r="C30" s="3">
        <f>432790000*J3</f>
        <v>4267309399.9999995</v>
      </c>
      <c r="D30" s="3">
        <f>376451000*J3</f>
        <v>3711806860</v>
      </c>
      <c r="E30" s="3">
        <f>335542000*J3</f>
        <v>3308444120</v>
      </c>
      <c r="F30" s="3">
        <f>285284000*J3</f>
        <v>2812900240</v>
      </c>
      <c r="G30" s="3">
        <f>267487000*J3</f>
        <v>2637421820</v>
      </c>
    </row>
    <row r="31" spans="2:7" x14ac:dyDescent="0.2">
      <c r="B31" s="1" t="s">
        <v>13</v>
      </c>
      <c r="C31" s="4">
        <f>C28/(C29+C30)</f>
        <v>0.92592438692295576</v>
      </c>
      <c r="D31" s="4">
        <f>D28/(D29+D30)</f>
        <v>0.92762032154340834</v>
      </c>
      <c r="E31" s="4">
        <f>E28/(E29+E30)</f>
        <v>0.93597405709834935</v>
      </c>
      <c r="F31" s="4">
        <f>F28/(F29+F30)</f>
        <v>0.9496328686278489</v>
      </c>
      <c r="G31" s="4">
        <f>G28/(G29+G30)</f>
        <v>0.91300223290305882</v>
      </c>
    </row>
    <row r="34" spans="2:8" x14ac:dyDescent="0.2">
      <c r="B34" s="98" t="s">
        <v>30</v>
      </c>
      <c r="C34" s="98"/>
      <c r="D34" s="98"/>
      <c r="E34" s="98"/>
      <c r="F34" s="98"/>
      <c r="G34" s="98"/>
    </row>
    <row r="35" spans="2:8" x14ac:dyDescent="0.2">
      <c r="B35" s="19" t="s">
        <v>0</v>
      </c>
      <c r="C35" s="19">
        <v>2018</v>
      </c>
      <c r="D35" s="19">
        <v>2019</v>
      </c>
      <c r="E35" s="19">
        <v>2020</v>
      </c>
      <c r="F35" s="19">
        <v>2021</v>
      </c>
      <c r="G35" s="20">
        <v>2022</v>
      </c>
    </row>
    <row r="36" spans="2:8" x14ac:dyDescent="0.2">
      <c r="B36" s="1" t="s">
        <v>10</v>
      </c>
      <c r="C36" s="3">
        <f>(3077841000-308245000)*J3</f>
        <v>27308216560</v>
      </c>
      <c r="D36" s="3">
        <f>(3697818000-448488000)*J3</f>
        <v>32038393800</v>
      </c>
      <c r="E36" s="3">
        <f>(3911533000-378319000)*J3</f>
        <v>34837490040</v>
      </c>
      <c r="F36" s="3">
        <f>(4106597000-332745000)*J3</f>
        <v>37210180720</v>
      </c>
      <c r="G36" s="3">
        <f>(4768443000-881050000)*J3</f>
        <v>38329694980</v>
      </c>
    </row>
    <row r="37" spans="2:8" x14ac:dyDescent="0.2">
      <c r="B37" s="1" t="s">
        <v>11</v>
      </c>
      <c r="C37" s="3">
        <f>'Egenkapitalprosent '!C32</f>
        <v>11475068000</v>
      </c>
      <c r="D37" s="3">
        <f>'Egenkapitalprosent '!D32</f>
        <v>14888363360</v>
      </c>
      <c r="E37" s="3">
        <f>'Egenkapitalprosent '!E32</f>
        <v>15894566500</v>
      </c>
      <c r="F37" s="3">
        <f>'Egenkapitalprosent '!F32</f>
        <v>16195178180</v>
      </c>
      <c r="G37" s="3">
        <f>'Egenkapitalprosent '!G32</f>
        <v>22287258060</v>
      </c>
    </row>
    <row r="38" spans="2:8" x14ac:dyDescent="0.2">
      <c r="B38" s="1" t="s">
        <v>12</v>
      </c>
      <c r="C38" s="3">
        <f>(1913624000-214218000)*J3</f>
        <v>16756143159.999998</v>
      </c>
      <c r="D38" s="3">
        <f>(2187610000-848123000)*J3</f>
        <v>13207341820</v>
      </c>
      <c r="E38" s="3">
        <f>(2306668000-322100000)*J3</f>
        <v>19567840480</v>
      </c>
      <c r="F38" s="3">
        <f>(2464556000-287002000)*J3</f>
        <v>21470682440</v>
      </c>
      <c r="G38" s="3">
        <f>(2508544000-391659000)*J3</f>
        <v>20872486100</v>
      </c>
    </row>
    <row r="39" spans="2:8" x14ac:dyDescent="0.2">
      <c r="B39" s="1" t="s">
        <v>13</v>
      </c>
      <c r="C39" s="4">
        <f>C36/(C37+C38)</f>
        <v>0.96730588019164532</v>
      </c>
      <c r="D39" s="4">
        <f>D36/(D37+D38)</f>
        <v>1.1403306517754397</v>
      </c>
      <c r="E39" s="4">
        <f>E36/(E37+E38)</f>
        <v>0.98237804499980952</v>
      </c>
      <c r="F39" s="4">
        <f>F36/(F37+F38)</f>
        <v>0.9879020446500022</v>
      </c>
      <c r="G39" s="4">
        <f>G36/(G37+G38)</f>
        <v>0.88808902198089401</v>
      </c>
    </row>
    <row r="41" spans="2:8" x14ac:dyDescent="0.2">
      <c r="B41" s="98" t="s">
        <v>13</v>
      </c>
      <c r="C41" s="98"/>
      <c r="D41" s="98"/>
      <c r="E41" s="98"/>
      <c r="F41" s="98"/>
      <c r="G41" s="98"/>
      <c r="H41" s="98"/>
    </row>
    <row r="42" spans="2:8" x14ac:dyDescent="0.2">
      <c r="B42" s="19" t="s">
        <v>0</v>
      </c>
      <c r="C42" s="19">
        <v>2018</v>
      </c>
      <c r="D42" s="19">
        <v>2019</v>
      </c>
      <c r="E42" s="19">
        <v>2020</v>
      </c>
      <c r="F42" s="19">
        <v>2021</v>
      </c>
      <c r="G42" s="19">
        <v>2022</v>
      </c>
      <c r="H42" s="19" t="s">
        <v>25</v>
      </c>
    </row>
    <row r="43" spans="2:8" x14ac:dyDescent="0.2">
      <c r="B43" s="1" t="s">
        <v>15</v>
      </c>
      <c r="C43" s="4">
        <f>C7</f>
        <v>1.0063270448269153</v>
      </c>
      <c r="D43" s="4">
        <f>D7</f>
        <v>1.0419705657042644</v>
      </c>
      <c r="E43" s="4">
        <f>E7</f>
        <v>1.0416297811363524</v>
      </c>
      <c r="F43" s="4">
        <f>F7</f>
        <v>0.99880170680114733</v>
      </c>
      <c r="G43" s="4">
        <f>G7</f>
        <v>0.94354406573606175</v>
      </c>
      <c r="H43" s="4">
        <f>AVERAGE(C43:G43)</f>
        <v>1.0064546328409483</v>
      </c>
    </row>
    <row r="44" spans="2:8" x14ac:dyDescent="0.2">
      <c r="B44" s="1" t="s">
        <v>16</v>
      </c>
      <c r="C44" s="4">
        <f>(C7+C15+C23+C31+C39)/5</f>
        <v>0.95972166302943318</v>
      </c>
      <c r="D44" s="4">
        <f>(D7+D15+D23+D31+D39)/5</f>
        <v>0.98634238518088502</v>
      </c>
      <c r="E44" s="4">
        <f>(E7+E15+E23+E31+E39)/5</f>
        <v>0.9688037302568292</v>
      </c>
      <c r="F44" s="4">
        <f>(F7+F15+F23+F31+F39)/5</f>
        <v>0.96775250304856308</v>
      </c>
      <c r="G44" s="4">
        <f>(G7+G15+G23+G31+G39)/5</f>
        <v>0.90683782132107404</v>
      </c>
      <c r="H44" s="4">
        <f>AVERAGE(C44:G44)</f>
        <v>0.95789162056735688</v>
      </c>
    </row>
    <row r="47" spans="2:8" x14ac:dyDescent="0.2">
      <c r="B47" s="99" t="s">
        <v>172</v>
      </c>
      <c r="C47" s="99"/>
    </row>
    <row r="48" spans="2:8" x14ac:dyDescent="0.2">
      <c r="B48" s="1" t="s">
        <v>15</v>
      </c>
      <c r="C48" s="4">
        <f>H43</f>
        <v>1.0064546328409483</v>
      </c>
    </row>
    <row r="49" spans="2:3" x14ac:dyDescent="0.2">
      <c r="B49" s="1" t="s">
        <v>16</v>
      </c>
      <c r="C49" s="4">
        <f>H44</f>
        <v>0.95789162056735688</v>
      </c>
    </row>
  </sheetData>
  <mergeCells count="7">
    <mergeCell ref="B47:C47"/>
    <mergeCell ref="B2:G2"/>
    <mergeCell ref="B10:G10"/>
    <mergeCell ref="B18:G18"/>
    <mergeCell ref="B26:G26"/>
    <mergeCell ref="B34:G34"/>
    <mergeCell ref="B41:H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93B9-D789-4BD9-BFF4-5FA6B3A1F794}">
  <dimension ref="A2:B5"/>
  <sheetViews>
    <sheetView workbookViewId="0">
      <selection activeCell="B2" sqref="B2"/>
    </sheetView>
  </sheetViews>
  <sheetFormatPr baseColWidth="10" defaultRowHeight="15" x14ac:dyDescent="0.2"/>
  <cols>
    <col min="1" max="1" width="27.5" bestFit="1" customWidth="1"/>
  </cols>
  <sheetData>
    <row r="2" spans="1:2" x14ac:dyDescent="0.2">
      <c r="A2" t="s">
        <v>31</v>
      </c>
      <c r="B2" s="12">
        <f>B3+B4*B5</f>
        <v>5.5160000000000001E-2</v>
      </c>
    </row>
    <row r="3" spans="1:2" x14ac:dyDescent="0.2">
      <c r="A3" t="s">
        <v>32</v>
      </c>
      <c r="B3" s="11">
        <v>2.9659999999999999E-2</v>
      </c>
    </row>
    <row r="4" spans="1:2" x14ac:dyDescent="0.2">
      <c r="A4" t="s">
        <v>33</v>
      </c>
      <c r="B4">
        <v>0.51</v>
      </c>
    </row>
    <row r="5" spans="1:2" x14ac:dyDescent="0.2">
      <c r="A5" t="s">
        <v>34</v>
      </c>
      <c r="B5" s="10">
        <f>5%</f>
        <v>0.05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9F2F-B9FE-4ED7-8E6B-6FD32BDB27A1}">
  <dimension ref="A1:F15"/>
  <sheetViews>
    <sheetView workbookViewId="0">
      <selection activeCell="F3" sqref="F3"/>
    </sheetView>
  </sheetViews>
  <sheetFormatPr baseColWidth="10" defaultRowHeight="15" x14ac:dyDescent="0.2"/>
  <cols>
    <col min="2" max="2" width="17.1640625" bestFit="1" customWidth="1"/>
    <col min="3" max="3" width="12.1640625" bestFit="1" customWidth="1"/>
  </cols>
  <sheetData>
    <row r="1" spans="1:6" x14ac:dyDescent="0.2">
      <c r="A1" s="6"/>
      <c r="B1" s="6"/>
      <c r="C1" s="6"/>
      <c r="D1" s="6"/>
    </row>
    <row r="2" spans="1:6" x14ac:dyDescent="0.2">
      <c r="A2" s="6"/>
      <c r="B2" s="6" t="s">
        <v>83</v>
      </c>
      <c r="C2" s="17" t="e">
        <f>C3*C4+C6*(1-C7)*C5</f>
        <v>#REF!</v>
      </c>
      <c r="D2" s="6"/>
      <c r="E2" t="s">
        <v>119</v>
      </c>
      <c r="F2">
        <v>9.86</v>
      </c>
    </row>
    <row r="3" spans="1:6" x14ac:dyDescent="0.2">
      <c r="A3" s="6"/>
      <c r="B3" s="6" t="s">
        <v>82</v>
      </c>
      <c r="C3" s="17">
        <f>CAPM!B2</f>
        <v>5.5160000000000001E-2</v>
      </c>
      <c r="D3" s="6"/>
    </row>
    <row r="4" spans="1:6" x14ac:dyDescent="0.2">
      <c r="A4" s="6"/>
      <c r="B4" s="6" t="s">
        <v>9</v>
      </c>
      <c r="C4" s="17" t="e">
        <f>#REF!</f>
        <v>#REF!</v>
      </c>
      <c r="D4" s="6"/>
    </row>
    <row r="5" spans="1:6" x14ac:dyDescent="0.2">
      <c r="A5" s="6"/>
      <c r="B5" s="6" t="s">
        <v>84</v>
      </c>
      <c r="C5" s="17" t="e">
        <f>#REF!</f>
        <v>#REF!</v>
      </c>
      <c r="D5" s="6"/>
    </row>
    <row r="6" spans="1:6" x14ac:dyDescent="0.2">
      <c r="A6" s="6"/>
      <c r="B6" s="6" t="s">
        <v>85</v>
      </c>
      <c r="C6" s="17">
        <f>Gjeldsrente!F39</f>
        <v>0</v>
      </c>
      <c r="D6" s="6"/>
    </row>
    <row r="7" spans="1:6" x14ac:dyDescent="0.2">
      <c r="A7" s="6"/>
      <c r="B7" s="6" t="s">
        <v>86</v>
      </c>
      <c r="C7" s="17">
        <v>0.22</v>
      </c>
      <c r="D7" s="6"/>
    </row>
    <row r="8" spans="1:6" x14ac:dyDescent="0.2">
      <c r="A8" s="6"/>
      <c r="B8" s="6"/>
      <c r="C8" s="6"/>
      <c r="D8" s="6"/>
    </row>
    <row r="9" spans="1:6" x14ac:dyDescent="0.2">
      <c r="A9" s="6"/>
      <c r="B9" s="6" t="s">
        <v>120</v>
      </c>
      <c r="C9" s="6">
        <f>35077293*F2</f>
        <v>345862108.97999996</v>
      </c>
      <c r="D9" s="6"/>
    </row>
    <row r="10" spans="1:6" x14ac:dyDescent="0.2">
      <c r="A10" s="6"/>
      <c r="B10" s="6" t="s">
        <v>121</v>
      </c>
      <c r="C10" s="6">
        <f>761111981*F2</f>
        <v>7504564132.6599998</v>
      </c>
      <c r="D10" s="6"/>
    </row>
    <row r="11" spans="1:6" x14ac:dyDescent="0.2">
      <c r="A11" s="6"/>
      <c r="B11" s="6" t="s">
        <v>85</v>
      </c>
      <c r="C11" s="17">
        <f>C9/C10</f>
        <v>4.6086901632941178E-2</v>
      </c>
      <c r="D11" s="6"/>
    </row>
    <row r="12" spans="1:6" x14ac:dyDescent="0.2">
      <c r="A12" s="6"/>
      <c r="B12" s="6"/>
      <c r="C12" s="6"/>
      <c r="D12" s="6"/>
    </row>
    <row r="13" spans="1:6" x14ac:dyDescent="0.2">
      <c r="A13" s="6"/>
      <c r="B13" s="6"/>
      <c r="C13" s="6"/>
      <c r="D13" s="6"/>
    </row>
    <row r="14" spans="1:6" x14ac:dyDescent="0.2">
      <c r="A14" s="6"/>
      <c r="B14" s="6"/>
      <c r="C14" s="6"/>
      <c r="D14" s="6"/>
    </row>
    <row r="15" spans="1:6" x14ac:dyDescent="0.2">
      <c r="A15" s="6"/>
      <c r="B15" s="6"/>
      <c r="C15" s="6"/>
      <c r="D15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5A533-D16C-41E0-A65E-8E61725AEF7A}">
  <dimension ref="B2:H39"/>
  <sheetViews>
    <sheetView topLeftCell="A2" workbookViewId="0">
      <selection activeCell="H4" sqref="H4"/>
    </sheetView>
  </sheetViews>
  <sheetFormatPr baseColWidth="10" defaultRowHeight="15" x14ac:dyDescent="0.2"/>
  <cols>
    <col min="2" max="2" width="12.33203125" bestFit="1" customWidth="1"/>
    <col min="3" max="5" width="13.1640625" bestFit="1" customWidth="1"/>
    <col min="6" max="6" width="12.1640625" bestFit="1" customWidth="1"/>
  </cols>
  <sheetData>
    <row r="2" spans="2:8" x14ac:dyDescent="0.2">
      <c r="B2" s="97" t="s">
        <v>173</v>
      </c>
      <c r="C2" s="97"/>
      <c r="D2" s="97"/>
      <c r="E2" s="97"/>
    </row>
    <row r="3" spans="2:8" x14ac:dyDescent="0.2">
      <c r="B3" s="1" t="s">
        <v>0</v>
      </c>
      <c r="C3" s="1">
        <v>2020</v>
      </c>
      <c r="D3" s="1">
        <v>2021</v>
      </c>
      <c r="E3" s="1">
        <v>2022</v>
      </c>
      <c r="G3" t="s">
        <v>119</v>
      </c>
      <c r="H3">
        <v>9.86</v>
      </c>
    </row>
    <row r="4" spans="2:8" x14ac:dyDescent="0.2">
      <c r="B4" s="1" t="s">
        <v>174</v>
      </c>
      <c r="C4" s="3">
        <f>34373842*H3</f>
        <v>338926082.12</v>
      </c>
      <c r="D4" s="3">
        <f>27082841*H3</f>
        <v>267036812.25999999</v>
      </c>
      <c r="E4" s="3">
        <f>35077293*H3</f>
        <v>345862108.97999996</v>
      </c>
    </row>
    <row r="5" spans="2:8" x14ac:dyDescent="0.2">
      <c r="B5" s="1" t="s">
        <v>175</v>
      </c>
      <c r="C5" s="3">
        <f>862500143*H3</f>
        <v>8504251409.9799995</v>
      </c>
      <c r="D5" s="3">
        <f>596295917*H3</f>
        <v>5879477741.6199999</v>
      </c>
      <c r="E5" s="3">
        <f>761111981*H3</f>
        <v>7504564132.6599998</v>
      </c>
    </row>
    <row r="6" spans="2:8" x14ac:dyDescent="0.2">
      <c r="B6" s="1" t="s">
        <v>176</v>
      </c>
      <c r="C6" s="5">
        <f>C4/C5</f>
        <v>3.9853723247440673E-2</v>
      </c>
      <c r="D6" s="5">
        <f>D4/D5</f>
        <v>4.5418457896299835E-2</v>
      </c>
      <c r="E6" s="5">
        <f>E4/E5</f>
        <v>4.6086901632941178E-2</v>
      </c>
      <c r="F6" s="12">
        <f>AVERAGE(C6:E6)</f>
        <v>4.3786360925560562E-2</v>
      </c>
    </row>
    <row r="9" spans="2:8" x14ac:dyDescent="0.2">
      <c r="B9" s="97" t="s">
        <v>177</v>
      </c>
      <c r="C9" s="97"/>
      <c r="D9" s="97"/>
      <c r="E9" s="97"/>
    </row>
    <row r="10" spans="2:8" x14ac:dyDescent="0.2">
      <c r="B10" s="1" t="s">
        <v>0</v>
      </c>
      <c r="C10" s="1">
        <v>2020</v>
      </c>
      <c r="D10" s="1">
        <v>2021</v>
      </c>
      <c r="E10" s="1">
        <v>2022</v>
      </c>
    </row>
    <row r="11" spans="2:8" x14ac:dyDescent="0.2">
      <c r="B11" s="1" t="s">
        <v>174</v>
      </c>
      <c r="C11" s="3">
        <f>38408000*H3</f>
        <v>378702880</v>
      </c>
      <c r="D11" s="3">
        <f>25727000*H3</f>
        <v>253668220</v>
      </c>
      <c r="E11" s="3">
        <f>26197000*H3</f>
        <v>258302420</v>
      </c>
    </row>
    <row r="12" spans="2:8" x14ac:dyDescent="0.2">
      <c r="B12" s="1" t="s">
        <v>175</v>
      </c>
      <c r="C12" s="3">
        <f>513049000*H3</f>
        <v>5058663140</v>
      </c>
      <c r="D12" s="3">
        <f>562003000*H3</f>
        <v>5541349580</v>
      </c>
      <c r="E12" s="3">
        <f>434988000*H3</f>
        <v>4288981679.9999995</v>
      </c>
    </row>
    <row r="13" spans="2:8" x14ac:dyDescent="0.2">
      <c r="B13" s="1" t="s">
        <v>176</v>
      </c>
      <c r="C13" s="5">
        <f>C11/C12</f>
        <v>7.486224512668381E-2</v>
      </c>
      <c r="D13" s="5">
        <f>D11/D12</f>
        <v>4.5777335708172377E-2</v>
      </c>
      <c r="E13" s="5">
        <f>E11/E12</f>
        <v>6.022464987539887E-2</v>
      </c>
      <c r="F13" s="12">
        <f>AVERAGE(C13:E13)</f>
        <v>6.0288076903418343E-2</v>
      </c>
    </row>
    <row r="16" spans="2:8" x14ac:dyDescent="0.2">
      <c r="B16" s="97" t="s">
        <v>178</v>
      </c>
      <c r="C16" s="97"/>
      <c r="D16" s="97"/>
      <c r="E16" s="97"/>
    </row>
    <row r="17" spans="2:6" x14ac:dyDescent="0.2">
      <c r="B17" s="1" t="s">
        <v>0</v>
      </c>
      <c r="C17" s="1">
        <v>2020</v>
      </c>
      <c r="D17" s="1">
        <v>2021</v>
      </c>
      <c r="E17" s="1">
        <v>2022</v>
      </c>
    </row>
    <row r="18" spans="2:6" x14ac:dyDescent="0.2">
      <c r="B18" s="1" t="s">
        <v>174</v>
      </c>
      <c r="C18" s="3">
        <f>60627000*H3</f>
        <v>597782220</v>
      </c>
      <c r="D18" s="3">
        <f>57961000*H3</f>
        <v>571495460</v>
      </c>
      <c r="E18" s="3">
        <f>85418000*H3</f>
        <v>842221480</v>
      </c>
    </row>
    <row r="19" spans="2:6" x14ac:dyDescent="0.2">
      <c r="B19" s="1" t="s">
        <v>175</v>
      </c>
      <c r="C19" s="3">
        <f>(1171859000+203594000)*H3</f>
        <v>13561966580</v>
      </c>
      <c r="D19" s="3">
        <f>(1486908000+321033000)*H3</f>
        <v>17826298260</v>
      </c>
      <c r="E19" s="3">
        <f>(1541270000+254338000)*H3</f>
        <v>17704694880</v>
      </c>
      <c r="F19" s="6"/>
    </row>
    <row r="20" spans="2:6" x14ac:dyDescent="0.2">
      <c r="B20" s="1" t="s">
        <v>176</v>
      </c>
      <c r="C20" s="5">
        <f>C18/C19</f>
        <v>4.4077841990965885E-2</v>
      </c>
      <c r="D20" s="5">
        <f>D18/D19</f>
        <v>3.205912139831997E-2</v>
      </c>
      <c r="E20" s="5">
        <f>E18/E19</f>
        <v>4.757051650471595E-2</v>
      </c>
      <c r="F20" s="12">
        <f>AVERAGE(C20:E20)</f>
        <v>4.1235826631333933E-2</v>
      </c>
    </row>
    <row r="23" spans="2:6" x14ac:dyDescent="0.2">
      <c r="B23" s="97" t="s">
        <v>179</v>
      </c>
      <c r="C23" s="97"/>
      <c r="D23" s="97"/>
      <c r="E23" s="97"/>
    </row>
    <row r="24" spans="2:6" x14ac:dyDescent="0.2">
      <c r="B24" s="1" t="s">
        <v>0</v>
      </c>
      <c r="C24" s="1">
        <v>2020</v>
      </c>
      <c r="D24" s="1">
        <v>2021</v>
      </c>
      <c r="E24" s="1">
        <v>2022</v>
      </c>
    </row>
    <row r="25" spans="2:6" x14ac:dyDescent="0.2">
      <c r="B25" s="1" t="s">
        <v>174</v>
      </c>
      <c r="C25" s="3">
        <f>31481000*H3</f>
        <v>310402660</v>
      </c>
      <c r="D25" s="3">
        <f>26380000*H3</f>
        <v>260106799.99999997</v>
      </c>
      <c r="E25" s="3">
        <f>27055000*H3</f>
        <v>266762299.99999997</v>
      </c>
    </row>
    <row r="26" spans="2:6" x14ac:dyDescent="0.2">
      <c r="B26" s="1" t="s">
        <v>175</v>
      </c>
      <c r="C26" s="3">
        <f>(39679000+335542000)*H3</f>
        <v>3699679060</v>
      </c>
      <c r="D26" s="3">
        <f>(67645000+285284000)*H3</f>
        <v>3479879940</v>
      </c>
      <c r="E26" s="3">
        <f>(72414000+267487000)*H3</f>
        <v>3351423860</v>
      </c>
    </row>
    <row r="27" spans="2:6" x14ac:dyDescent="0.2">
      <c r="B27" s="1" t="s">
        <v>176</v>
      </c>
      <c r="C27" s="5">
        <f>C25/C26</f>
        <v>8.3899888332476066E-2</v>
      </c>
      <c r="D27" s="5">
        <f>D25/D26</f>
        <v>7.474591206729965E-2</v>
      </c>
      <c r="E27" s="5">
        <f>E25/E26</f>
        <v>7.9596706099717265E-2</v>
      </c>
      <c r="F27" s="12">
        <f>AVERAGE(C27:E27)</f>
        <v>7.9414168833164323E-2</v>
      </c>
    </row>
    <row r="30" spans="2:6" x14ac:dyDescent="0.2">
      <c r="B30" s="97" t="s">
        <v>180</v>
      </c>
      <c r="C30" s="97"/>
      <c r="D30" s="97"/>
      <c r="E30" s="97"/>
    </row>
    <row r="31" spans="2:6" x14ac:dyDescent="0.2">
      <c r="B31" s="1" t="s">
        <v>0</v>
      </c>
      <c r="C31" s="1">
        <v>2020</v>
      </c>
      <c r="D31" s="1">
        <v>2021</v>
      </c>
      <c r="E31" s="1">
        <v>2022</v>
      </c>
    </row>
    <row r="32" spans="2:6" x14ac:dyDescent="0.2">
      <c r="B32" s="1" t="s">
        <v>174</v>
      </c>
      <c r="C32" s="3">
        <f>72160000*H3</f>
        <v>711497600</v>
      </c>
      <c r="D32" s="3">
        <f>61506000*H3</f>
        <v>606449160</v>
      </c>
      <c r="E32" s="3">
        <f>98712000*H3</f>
        <v>973300320</v>
      </c>
    </row>
    <row r="33" spans="2:6" x14ac:dyDescent="0.2">
      <c r="B33" s="1" t="s">
        <v>175</v>
      </c>
      <c r="C33" s="3">
        <f>2306668000*H3</f>
        <v>22743746480</v>
      </c>
      <c r="D33" s="3">
        <f>2464556000*H3</f>
        <v>24300522160</v>
      </c>
      <c r="E33" s="3">
        <f>2508544000*H3</f>
        <v>24734243840</v>
      </c>
    </row>
    <row r="34" spans="2:6" x14ac:dyDescent="0.2">
      <c r="B34" s="1" t="s">
        <v>176</v>
      </c>
      <c r="C34" s="5">
        <f>C32/C33</f>
        <v>3.1283218911434152E-2</v>
      </c>
      <c r="D34" s="5">
        <f>D32/D33</f>
        <v>2.4956219294672143E-2</v>
      </c>
      <c r="E34" s="5">
        <f>E32/E33</f>
        <v>3.9350316358812122E-2</v>
      </c>
      <c r="F34" s="12">
        <f>AVERAGE(C34:E34)</f>
        <v>3.186325152163947E-2</v>
      </c>
    </row>
    <row r="37" spans="2:6" x14ac:dyDescent="0.2">
      <c r="B37" s="97" t="s">
        <v>181</v>
      </c>
      <c r="C37" s="97"/>
    </row>
    <row r="38" spans="2:6" x14ac:dyDescent="0.2">
      <c r="B38" s="1" t="s">
        <v>15</v>
      </c>
      <c r="C38" s="21">
        <f>AVERAGE(C6:E6)</f>
        <v>4.3786360925560562E-2</v>
      </c>
    </row>
    <row r="39" spans="2:6" x14ac:dyDescent="0.2">
      <c r="B39" s="1" t="s">
        <v>16</v>
      </c>
      <c r="C39" s="21">
        <f>(F6+F13+F20+F27+F34)/5</f>
        <v>5.1317536963023325E-2</v>
      </c>
      <c r="D39" s="12"/>
      <c r="F39" s="12"/>
    </row>
  </sheetData>
  <mergeCells count="6">
    <mergeCell ref="B37:C37"/>
    <mergeCell ref="B2:E2"/>
    <mergeCell ref="B9:E9"/>
    <mergeCell ref="B16:E16"/>
    <mergeCell ref="B23:E23"/>
    <mergeCell ref="B30:E3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0AF2-1B56-48FF-8DC6-B21527B38ABC}">
  <dimension ref="A1:M390"/>
  <sheetViews>
    <sheetView zoomScale="90" zoomScaleNormal="90" workbookViewId="0">
      <selection activeCell="E7" sqref="E7"/>
    </sheetView>
  </sheetViews>
  <sheetFormatPr baseColWidth="10" defaultRowHeight="15" x14ac:dyDescent="0.2"/>
  <cols>
    <col min="2" max="2" width="51" bestFit="1" customWidth="1"/>
    <col min="3" max="3" width="12" bestFit="1" customWidth="1"/>
    <col min="4" max="5" width="13.5" bestFit="1" customWidth="1"/>
    <col min="6" max="6" width="12" bestFit="1" customWidth="1"/>
    <col min="11" max="11" width="12" bestFit="1" customWidth="1"/>
  </cols>
  <sheetData>
    <row r="1" spans="1:13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">
      <c r="A2" s="6"/>
      <c r="B2" s="13" t="s">
        <v>35</v>
      </c>
      <c r="C2" s="13" t="s">
        <v>36</v>
      </c>
      <c r="D2" s="13" t="s">
        <v>37</v>
      </c>
      <c r="E2" s="13" t="s">
        <v>38</v>
      </c>
      <c r="F2" s="13" t="s">
        <v>39</v>
      </c>
      <c r="G2" s="13" t="s">
        <v>40</v>
      </c>
      <c r="H2" s="6"/>
      <c r="I2" s="6"/>
      <c r="J2" s="6"/>
      <c r="K2" s="6"/>
      <c r="L2" s="6"/>
      <c r="M2" s="6"/>
    </row>
    <row r="3" spans="1:13" x14ac:dyDescent="0.2">
      <c r="A3" s="6"/>
      <c r="B3" s="6" t="s">
        <v>41</v>
      </c>
      <c r="C3" s="6">
        <v>2687170</v>
      </c>
      <c r="D3" s="6">
        <f>6552457</f>
        <v>6552457</v>
      </c>
      <c r="E3" s="6">
        <v>5767484</v>
      </c>
      <c r="F3" s="6">
        <v>12630531</v>
      </c>
      <c r="G3" s="6"/>
      <c r="H3" s="6"/>
      <c r="I3" s="6"/>
      <c r="J3" s="6"/>
      <c r="K3" s="6"/>
      <c r="L3" s="6"/>
      <c r="M3" s="6"/>
    </row>
    <row r="4" spans="1:13" x14ac:dyDescent="0.2">
      <c r="A4" s="6"/>
      <c r="B4" s="6" t="s">
        <v>42</v>
      </c>
      <c r="C4" s="6">
        <v>3319248</v>
      </c>
      <c r="D4" s="6">
        <v>18230962</v>
      </c>
      <c r="E4" s="6">
        <v>14633061</v>
      </c>
      <c r="F4" s="6">
        <v>7448390</v>
      </c>
      <c r="G4" s="6"/>
      <c r="H4" s="6"/>
      <c r="I4" s="6"/>
      <c r="J4" s="6"/>
      <c r="K4" s="6"/>
      <c r="L4" s="6"/>
      <c r="M4" s="6"/>
    </row>
    <row r="5" spans="1:13" x14ac:dyDescent="0.2">
      <c r="A5" s="6"/>
      <c r="B5" s="6" t="s">
        <v>43</v>
      </c>
      <c r="C5" s="6">
        <v>4925568</v>
      </c>
      <c r="D5" s="6">
        <v>92608</v>
      </c>
      <c r="E5" s="6">
        <v>154448</v>
      </c>
      <c r="F5" s="6">
        <v>261093</v>
      </c>
      <c r="G5" s="6"/>
      <c r="H5" s="6"/>
      <c r="I5" s="6"/>
      <c r="J5" s="6"/>
      <c r="K5" s="6"/>
      <c r="L5" s="6"/>
      <c r="M5" s="6"/>
    </row>
    <row r="6" spans="1:13" x14ac:dyDescent="0.2">
      <c r="A6" s="6"/>
      <c r="B6" s="6" t="s">
        <v>44</v>
      </c>
      <c r="C6" s="6">
        <v>902853</v>
      </c>
      <c r="D6" s="6">
        <v>2263662</v>
      </c>
      <c r="E6" s="6">
        <v>964416</v>
      </c>
      <c r="F6" s="6">
        <v>1032640</v>
      </c>
      <c r="G6" s="6"/>
      <c r="H6" s="6"/>
      <c r="I6" s="6"/>
      <c r="J6" s="6"/>
      <c r="K6" s="6"/>
      <c r="L6" s="6"/>
      <c r="M6" s="6"/>
    </row>
    <row r="7" spans="1:13" x14ac:dyDescent="0.2">
      <c r="A7" s="6"/>
      <c r="B7" s="6" t="s">
        <v>45</v>
      </c>
      <c r="C7" s="6">
        <v>396291</v>
      </c>
      <c r="D7" s="6">
        <v>1837052</v>
      </c>
      <c r="E7" s="6">
        <v>7063619</v>
      </c>
      <c r="F7" s="6">
        <v>1070101</v>
      </c>
      <c r="G7" s="6"/>
      <c r="H7" s="6"/>
      <c r="I7" s="6"/>
      <c r="J7" s="6"/>
      <c r="K7" s="6"/>
      <c r="L7" s="6"/>
      <c r="M7" s="6"/>
    </row>
    <row r="8" spans="1:13" x14ac:dyDescent="0.2">
      <c r="A8" s="6" t="s">
        <v>51</v>
      </c>
      <c r="B8" s="6" t="s">
        <v>76</v>
      </c>
      <c r="C8" s="6">
        <v>0</v>
      </c>
      <c r="D8" s="6">
        <v>0</v>
      </c>
      <c r="E8" s="6">
        <v>0</v>
      </c>
      <c r="F8" s="6">
        <v>3150767</v>
      </c>
      <c r="G8" s="6"/>
      <c r="H8" s="6"/>
      <c r="I8" s="6"/>
      <c r="J8" s="6"/>
      <c r="K8" s="6"/>
      <c r="L8" s="6"/>
      <c r="M8" s="6"/>
    </row>
    <row r="9" spans="1:13" x14ac:dyDescent="0.2">
      <c r="A9" s="6"/>
      <c r="B9" s="13" t="s">
        <v>46</v>
      </c>
      <c r="C9" s="13">
        <f>SUM(C3:C8)</f>
        <v>12231130</v>
      </c>
      <c r="D9" s="13">
        <f>SUM(D3:D8)</f>
        <v>28976741</v>
      </c>
      <c r="E9" s="13">
        <f>SUM(E3:E8)</f>
        <v>28583028</v>
      </c>
      <c r="F9" s="13">
        <f>SUM(F3:F8)</f>
        <v>25593522</v>
      </c>
      <c r="G9" s="13">
        <f>SUM(G3:G7)</f>
        <v>0</v>
      </c>
      <c r="H9" s="6"/>
      <c r="I9" s="6" t="s">
        <v>81</v>
      </c>
      <c r="J9" s="6"/>
      <c r="K9" s="6"/>
      <c r="L9" s="6"/>
      <c r="M9" s="6"/>
    </row>
    <row r="10" spans="1:13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">
      <c r="A11" s="6"/>
      <c r="B11" s="6" t="s">
        <v>47</v>
      </c>
      <c r="C11" s="6">
        <v>6835666</v>
      </c>
      <c r="D11" s="6">
        <v>13953070</v>
      </c>
      <c r="E11" s="6">
        <v>17697198</v>
      </c>
      <c r="F11" s="6">
        <v>15960456</v>
      </c>
      <c r="G11" s="6"/>
      <c r="H11" s="6"/>
      <c r="I11" s="6"/>
      <c r="J11" s="6"/>
      <c r="K11" s="6"/>
      <c r="L11" s="6"/>
      <c r="M11" s="6"/>
    </row>
    <row r="12" spans="1:13" x14ac:dyDescent="0.2">
      <c r="A12" s="6"/>
      <c r="B12" s="6" t="s">
        <v>48</v>
      </c>
      <c r="C12" s="6">
        <f>1728163-1396366</f>
        <v>331797</v>
      </c>
      <c r="D12" s="6">
        <f>4384815-1788342</f>
        <v>2596473</v>
      </c>
      <c r="E12" s="6">
        <f>2306868-1407128</f>
        <v>899740</v>
      </c>
      <c r="F12" s="6">
        <f>2623745-1254301</f>
        <v>1369444</v>
      </c>
      <c r="G12" s="6"/>
      <c r="H12" s="6"/>
      <c r="I12" s="6"/>
      <c r="J12" s="6"/>
      <c r="K12" s="6"/>
      <c r="L12" s="6"/>
      <c r="M12" s="6"/>
    </row>
    <row r="13" spans="1:13" x14ac:dyDescent="0.2">
      <c r="A13" s="6"/>
      <c r="B13" s="6" t="s">
        <v>49</v>
      </c>
      <c r="C13" s="6">
        <v>1064850</v>
      </c>
      <c r="D13" s="6">
        <v>4919126</v>
      </c>
      <c r="E13" s="6">
        <v>6462292</v>
      </c>
      <c r="F13" s="6">
        <v>0</v>
      </c>
      <c r="G13" s="6"/>
      <c r="H13" s="6"/>
      <c r="I13" s="6"/>
      <c r="J13" s="6"/>
      <c r="K13" s="6"/>
      <c r="L13" s="15"/>
      <c r="M13" s="6"/>
    </row>
    <row r="14" spans="1:13" x14ac:dyDescent="0.2">
      <c r="A14" s="6"/>
      <c r="B14" s="6" t="s">
        <v>50</v>
      </c>
      <c r="C14" s="6">
        <v>2612524</v>
      </c>
      <c r="D14" s="6">
        <v>13123755</v>
      </c>
      <c r="E14" s="6">
        <v>379803</v>
      </c>
      <c r="F14" s="6">
        <v>698153</v>
      </c>
      <c r="G14" s="6"/>
      <c r="H14" s="6"/>
      <c r="I14" s="6"/>
      <c r="J14" s="6"/>
      <c r="K14" s="6"/>
      <c r="L14" s="6"/>
      <c r="M14" s="6"/>
    </row>
    <row r="15" spans="1:13" x14ac:dyDescent="0.2">
      <c r="A15" s="6"/>
      <c r="B15" s="13" t="s">
        <v>52</v>
      </c>
      <c r="C15" s="13">
        <f>SUM(C11:C14)</f>
        <v>10844837</v>
      </c>
      <c r="D15" s="13">
        <f>SUM(D11:D14)</f>
        <v>34592424</v>
      </c>
      <c r="E15" s="13">
        <f>SUM(E11:E14)</f>
        <v>25439033</v>
      </c>
      <c r="F15" s="13">
        <f>SUM(F11:F14)</f>
        <v>18028053</v>
      </c>
      <c r="G15" s="13">
        <f>SUM(G11:G14)</f>
        <v>0</v>
      </c>
      <c r="H15" s="6"/>
      <c r="I15" s="6"/>
      <c r="J15" s="6"/>
      <c r="K15" s="6"/>
      <c r="L15" s="15"/>
      <c r="M15" s="6"/>
    </row>
    <row r="16" spans="1:13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A17" s="6"/>
      <c r="B17" s="13" t="s">
        <v>53</v>
      </c>
      <c r="C17" s="13">
        <f>C9-C15</f>
        <v>1386293</v>
      </c>
      <c r="D17" s="13">
        <f>D9-D15</f>
        <v>-5615683</v>
      </c>
      <c r="E17" s="13">
        <f>E9-E15</f>
        <v>3143995</v>
      </c>
      <c r="F17" s="13">
        <f>F9-F15</f>
        <v>7565469</v>
      </c>
      <c r="G17" s="13">
        <f>G9-G15</f>
        <v>0</v>
      </c>
      <c r="H17" s="6"/>
      <c r="I17" s="6"/>
      <c r="J17" s="6"/>
      <c r="K17" s="6"/>
      <c r="L17" s="6"/>
      <c r="M17" s="6"/>
    </row>
    <row r="18" spans="1:13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">
      <c r="A19" s="6"/>
      <c r="B19" s="6" t="s">
        <v>57</v>
      </c>
      <c r="C19" s="6">
        <v>396373905</v>
      </c>
      <c r="D19" s="6">
        <v>1007992914</v>
      </c>
      <c r="E19" s="6">
        <v>1199364846</v>
      </c>
      <c r="F19" s="6">
        <v>865208380</v>
      </c>
      <c r="G19" s="6"/>
      <c r="H19" s="6"/>
      <c r="I19" s="6"/>
      <c r="J19" s="6"/>
      <c r="K19" s="6"/>
      <c r="L19" s="6"/>
      <c r="M19" s="6"/>
    </row>
    <row r="20" spans="1:13" x14ac:dyDescent="0.2">
      <c r="A20" s="6"/>
      <c r="B20" s="6" t="s">
        <v>58</v>
      </c>
      <c r="C20" s="6">
        <v>238211812</v>
      </c>
      <c r="D20" s="6">
        <v>56266949</v>
      </c>
      <c r="E20" s="6">
        <v>0</v>
      </c>
      <c r="F20" s="6">
        <v>18193257</v>
      </c>
      <c r="G20" s="6"/>
      <c r="H20" s="6"/>
      <c r="I20" s="6"/>
      <c r="J20" s="6"/>
      <c r="K20" s="6"/>
      <c r="L20" s="6"/>
      <c r="M20" s="6"/>
    </row>
    <row r="21" spans="1:13" x14ac:dyDescent="0.2">
      <c r="A21" s="6"/>
      <c r="B21" s="6" t="s">
        <v>56</v>
      </c>
      <c r="C21" s="6">
        <v>47059</v>
      </c>
      <c r="D21" s="6">
        <v>40000</v>
      </c>
      <c r="E21" s="6">
        <v>41019</v>
      </c>
      <c r="F21" s="6">
        <v>61019</v>
      </c>
      <c r="G21" s="6"/>
      <c r="H21" s="6"/>
      <c r="I21" s="6"/>
      <c r="J21" s="6"/>
      <c r="K21" s="6"/>
      <c r="L21" s="6"/>
      <c r="M21" s="6"/>
    </row>
    <row r="22" spans="1:13" x14ac:dyDescent="0.2">
      <c r="A22" s="6"/>
      <c r="B22" s="6" t="s">
        <v>55</v>
      </c>
      <c r="C22" s="6">
        <v>552188</v>
      </c>
      <c r="D22" s="6">
        <v>751505</v>
      </c>
      <c r="E22" s="6">
        <v>0</v>
      </c>
      <c r="F22" s="6">
        <v>0</v>
      </c>
      <c r="G22" s="6"/>
      <c r="H22" s="6"/>
      <c r="I22" s="6"/>
      <c r="J22" s="6"/>
      <c r="K22" s="6"/>
      <c r="L22" s="6"/>
      <c r="M22" s="6"/>
    </row>
    <row r="23" spans="1:13" x14ac:dyDescent="0.2">
      <c r="A23" s="6"/>
      <c r="B23" s="13" t="s">
        <v>59</v>
      </c>
      <c r="C23" s="13">
        <f>SUM(C19:C22)</f>
        <v>635184964</v>
      </c>
      <c r="D23" s="13">
        <f>SUM(D19:D22)</f>
        <v>1065051368</v>
      </c>
      <c r="E23" s="13">
        <f>SUM(E19:E22)</f>
        <v>1199405865</v>
      </c>
      <c r="F23" s="13">
        <f>SUM(F19:F22)</f>
        <v>883462656</v>
      </c>
      <c r="G23" s="13">
        <f>SUM(G19:G22)</f>
        <v>0</v>
      </c>
      <c r="H23" s="6"/>
      <c r="I23" s="6"/>
      <c r="J23" s="6"/>
      <c r="K23" s="6"/>
      <c r="L23" s="6"/>
      <c r="M23" s="6"/>
    </row>
    <row r="24" spans="1:13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6"/>
      <c r="B25" s="13" t="s">
        <v>60</v>
      </c>
      <c r="C25" s="13">
        <f>C17+C23</f>
        <v>636571257</v>
      </c>
      <c r="D25" s="13">
        <f>D17+D23</f>
        <v>1059435685</v>
      </c>
      <c r="E25" s="13">
        <f>E17+E23</f>
        <v>1202549860</v>
      </c>
      <c r="F25" s="13">
        <f>F17+F23</f>
        <v>891028125</v>
      </c>
      <c r="G25" s="13">
        <f>G17+G23</f>
        <v>0</v>
      </c>
      <c r="H25" s="6"/>
      <c r="I25" s="6"/>
      <c r="J25" s="6"/>
      <c r="K25" s="6"/>
      <c r="L25" s="6"/>
      <c r="M25" s="6"/>
    </row>
    <row r="26" spans="1:13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6"/>
      <c r="B27" s="6" t="s">
        <v>54</v>
      </c>
      <c r="C27" s="6">
        <f>3000000+18082979</f>
        <v>21082979</v>
      </c>
      <c r="D27" s="6">
        <f>3410000+13395723</f>
        <v>16805723</v>
      </c>
      <c r="E27" s="6">
        <f>6410000+23338062+1991381</f>
        <v>31739443</v>
      </c>
      <c r="F27" s="6">
        <f>5410000+38183154+1939443</f>
        <v>45532597</v>
      </c>
      <c r="G27" s="6"/>
      <c r="H27" s="6"/>
      <c r="I27" s="6"/>
      <c r="J27" s="6"/>
      <c r="K27" s="6"/>
      <c r="L27" s="6"/>
      <c r="M27" s="6"/>
    </row>
    <row r="28" spans="1:13" x14ac:dyDescent="0.2">
      <c r="A28" s="6"/>
      <c r="B28" s="13" t="s">
        <v>61</v>
      </c>
      <c r="C28" s="13">
        <f>SUM(C27)</f>
        <v>21082979</v>
      </c>
      <c r="D28" s="13">
        <f>SUM(D27)</f>
        <v>16805723</v>
      </c>
      <c r="E28" s="13">
        <f>SUM(E27)</f>
        <v>31739443</v>
      </c>
      <c r="F28" s="13">
        <f>SUM(F27)</f>
        <v>45532597</v>
      </c>
      <c r="G28" s="13">
        <f>SUM(G27)</f>
        <v>0</v>
      </c>
      <c r="H28" s="6"/>
      <c r="I28" s="6"/>
      <c r="J28" s="6"/>
      <c r="K28" s="6"/>
      <c r="L28" s="6"/>
      <c r="M28" s="6"/>
    </row>
    <row r="29" spans="1:13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6"/>
      <c r="B30" s="13" t="s">
        <v>62</v>
      </c>
      <c r="C30" s="13">
        <f>C25+C28</f>
        <v>657654236</v>
      </c>
      <c r="D30" s="13">
        <f>D25+D28</f>
        <v>1076241408</v>
      </c>
      <c r="E30" s="13">
        <f>E25+E28</f>
        <v>1234289303</v>
      </c>
      <c r="F30" s="13">
        <f>F25+F28</f>
        <v>936560722</v>
      </c>
      <c r="G30" s="13">
        <f>G25+G28</f>
        <v>0</v>
      </c>
      <c r="H30" s="6"/>
      <c r="I30" s="6"/>
      <c r="J30" s="6"/>
      <c r="K30" s="6"/>
      <c r="L30" s="6"/>
      <c r="M30" s="6"/>
    </row>
    <row r="31" spans="1:13" x14ac:dyDescent="0.2">
      <c r="A31" s="6"/>
      <c r="B31" s="6"/>
      <c r="C31" s="6"/>
      <c r="D31" s="6"/>
      <c r="E31" s="6"/>
      <c r="F31" s="6"/>
      <c r="G31" s="6"/>
      <c r="H31" s="14"/>
      <c r="I31" s="6"/>
      <c r="J31" s="6"/>
      <c r="K31" s="6"/>
      <c r="L31" s="6"/>
      <c r="M31" s="6"/>
    </row>
    <row r="32" spans="1:13" x14ac:dyDescent="0.2">
      <c r="A32" s="6"/>
      <c r="B32" s="13" t="s">
        <v>63</v>
      </c>
      <c r="C32" s="14">
        <v>2018</v>
      </c>
      <c r="D32" s="14">
        <v>2019</v>
      </c>
      <c r="E32" s="14">
        <v>2020</v>
      </c>
      <c r="F32" s="14">
        <v>2021</v>
      </c>
      <c r="G32" s="14">
        <v>2022</v>
      </c>
      <c r="H32" s="6"/>
      <c r="I32" s="6"/>
      <c r="J32" s="6"/>
      <c r="K32" s="6"/>
      <c r="L32" s="6"/>
      <c r="M32" s="6"/>
    </row>
    <row r="33" spans="1:13" x14ac:dyDescent="0.2">
      <c r="A33" s="6"/>
      <c r="B33" s="6" t="s">
        <v>64</v>
      </c>
      <c r="C33" s="6">
        <v>31310</v>
      </c>
      <c r="D33" s="6">
        <v>32890</v>
      </c>
      <c r="E33" s="6">
        <v>32890</v>
      </c>
      <c r="F33" s="6">
        <f>E33</f>
        <v>32890</v>
      </c>
      <c r="G33" s="6"/>
      <c r="H33" s="6"/>
      <c r="I33" s="6"/>
      <c r="J33" s="6"/>
      <c r="K33" s="6"/>
      <c r="L33" s="6"/>
      <c r="M33" s="6"/>
    </row>
    <row r="34" spans="1:13" x14ac:dyDescent="0.2">
      <c r="A34" s="6"/>
      <c r="B34" s="6" t="s">
        <v>65</v>
      </c>
      <c r="C34" s="6">
        <v>319357218</v>
      </c>
      <c r="D34" s="6">
        <v>334328863</v>
      </c>
      <c r="E34" s="6">
        <f>D34</f>
        <v>334328863</v>
      </c>
      <c r="F34" s="6">
        <v>300019846</v>
      </c>
      <c r="G34" s="6"/>
      <c r="H34" s="6"/>
      <c r="I34" s="6"/>
      <c r="J34" s="6"/>
      <c r="K34" s="6"/>
      <c r="L34" s="6"/>
      <c r="M34" s="6"/>
    </row>
    <row r="35" spans="1:13" x14ac:dyDescent="0.2">
      <c r="A35" s="6" t="s">
        <v>75</v>
      </c>
      <c r="B35" s="6" t="s">
        <v>71</v>
      </c>
      <c r="C35" s="6">
        <f>-3018755</f>
        <v>-3018755</v>
      </c>
      <c r="D35" s="6">
        <v>8365601</v>
      </c>
      <c r="E35" s="6">
        <v>65960647</v>
      </c>
      <c r="F35" s="6">
        <v>61838062</v>
      </c>
      <c r="G35" s="6"/>
      <c r="H35" s="6"/>
      <c r="I35" s="6"/>
      <c r="J35" s="6"/>
      <c r="K35" s="6"/>
      <c r="L35" s="6"/>
      <c r="M35" s="6"/>
    </row>
    <row r="36" spans="1:13" x14ac:dyDescent="0.2">
      <c r="A36" s="6"/>
      <c r="B36" s="6" t="s">
        <v>72</v>
      </c>
      <c r="C36" s="6">
        <v>0</v>
      </c>
      <c r="D36" s="6">
        <v>-1010155</v>
      </c>
      <c r="E36" s="6">
        <v>-3068260</v>
      </c>
      <c r="F36" s="6">
        <v>-3571790</v>
      </c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 t="s">
        <v>73</v>
      </c>
      <c r="C37" s="6">
        <v>0</v>
      </c>
      <c r="D37" s="6">
        <v>-22896</v>
      </c>
      <c r="E37" s="6">
        <v>-25947</v>
      </c>
      <c r="F37" s="6">
        <v>-26150</v>
      </c>
      <c r="H37" s="6"/>
      <c r="I37" s="6"/>
      <c r="J37" s="6"/>
      <c r="K37" s="6"/>
      <c r="L37" s="6"/>
      <c r="M37" s="6"/>
    </row>
    <row r="38" spans="1:13" x14ac:dyDescent="0.2">
      <c r="A38" s="6"/>
      <c r="B38" s="13" t="s">
        <v>66</v>
      </c>
      <c r="C38" s="13">
        <f>SUM(C33:C37)</f>
        <v>316369773</v>
      </c>
      <c r="D38" s="13">
        <f>SUM(D33:D37)</f>
        <v>341694303</v>
      </c>
      <c r="E38" s="13">
        <f>SUM(E33:E37)</f>
        <v>397228193</v>
      </c>
      <c r="F38" s="13">
        <f>SUM(F33:F37)</f>
        <v>358292858</v>
      </c>
      <c r="G38" s="13">
        <f>SUM(G33:G37)</f>
        <v>0</v>
      </c>
      <c r="H38" s="6"/>
      <c r="I38" s="6"/>
      <c r="J38" s="6"/>
      <c r="K38" s="6"/>
      <c r="L38" s="6"/>
      <c r="M38" s="6"/>
    </row>
    <row r="39" spans="1:13" x14ac:dyDescent="0.2">
      <c r="A39" s="6"/>
      <c r="B39" s="1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 t="s">
        <v>51</v>
      </c>
      <c r="B40" s="6" t="s">
        <v>76</v>
      </c>
      <c r="C40" s="6">
        <v>0</v>
      </c>
      <c r="D40" s="6">
        <v>0</v>
      </c>
      <c r="E40" s="6">
        <v>1116166</v>
      </c>
      <c r="F40" s="6">
        <v>0</v>
      </c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 t="s">
        <v>74</v>
      </c>
      <c r="C41" s="6">
        <v>0</v>
      </c>
      <c r="D41" s="6">
        <v>53066</v>
      </c>
      <c r="E41" s="6">
        <v>61175</v>
      </c>
      <c r="F41" s="6">
        <v>17294</v>
      </c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 t="s">
        <v>68</v>
      </c>
      <c r="C42" s="6">
        <v>1396366</v>
      </c>
      <c r="D42" s="6">
        <v>1788342</v>
      </c>
      <c r="E42" s="6">
        <v>1407128</v>
      </c>
      <c r="F42" s="6">
        <v>1254301</v>
      </c>
      <c r="G42" s="6"/>
      <c r="H42" s="6"/>
      <c r="I42" s="6"/>
      <c r="J42" s="6"/>
      <c r="K42" s="6"/>
      <c r="L42" s="6"/>
      <c r="M42" s="6"/>
    </row>
    <row r="43" spans="1:13" x14ac:dyDescent="0.2">
      <c r="A43" s="6"/>
      <c r="B43" s="6" t="s">
        <v>67</v>
      </c>
      <c r="C43" s="6">
        <v>22085444</v>
      </c>
      <c r="D43" s="6">
        <v>49029313</v>
      </c>
      <c r="E43" s="6">
        <v>75257953</v>
      </c>
      <c r="F43" s="6">
        <v>42212810</v>
      </c>
      <c r="G43" s="6"/>
      <c r="H43" s="6"/>
      <c r="I43" s="6"/>
      <c r="J43" s="6"/>
      <c r="K43" s="6"/>
      <c r="L43" s="6"/>
      <c r="M43" s="6"/>
    </row>
    <row r="44" spans="1:13" x14ac:dyDescent="0.2">
      <c r="A44" s="6"/>
      <c r="B44" s="6" t="s">
        <v>12</v>
      </c>
      <c r="C44" s="6">
        <f>317802753</f>
        <v>317802753</v>
      </c>
      <c r="D44" s="6">
        <v>683676384</v>
      </c>
      <c r="E44" s="6">
        <v>759218688</v>
      </c>
      <c r="F44" s="6">
        <v>534783459</v>
      </c>
      <c r="G44" s="6"/>
      <c r="H44" s="6"/>
      <c r="I44" s="6"/>
      <c r="J44" s="6"/>
      <c r="K44" s="6"/>
      <c r="L44" s="6"/>
      <c r="M44" s="6"/>
    </row>
    <row r="45" spans="1:13" x14ac:dyDescent="0.2">
      <c r="A45" s="6"/>
      <c r="B45" s="13" t="s">
        <v>69</v>
      </c>
      <c r="C45" s="13">
        <f>SUM(C40:C44)</f>
        <v>341284563</v>
      </c>
      <c r="D45" s="13">
        <f>SUM(D40:D44)</f>
        <v>734547105</v>
      </c>
      <c r="E45" s="13">
        <f>SUM(E40:E44)</f>
        <v>837061110</v>
      </c>
      <c r="F45" s="13">
        <f>SUM(F40:F44)</f>
        <v>578267864</v>
      </c>
      <c r="G45" s="13">
        <f>SUM(G40:G44)</f>
        <v>0</v>
      </c>
      <c r="H45" s="6"/>
      <c r="I45" s="6"/>
      <c r="J45" s="6"/>
      <c r="K45" s="6"/>
      <c r="L45" s="6"/>
      <c r="M45" s="6"/>
    </row>
    <row r="46" spans="1:13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">
      <c r="A47" s="6"/>
      <c r="B47" s="13" t="s">
        <v>70</v>
      </c>
      <c r="C47" s="13">
        <f>C38+C45</f>
        <v>657654336</v>
      </c>
      <c r="D47" s="13">
        <f>D38+D45</f>
        <v>1076241408</v>
      </c>
      <c r="E47" s="13">
        <f>E38+E45</f>
        <v>1234289303</v>
      </c>
      <c r="F47" s="13">
        <f>F38+F45</f>
        <v>936560722</v>
      </c>
      <c r="G47" s="13">
        <f>G38+G45</f>
        <v>0</v>
      </c>
      <c r="H47" s="6"/>
      <c r="I47" s="6"/>
      <c r="J47" s="6"/>
      <c r="K47" s="6"/>
      <c r="L47" s="6"/>
      <c r="M47" s="6"/>
    </row>
    <row r="48" spans="1:13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">
      <c r="A49" s="6"/>
      <c r="B49" s="6" t="s">
        <v>77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3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3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13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1:13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1:13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1:13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13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1:13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1:13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13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13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1:13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1:13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13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1:13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1:13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1:13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1:13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1:13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1:13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1:13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:13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1:13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1:13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1:13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1:13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1:13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1:13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1:13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1:13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1:13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1:13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1:13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1:13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1:13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1:13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1:13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1:13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1:13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1:13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1:13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1:13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1:13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1:13" x14ac:dyDescent="0.2">
      <c r="B387" s="6"/>
      <c r="C387" s="6"/>
      <c r="D387" s="6"/>
      <c r="E387" s="6"/>
      <c r="F387" s="6"/>
      <c r="G387" s="6"/>
      <c r="H387" s="6"/>
    </row>
    <row r="388" spans="1:13" x14ac:dyDescent="0.2">
      <c r="B388" s="6"/>
      <c r="C388" s="6"/>
      <c r="D388" s="6"/>
      <c r="E388" s="6"/>
      <c r="F388" s="6"/>
      <c r="G388" s="6"/>
    </row>
    <row r="389" spans="1:13" x14ac:dyDescent="0.2">
      <c r="B389" s="6"/>
      <c r="C389" s="6"/>
      <c r="D389" s="6"/>
      <c r="E389" s="6"/>
      <c r="F389" s="6"/>
      <c r="G389" s="6"/>
    </row>
    <row r="390" spans="1:13" x14ac:dyDescent="0.2">
      <c r="B390" s="6"/>
      <c r="C390" s="6"/>
      <c r="D390" s="6"/>
      <c r="E390" s="6"/>
      <c r="F390" s="6"/>
      <c r="G390" s="6"/>
    </row>
  </sheetData>
  <pageMargins left="0.7" right="0.7" top="0.75" bottom="0.75" header="0.3" footer="0.3"/>
  <pageSetup orientation="portrait" r:id="rId1"/>
  <ignoredErrors>
    <ignoredError sqref="D38:E38 G3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17187-5645-4A9F-80CC-09B0D5B54D81}">
  <dimension ref="A1:J47"/>
  <sheetViews>
    <sheetView zoomScale="75" zoomScaleNormal="75" workbookViewId="0">
      <selection activeCell="J13" sqref="J13:J17"/>
    </sheetView>
  </sheetViews>
  <sheetFormatPr baseColWidth="10" defaultRowHeight="15" x14ac:dyDescent="0.2"/>
  <cols>
    <col min="1" max="1" width="49.6640625" bestFit="1" customWidth="1"/>
    <col min="2" max="2" width="12.83203125" bestFit="1" customWidth="1"/>
    <col min="3" max="6" width="14" bestFit="1" customWidth="1"/>
    <col min="7" max="7" width="12.1640625" bestFit="1" customWidth="1"/>
  </cols>
  <sheetData>
    <row r="1" spans="1:10" x14ac:dyDescent="0.2">
      <c r="A1" s="100" t="s">
        <v>99</v>
      </c>
      <c r="B1" s="100"/>
      <c r="C1" s="100"/>
      <c r="D1" s="100"/>
      <c r="E1" s="100"/>
      <c r="F1" s="100"/>
    </row>
    <row r="2" spans="1:10" x14ac:dyDescent="0.2">
      <c r="A2" s="16" t="s">
        <v>35</v>
      </c>
      <c r="B2" s="16">
        <v>2018</v>
      </c>
      <c r="C2" s="16">
        <v>2019</v>
      </c>
      <c r="D2" s="16">
        <v>2020</v>
      </c>
      <c r="E2" s="16">
        <v>2021</v>
      </c>
      <c r="F2" s="16">
        <v>2022</v>
      </c>
      <c r="H2" t="s">
        <v>119</v>
      </c>
      <c r="I2">
        <v>9.86</v>
      </c>
    </row>
    <row r="3" spans="1:10" x14ac:dyDescent="0.2">
      <c r="A3" t="s">
        <v>57</v>
      </c>
      <c r="B3" s="6">
        <f>396373905*I2</f>
        <v>3908246703.2999997</v>
      </c>
      <c r="C3" s="6">
        <f>1007992914*I2</f>
        <v>9938810132.039999</v>
      </c>
      <c r="D3" s="6">
        <f>1199364846*I2</f>
        <v>11825737381.559999</v>
      </c>
      <c r="E3" s="6">
        <f>865208380*I2</f>
        <v>8530954626.7999992</v>
      </c>
      <c r="F3" s="6">
        <f>1024296035*I2</f>
        <v>10099558905.099998</v>
      </c>
    </row>
    <row r="4" spans="1:10" x14ac:dyDescent="0.2">
      <c r="A4" t="s">
        <v>58</v>
      </c>
      <c r="B4" s="6">
        <f>238211812*I2</f>
        <v>2348768466.3199997</v>
      </c>
      <c r="C4" s="6">
        <f>56266949*I2</f>
        <v>554792117.13999999</v>
      </c>
      <c r="D4" s="6">
        <f>0*I2</f>
        <v>0</v>
      </c>
      <c r="E4" s="6">
        <f>18193257*I2</f>
        <v>179385514.01999998</v>
      </c>
      <c r="F4" s="6">
        <v>0</v>
      </c>
    </row>
    <row r="5" spans="1:10" x14ac:dyDescent="0.2">
      <c r="A5" t="s">
        <v>56</v>
      </c>
      <c r="B5" s="6">
        <f>47059*I2</f>
        <v>464001.74</v>
      </c>
      <c r="C5" s="6">
        <f>40000*I2</f>
        <v>394400</v>
      </c>
      <c r="D5" s="6">
        <f>41019*I2</f>
        <v>404447.33999999997</v>
      </c>
      <c r="E5" s="6">
        <f>61019*I2</f>
        <v>601647.34</v>
      </c>
      <c r="F5" s="6">
        <f>132223*I2</f>
        <v>1303718.78</v>
      </c>
    </row>
    <row r="6" spans="1:10" x14ac:dyDescent="0.2">
      <c r="A6" t="s">
        <v>55</v>
      </c>
      <c r="B6" s="6">
        <f>552188*I2</f>
        <v>5444573.6799999997</v>
      </c>
      <c r="C6" s="6">
        <f>751505*I2</f>
        <v>7409839.2999999998</v>
      </c>
      <c r="D6" s="6">
        <f>0*I2</f>
        <v>0</v>
      </c>
      <c r="E6" s="6">
        <f>0*I2</f>
        <v>0</v>
      </c>
      <c r="F6" s="6">
        <v>0</v>
      </c>
    </row>
    <row r="7" spans="1:10" x14ac:dyDescent="0.2">
      <c r="A7" t="s">
        <v>91</v>
      </c>
      <c r="B7" s="6">
        <f>0*I2</f>
        <v>0</v>
      </c>
      <c r="C7" s="6">
        <f>0*I2</f>
        <v>0</v>
      </c>
      <c r="D7" s="6">
        <f>0*I2</f>
        <v>0</v>
      </c>
      <c r="E7" s="6">
        <f>3150767*I2</f>
        <v>31066562.619999997</v>
      </c>
      <c r="F7" s="6">
        <v>0</v>
      </c>
    </row>
    <row r="8" spans="1:10" x14ac:dyDescent="0.2">
      <c r="A8" t="s">
        <v>88</v>
      </c>
      <c r="B8" s="6">
        <f>3000000*I2</f>
        <v>29580000</v>
      </c>
      <c r="C8" s="6">
        <f>3410000*I2</f>
        <v>33622600</v>
      </c>
      <c r="D8" s="6">
        <f>6410000*I2</f>
        <v>63202600</v>
      </c>
      <c r="E8" s="6">
        <f>5410000*I2</f>
        <v>53342600</v>
      </c>
      <c r="F8" s="6">
        <f>4510000*I2</f>
        <v>44468600</v>
      </c>
    </row>
    <row r="9" spans="1:10" x14ac:dyDescent="0.2">
      <c r="A9" s="16" t="s">
        <v>89</v>
      </c>
      <c r="B9" s="13">
        <f>SUM(B3:B8)</f>
        <v>6292503745.039999</v>
      </c>
      <c r="C9" s="13">
        <f>SUM(C3:C8)</f>
        <v>10535029088.479998</v>
      </c>
      <c r="D9" s="13">
        <f>SUM(D3:D8)</f>
        <v>11889344428.9</v>
      </c>
      <c r="E9" s="13">
        <f>SUM(E3:E8)</f>
        <v>8795350950.7800007</v>
      </c>
      <c r="F9" s="13">
        <f>SUM(F3:F8)</f>
        <v>10145331223.879999</v>
      </c>
      <c r="G9" s="6"/>
    </row>
    <row r="11" spans="1:10" x14ac:dyDescent="0.2">
      <c r="A11" t="s">
        <v>41</v>
      </c>
      <c r="B11" s="6">
        <f>2687170*I2</f>
        <v>26495496.199999999</v>
      </c>
      <c r="C11" s="6">
        <f>6552457*I2</f>
        <v>64607226.019999996</v>
      </c>
      <c r="D11" s="6">
        <f>5767484*I2</f>
        <v>56867392.239999995</v>
      </c>
      <c r="E11" s="6">
        <f>12630531*I2</f>
        <v>124537035.66</v>
      </c>
      <c r="F11" s="6">
        <f>17010531*I2</f>
        <v>167723835.66</v>
      </c>
    </row>
    <row r="12" spans="1:10" x14ac:dyDescent="0.2">
      <c r="A12" t="s">
        <v>42</v>
      </c>
      <c r="B12" s="6">
        <f>3319348*I2</f>
        <v>32728771.279999997</v>
      </c>
      <c r="C12" s="6">
        <f>18230962*I2</f>
        <v>179757285.31999999</v>
      </c>
      <c r="D12" s="6">
        <f>14633061*I2</f>
        <v>144281981.45999998</v>
      </c>
      <c r="E12" s="6">
        <f>7448390*I2</f>
        <v>73441125.399999991</v>
      </c>
      <c r="F12" s="6">
        <f>49630484*I2</f>
        <v>489356572.23999995</v>
      </c>
    </row>
    <row r="13" spans="1:10" x14ac:dyDescent="0.2">
      <c r="A13" t="s">
        <v>43</v>
      </c>
      <c r="B13" s="6">
        <f>4925568*I2</f>
        <v>48566100.479999997</v>
      </c>
      <c r="C13" s="6">
        <f>92608*I2</f>
        <v>913114.88</v>
      </c>
      <c r="D13" s="6">
        <f>154448*I2</f>
        <v>1522857.28</v>
      </c>
      <c r="E13" s="6">
        <f>261093*I2</f>
        <v>2574376.98</v>
      </c>
      <c r="F13" s="6">
        <f>108391*I2</f>
        <v>1068735.26</v>
      </c>
    </row>
    <row r="14" spans="1:10" x14ac:dyDescent="0.2">
      <c r="A14" t="s">
        <v>44</v>
      </c>
      <c r="B14" s="6">
        <f>902853*I2</f>
        <v>8902130.5800000001</v>
      </c>
      <c r="C14" s="6">
        <f>2263662*I2</f>
        <v>22319707.32</v>
      </c>
      <c r="D14" s="6">
        <f>964416*I2</f>
        <v>9509141.7599999998</v>
      </c>
      <c r="E14" s="6">
        <f>1032640*I2</f>
        <v>10181830.399999999</v>
      </c>
      <c r="F14" s="6">
        <f>3245055*I2</f>
        <v>31996242.299999997</v>
      </c>
    </row>
    <row r="15" spans="1:10" x14ac:dyDescent="0.2">
      <c r="A15" t="s">
        <v>45</v>
      </c>
      <c r="B15" s="6">
        <f>396291*I2</f>
        <v>3907429.26</v>
      </c>
      <c r="C15" s="6">
        <f>1837052*I2</f>
        <v>18113332.719999999</v>
      </c>
      <c r="D15" s="6">
        <f>7063619*I2</f>
        <v>69647283.339999989</v>
      </c>
      <c r="E15" s="6">
        <f>1070101*I2</f>
        <v>10551195.859999999</v>
      </c>
      <c r="F15" s="6">
        <f>449629*I2</f>
        <v>4433341.9399999995</v>
      </c>
    </row>
    <row r="16" spans="1:10" x14ac:dyDescent="0.2">
      <c r="A16" t="s">
        <v>90</v>
      </c>
      <c r="B16" s="6">
        <f>0*I2</f>
        <v>0</v>
      </c>
      <c r="C16" s="6">
        <f>0*I2</f>
        <v>0</v>
      </c>
      <c r="D16" s="6">
        <f>0*I2</f>
        <v>0</v>
      </c>
      <c r="E16" s="6">
        <f>0*I2</f>
        <v>0</v>
      </c>
      <c r="F16" s="6">
        <f>209238*I2</f>
        <v>2063086.68</v>
      </c>
      <c r="J16" s="82"/>
    </row>
    <row r="17" spans="1:6" x14ac:dyDescent="0.2">
      <c r="A17" t="s">
        <v>149</v>
      </c>
      <c r="B17" s="6">
        <f>0*I2</f>
        <v>0</v>
      </c>
      <c r="C17" s="6">
        <f>0*I2</f>
        <v>0</v>
      </c>
      <c r="D17" s="6">
        <f>1991381*I2</f>
        <v>19635016.66</v>
      </c>
      <c r="E17" s="6">
        <f>1939443*I2</f>
        <v>19122907.98</v>
      </c>
      <c r="F17" s="6">
        <f>2417779*I2</f>
        <v>23839300.939999998</v>
      </c>
    </row>
    <row r="18" spans="1:6" x14ac:dyDescent="0.2">
      <c r="A18" t="s">
        <v>92</v>
      </c>
      <c r="B18" s="6">
        <f>18082979*I2</f>
        <v>178298172.94</v>
      </c>
      <c r="C18" s="6">
        <f>13395723*I2</f>
        <v>132081828.77999999</v>
      </c>
      <c r="D18" s="6">
        <f>23338062*I2</f>
        <v>230113291.31999999</v>
      </c>
      <c r="E18" s="6">
        <f>38183154*I2</f>
        <v>376485898.44</v>
      </c>
      <c r="F18" s="6">
        <f>81345877*I2</f>
        <v>802070347.21999991</v>
      </c>
    </row>
    <row r="19" spans="1:6" x14ac:dyDescent="0.2">
      <c r="A19" s="16" t="s">
        <v>46</v>
      </c>
      <c r="B19" s="13">
        <f>SUM(B11:B18)</f>
        <v>298898100.74000001</v>
      </c>
      <c r="C19" s="13">
        <f>SUM(C11:C18)</f>
        <v>417792495.03999996</v>
      </c>
      <c r="D19" s="13">
        <f>SUM(D11:D18)</f>
        <v>531576964.06</v>
      </c>
      <c r="E19" s="13">
        <f>SUM(E11:E18)</f>
        <v>616894370.72000003</v>
      </c>
      <c r="F19" s="13">
        <f>SUM(F11:F18)</f>
        <v>1522551462.2399998</v>
      </c>
    </row>
    <row r="21" spans="1:6" x14ac:dyDescent="0.2">
      <c r="A21" s="16" t="s">
        <v>62</v>
      </c>
      <c r="B21" s="13">
        <f>B9+B19</f>
        <v>6591401845.7799988</v>
      </c>
      <c r="C21" s="13">
        <f>C9+C19</f>
        <v>10952821583.519997</v>
      </c>
      <c r="D21" s="13">
        <f>D9+D19</f>
        <v>12420921392.959999</v>
      </c>
      <c r="E21" s="13">
        <f>E9+E19</f>
        <v>9412245321.5</v>
      </c>
      <c r="F21" s="13">
        <f>F9+F19</f>
        <v>11667882686.119999</v>
      </c>
    </row>
    <row r="23" spans="1:6" x14ac:dyDescent="0.2">
      <c r="A23" s="13" t="s">
        <v>63</v>
      </c>
    </row>
    <row r="24" spans="1:6" x14ac:dyDescent="0.2">
      <c r="A24" s="6" t="s">
        <v>64</v>
      </c>
      <c r="B24" s="6">
        <f>31310*I2</f>
        <v>308716.59999999998</v>
      </c>
      <c r="C24" s="6">
        <f>32890*I2</f>
        <v>324295.39999999997</v>
      </c>
      <c r="D24" s="6">
        <f>32890*I2</f>
        <v>324295.39999999997</v>
      </c>
      <c r="E24" s="6">
        <f>D24*I2</f>
        <v>3197552.6439999994</v>
      </c>
      <c r="F24" s="6">
        <f>E24</f>
        <v>3197552.6439999994</v>
      </c>
    </row>
    <row r="25" spans="1:6" x14ac:dyDescent="0.2">
      <c r="A25" s="6" t="s">
        <v>65</v>
      </c>
      <c r="B25" s="6">
        <f>319357218*I2</f>
        <v>3148862169.48</v>
      </c>
      <c r="C25" s="6">
        <f>334328863*I2</f>
        <v>3296482589.1799998</v>
      </c>
      <c r="D25" s="6">
        <f>C25</f>
        <v>3296482589.1799998</v>
      </c>
      <c r="E25" s="6">
        <f>300019846*I2</f>
        <v>2958195681.5599999</v>
      </c>
      <c r="F25" s="6">
        <f>280424849*I2</f>
        <v>2764989011.1399999</v>
      </c>
    </row>
    <row r="26" spans="1:6" x14ac:dyDescent="0.2">
      <c r="A26" s="6" t="s">
        <v>72</v>
      </c>
      <c r="B26" s="6">
        <f>0*I2</f>
        <v>0</v>
      </c>
      <c r="C26" s="6">
        <f>-1010155*I2</f>
        <v>-9960128.2999999989</v>
      </c>
      <c r="D26" s="6">
        <f>-3068260*I2</f>
        <v>-30253043.599999998</v>
      </c>
      <c r="E26" s="6">
        <f>-3571790*I2</f>
        <v>-35217849.399999999</v>
      </c>
      <c r="F26" s="6">
        <f>-4583929*I2</f>
        <v>-45197539.939999998</v>
      </c>
    </row>
    <row r="27" spans="1:6" x14ac:dyDescent="0.2">
      <c r="A27" s="6" t="s">
        <v>73</v>
      </c>
      <c r="B27" s="6">
        <f>0*I2</f>
        <v>0</v>
      </c>
      <c r="C27" s="6">
        <f>-22896*I2</f>
        <v>-225754.56</v>
      </c>
      <c r="D27" s="6">
        <f>-25947*I2</f>
        <v>-255837.41999999998</v>
      </c>
      <c r="E27" s="6">
        <f>-26150*I2</f>
        <v>-257838.99999999997</v>
      </c>
      <c r="F27" s="6">
        <f>-28606*I2</f>
        <v>-282055.15999999997</v>
      </c>
    </row>
    <row r="28" spans="1:6" x14ac:dyDescent="0.2">
      <c r="A28" s="6" t="s">
        <v>71</v>
      </c>
      <c r="B28" s="6">
        <f>-3018755*I2</f>
        <v>-29764924.299999997</v>
      </c>
      <c r="C28" s="6">
        <f>8365601*I2</f>
        <v>82484825.859999999</v>
      </c>
      <c r="D28" s="6">
        <f>65960647*I2</f>
        <v>650371979.41999996</v>
      </c>
      <c r="E28" s="6">
        <f>61838062*I2</f>
        <v>609723291.31999993</v>
      </c>
      <c r="F28" s="6">
        <f>146398057*I2</f>
        <v>1443484842.02</v>
      </c>
    </row>
    <row r="29" spans="1:6" x14ac:dyDescent="0.2">
      <c r="A29" s="13" t="s">
        <v>66</v>
      </c>
      <c r="B29" s="13">
        <f>SUM(B24:B28)</f>
        <v>3119405961.7799997</v>
      </c>
      <c r="C29" s="13">
        <f>SUM(C24:C28)</f>
        <v>3369105827.5799999</v>
      </c>
      <c r="D29" s="13">
        <f>SUM(D24:D28)</f>
        <v>3916669982.98</v>
      </c>
      <c r="E29" s="13">
        <f>SUM(E24:E28)</f>
        <v>3535640837.1239996</v>
      </c>
      <c r="F29" s="13">
        <f>SUM(F24:F28)</f>
        <v>4166191810.704</v>
      </c>
    </row>
    <row r="30" spans="1:6" x14ac:dyDescent="0.2">
      <c r="A30" s="6" t="s">
        <v>87</v>
      </c>
    </row>
    <row r="31" spans="1:6" x14ac:dyDescent="0.2">
      <c r="A31" s="16" t="s">
        <v>12</v>
      </c>
    </row>
    <row r="32" spans="1:6" x14ac:dyDescent="0.2">
      <c r="A32" s="6" t="s">
        <v>12</v>
      </c>
      <c r="B32" s="6">
        <f>317802753*I2</f>
        <v>3133535144.5799999</v>
      </c>
      <c r="C32" s="6">
        <f>683676384*I2</f>
        <v>6741049146.2399998</v>
      </c>
      <c r="D32" s="6">
        <f>759218688*I2</f>
        <v>7485896263.6799994</v>
      </c>
      <c r="E32" s="6">
        <f>534783459*I2</f>
        <v>5272964905.7399998</v>
      </c>
      <c r="F32" s="6">
        <f>668236463*I2</f>
        <v>6588811525.1799994</v>
      </c>
    </row>
    <row r="33" spans="1:6" x14ac:dyDescent="0.2">
      <c r="A33" s="6" t="s">
        <v>74</v>
      </c>
      <c r="B33" s="6">
        <v>0</v>
      </c>
      <c r="C33" s="6">
        <f>53066*I2</f>
        <v>523230.75999999995</v>
      </c>
      <c r="D33" s="6">
        <f>61175*I2</f>
        <v>603185.5</v>
      </c>
      <c r="E33" s="6">
        <f>17294*I2</f>
        <v>170518.84</v>
      </c>
      <c r="F33" s="6">
        <f>23937*I2</f>
        <v>236018.81999999998</v>
      </c>
    </row>
    <row r="34" spans="1:6" x14ac:dyDescent="0.2">
      <c r="A34" s="6" t="s">
        <v>98</v>
      </c>
      <c r="B34" s="6">
        <v>0</v>
      </c>
      <c r="C34" s="6">
        <v>0</v>
      </c>
      <c r="D34" s="6">
        <f>1116166*I2</f>
        <v>11005396.76</v>
      </c>
      <c r="E34" s="6">
        <v>0</v>
      </c>
      <c r="F34" s="6">
        <v>0</v>
      </c>
    </row>
    <row r="35" spans="1:6" x14ac:dyDescent="0.2">
      <c r="A35" s="16" t="s">
        <v>93</v>
      </c>
      <c r="B35" s="13">
        <f>SUM(B32:B34)</f>
        <v>3133535144.5799999</v>
      </c>
      <c r="C35" s="13">
        <f>SUM(C32:C34)</f>
        <v>6741572377</v>
      </c>
      <c r="D35" s="13">
        <f>SUM(D32:D34)</f>
        <v>7497504845.9399996</v>
      </c>
      <c r="E35" s="13">
        <f>SUM(E32:E34)</f>
        <v>5273135424.5799999</v>
      </c>
      <c r="F35" s="13">
        <f>SUM(F32:F34)</f>
        <v>6589047543.999999</v>
      </c>
    </row>
    <row r="37" spans="1:6" x14ac:dyDescent="0.2">
      <c r="A37" s="16" t="s">
        <v>3</v>
      </c>
    </row>
    <row r="38" spans="1:6" x14ac:dyDescent="0.2">
      <c r="A38" t="s">
        <v>94</v>
      </c>
      <c r="B38" s="6">
        <f>6835666*I2</f>
        <v>67399666.75999999</v>
      </c>
      <c r="C38" s="6">
        <f>13953070*I2</f>
        <v>137577270.19999999</v>
      </c>
      <c r="D38" s="6">
        <f>17697198*I2</f>
        <v>174494372.28</v>
      </c>
      <c r="E38" s="6">
        <f>15960456*I2</f>
        <v>157370096.16</v>
      </c>
      <c r="F38" s="6">
        <f>11771964*I2</f>
        <v>116071565.03999999</v>
      </c>
    </row>
    <row r="39" spans="1:6" x14ac:dyDescent="0.2">
      <c r="A39" t="s">
        <v>95</v>
      </c>
      <c r="B39" s="6">
        <f>1728163*I2</f>
        <v>17039687.18</v>
      </c>
      <c r="C39" s="6">
        <f>4384815*I2</f>
        <v>43234275.899999999</v>
      </c>
      <c r="D39" s="6">
        <f>2306868*I2</f>
        <v>22745718.48</v>
      </c>
      <c r="E39" s="6">
        <f>2623745*I2</f>
        <v>25870125.699999999</v>
      </c>
      <c r="F39" s="6">
        <f>6024899*I2</f>
        <v>59405504.139999993</v>
      </c>
    </row>
    <row r="40" spans="1:6" x14ac:dyDescent="0.2">
      <c r="A40" t="s">
        <v>96</v>
      </c>
      <c r="B40" s="6">
        <f>1064850*I2</f>
        <v>10499421</v>
      </c>
      <c r="C40" s="6">
        <f>4919126*I2</f>
        <v>48502582.359999999</v>
      </c>
      <c r="D40" s="6">
        <f>6462292*I2</f>
        <v>63718199.119999997</v>
      </c>
      <c r="E40" s="6">
        <f>0*I2</f>
        <v>0</v>
      </c>
      <c r="F40" s="6">
        <f>4255500*I2</f>
        <v>41959230</v>
      </c>
    </row>
    <row r="41" spans="1:6" x14ac:dyDescent="0.2">
      <c r="A41" s="6" t="s">
        <v>145</v>
      </c>
      <c r="B41" s="6">
        <f>2612524*I2</f>
        <v>25759486.639999997</v>
      </c>
      <c r="C41" s="6">
        <f>13123755*I2</f>
        <v>129400224.3</v>
      </c>
      <c r="D41" s="6">
        <f>379803*I2</f>
        <v>3744857.5799999996</v>
      </c>
      <c r="E41" s="6">
        <f>698153*I2</f>
        <v>6883788.5799999991</v>
      </c>
      <c r="F41" s="6">
        <f>0*I2</f>
        <v>0</v>
      </c>
    </row>
    <row r="42" spans="1:6" x14ac:dyDescent="0.2">
      <c r="A42" t="s">
        <v>67</v>
      </c>
      <c r="B42" s="6">
        <f>22085444*I2</f>
        <v>217762477.83999997</v>
      </c>
      <c r="C42" s="6">
        <f>49029313*I2</f>
        <v>483429026.17999995</v>
      </c>
      <c r="D42" s="6">
        <f>75257953*I2</f>
        <v>742043416.57999992</v>
      </c>
      <c r="E42" s="6">
        <f>42212810*I2</f>
        <v>416218306.59999996</v>
      </c>
      <c r="F42" s="6">
        <f>70799218*I2</f>
        <v>698080289.48000002</v>
      </c>
    </row>
    <row r="43" spans="1:6" x14ac:dyDescent="0.2">
      <c r="A43" s="16" t="s">
        <v>52</v>
      </c>
      <c r="B43" s="13">
        <f>SUM(B38:B42)</f>
        <v>338460739.41999996</v>
      </c>
      <c r="C43" s="13">
        <f>SUM(C38:C42)</f>
        <v>842143378.93999994</v>
      </c>
      <c r="D43" s="13">
        <f>SUM(D38:D42)</f>
        <v>1006746564.04</v>
      </c>
      <c r="E43" s="13">
        <f>SUM(E38:E42)</f>
        <v>606342317.03999996</v>
      </c>
      <c r="F43" s="13">
        <f>SUM(F38:F42)</f>
        <v>915516588.65999997</v>
      </c>
    </row>
    <row r="45" spans="1:6" x14ac:dyDescent="0.2">
      <c r="A45" s="16" t="s">
        <v>69</v>
      </c>
      <c r="B45" s="13">
        <f>B35+B43</f>
        <v>3471995884</v>
      </c>
      <c r="C45" s="13">
        <f>C35+C43</f>
        <v>7583715755.9399996</v>
      </c>
      <c r="D45" s="13">
        <f>D35+D43</f>
        <v>8504251409.9799995</v>
      </c>
      <c r="E45" s="13">
        <f>E35+E43</f>
        <v>5879477741.6199999</v>
      </c>
      <c r="F45" s="13">
        <f>F35+F43</f>
        <v>7504564132.6599989</v>
      </c>
    </row>
    <row r="47" spans="1:6" x14ac:dyDescent="0.2">
      <c r="A47" s="16" t="s">
        <v>97</v>
      </c>
      <c r="B47" s="13">
        <f>B45+B29</f>
        <v>6591401845.7799997</v>
      </c>
      <c r="C47" s="13">
        <f>C45+C29</f>
        <v>10952821583.52</v>
      </c>
      <c r="D47" s="13">
        <f>D45+D29</f>
        <v>12420921392.959999</v>
      </c>
      <c r="E47" s="13">
        <f>E45+E29</f>
        <v>9415118578.7439995</v>
      </c>
      <c r="F47" s="13">
        <f>F45+F29</f>
        <v>11670755943.363998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AE0DC-BEFE-417D-AA7B-36E60018CDE6}">
  <dimension ref="A1:I70"/>
  <sheetViews>
    <sheetView zoomScale="90" zoomScaleNormal="90" workbookViewId="0">
      <selection activeCell="F11" sqref="F11"/>
    </sheetView>
  </sheetViews>
  <sheetFormatPr baseColWidth="10" defaultRowHeight="15" x14ac:dyDescent="0.2"/>
  <cols>
    <col min="1" max="1" width="37.1640625" bestFit="1" customWidth="1"/>
    <col min="2" max="2" width="11.6640625" bestFit="1" customWidth="1"/>
    <col min="3" max="3" width="12.5" bestFit="1" customWidth="1"/>
    <col min="4" max="6" width="13.1640625" bestFit="1" customWidth="1"/>
  </cols>
  <sheetData>
    <row r="1" spans="1:9" x14ac:dyDescent="0.2">
      <c r="A1" s="100" t="s">
        <v>100</v>
      </c>
      <c r="B1" s="100"/>
      <c r="C1" s="100"/>
      <c r="D1" s="100"/>
      <c r="E1" s="100"/>
      <c r="F1" s="100"/>
    </row>
    <row r="2" spans="1:9" x14ac:dyDescent="0.2">
      <c r="A2" s="16" t="s">
        <v>0</v>
      </c>
      <c r="B2" s="16">
        <v>2018</v>
      </c>
      <c r="C2" s="16">
        <v>2019</v>
      </c>
      <c r="D2" s="16">
        <v>2020</v>
      </c>
      <c r="E2" s="16">
        <v>2021</v>
      </c>
      <c r="F2" s="16">
        <v>2022</v>
      </c>
      <c r="H2" t="s">
        <v>119</v>
      </c>
      <c r="I2">
        <v>9.86</v>
      </c>
    </row>
    <row r="3" spans="1:9" x14ac:dyDescent="0.2">
      <c r="A3" s="16" t="s">
        <v>101</v>
      </c>
      <c r="B3" s="13">
        <f>29207291*I2</f>
        <v>287983889.25999999</v>
      </c>
      <c r="C3" s="13">
        <f>127733607*I2</f>
        <v>1259453365.02</v>
      </c>
      <c r="D3" s="13">
        <f>282870330*I2</f>
        <v>2789101453.7999997</v>
      </c>
      <c r="E3" s="13">
        <f>168998225*I2</f>
        <v>1666322498.5</v>
      </c>
      <c r="F3" s="13">
        <f>270972421*I2</f>
        <v>2671788071.0599999</v>
      </c>
    </row>
    <row r="4" spans="1:9" x14ac:dyDescent="0.2">
      <c r="B4" s="6"/>
      <c r="C4" s="6"/>
      <c r="D4" s="6"/>
      <c r="E4" s="6"/>
      <c r="F4" s="6"/>
    </row>
    <row r="5" spans="1:9" x14ac:dyDescent="0.2">
      <c r="A5" s="16" t="s">
        <v>79</v>
      </c>
    </row>
    <row r="6" spans="1:9" x14ac:dyDescent="0.2">
      <c r="A6" t="s">
        <v>78</v>
      </c>
      <c r="B6" s="6">
        <f>-335003*I2</f>
        <v>-3303129.5799999996</v>
      </c>
      <c r="C6" s="6">
        <f>-1665407*I2</f>
        <v>-16420913.02</v>
      </c>
      <c r="D6" s="6">
        <f>-3757075*I2</f>
        <v>-37044759.5</v>
      </c>
      <c r="E6" s="6">
        <f>-2229156*I2</f>
        <v>-21979478.16</v>
      </c>
      <c r="F6" s="6">
        <f>-3382419*I2</f>
        <v>-33350651.34</v>
      </c>
    </row>
    <row r="7" spans="1:9" x14ac:dyDescent="0.2">
      <c r="A7" t="s">
        <v>102</v>
      </c>
      <c r="B7" s="6">
        <f>-7657943*I2</f>
        <v>-75507317.979999989</v>
      </c>
      <c r="C7" s="6">
        <f>-25738665*I2</f>
        <v>-253783236.89999998</v>
      </c>
      <c r="D7" s="6">
        <f>-48116343*I2</f>
        <v>-474427141.97999996</v>
      </c>
      <c r="E7" s="6">
        <f>-45006762*I2</f>
        <v>-443766673.31999999</v>
      </c>
      <c r="F7" s="6">
        <f>-74086221*I2</f>
        <v>-730490139.05999994</v>
      </c>
    </row>
    <row r="8" spans="1:9" x14ac:dyDescent="0.2">
      <c r="A8" t="s">
        <v>103</v>
      </c>
      <c r="B8" s="6">
        <f>-7760285*I2</f>
        <v>-76516410.099999994</v>
      </c>
      <c r="C8" s="6">
        <f>-24451931*I2</f>
        <v>-241096039.66</v>
      </c>
      <c r="D8" s="6">
        <f>-40178632*I2</f>
        <v>-396161311.51999998</v>
      </c>
      <c r="E8" s="6">
        <f>-40695997*I2</f>
        <v>-401262530.41999996</v>
      </c>
      <c r="F8" s="6">
        <f>-35740460*I2</f>
        <v>-352400935.59999996</v>
      </c>
    </row>
    <row r="9" spans="1:9" x14ac:dyDescent="0.2">
      <c r="A9" t="s">
        <v>80</v>
      </c>
      <c r="B9" s="6">
        <f>-735600*I2</f>
        <v>-7253016</v>
      </c>
      <c r="C9" s="6">
        <f>-2186400*I2</f>
        <v>-21557904</v>
      </c>
      <c r="D9" s="6">
        <f>-3416400*I2</f>
        <v>-33685704</v>
      </c>
      <c r="E9" s="6">
        <f>-5425200*I2</f>
        <v>-53492472</v>
      </c>
      <c r="F9" s="6">
        <f>-4381200*I2</f>
        <v>-43198632</v>
      </c>
    </row>
    <row r="10" spans="1:9" x14ac:dyDescent="0.2">
      <c r="A10" t="s">
        <v>104</v>
      </c>
      <c r="B10" s="6">
        <f>-7324727*I2</f>
        <v>-72221808.219999999</v>
      </c>
      <c r="C10" s="6">
        <f>-24585920*I2</f>
        <v>-242417171.19999999</v>
      </c>
      <c r="D10" s="6">
        <f>-41619641*I2</f>
        <v>-410369660.25999999</v>
      </c>
      <c r="E10" s="6">
        <f>-38666266*I2</f>
        <v>-381249382.75999999</v>
      </c>
      <c r="F10" s="6">
        <f>-37962924*I2</f>
        <v>-374314430.63999999</v>
      </c>
    </row>
    <row r="11" spans="1:9" x14ac:dyDescent="0.2">
      <c r="A11" t="s">
        <v>105</v>
      </c>
      <c r="B11" s="6">
        <f>-1067961*I2</f>
        <v>-10530095.459999999</v>
      </c>
      <c r="C11" s="6">
        <f>-3329028*I2</f>
        <v>-32824216.079999998</v>
      </c>
      <c r="D11" s="6">
        <f>-4421483*I2</f>
        <v>-43595822.379999995</v>
      </c>
      <c r="E11" s="6">
        <f>-5094940*I2</f>
        <v>-50236108.399999999</v>
      </c>
      <c r="F11" s="6">
        <f>-5296523*I2</f>
        <v>-52223716.779999994</v>
      </c>
    </row>
    <row r="12" spans="1:9" x14ac:dyDescent="0.2">
      <c r="A12" t="s">
        <v>107</v>
      </c>
      <c r="B12" s="6">
        <f>0*I2</f>
        <v>0</v>
      </c>
      <c r="C12" s="6">
        <v>0</v>
      </c>
      <c r="D12" s="6">
        <v>0</v>
      </c>
      <c r="E12" s="6">
        <f>-3932873*I2</f>
        <v>-38778127.780000001</v>
      </c>
      <c r="F12" s="6">
        <f>0*I2</f>
        <v>0</v>
      </c>
    </row>
    <row r="13" spans="1:9" x14ac:dyDescent="0.2">
      <c r="A13" t="s">
        <v>106</v>
      </c>
      <c r="B13" s="6">
        <f>0*I2</f>
        <v>0</v>
      </c>
      <c r="C13" s="6">
        <v>0</v>
      </c>
      <c r="D13" s="6">
        <v>0</v>
      </c>
      <c r="E13" s="6">
        <f>4076668*I2</f>
        <v>40195946.479999997</v>
      </c>
      <c r="F13" s="6">
        <f>0*I2</f>
        <v>0</v>
      </c>
    </row>
    <row r="14" spans="1:9" x14ac:dyDescent="0.2">
      <c r="A14" t="s">
        <v>108</v>
      </c>
      <c r="B14" s="6">
        <f>SUM(B6:B13)</f>
        <v>-245331777.33999997</v>
      </c>
      <c r="C14" s="6">
        <f>SUM(C6:C13)</f>
        <v>-808099480.86000001</v>
      </c>
      <c r="D14" s="6">
        <f>SUM(D6:D13)</f>
        <v>-1395284399.6399999</v>
      </c>
      <c r="E14" s="6">
        <f>SUM(E6:E13)</f>
        <v>-1350568826.3599999</v>
      </c>
      <c r="F14" s="6">
        <f>SUM(F6:F13)</f>
        <v>-1585978505.4199998</v>
      </c>
    </row>
    <row r="15" spans="1:9" x14ac:dyDescent="0.2">
      <c r="A15" s="16" t="s">
        <v>109</v>
      </c>
      <c r="B15" s="13">
        <f>B3+B14</f>
        <v>42652111.920000017</v>
      </c>
      <c r="C15" s="13">
        <f>C3+C14</f>
        <v>451353884.15999997</v>
      </c>
      <c r="D15" s="13">
        <f>D3+D14</f>
        <v>1393817054.1599998</v>
      </c>
      <c r="E15" s="13">
        <f>E3+E14</f>
        <v>315753672.1400001</v>
      </c>
      <c r="F15" s="13">
        <f>F3+F14</f>
        <v>1085809565.6400001</v>
      </c>
    </row>
    <row r="16" spans="1:9" x14ac:dyDescent="0.2">
      <c r="B16" s="6"/>
      <c r="C16" s="6"/>
      <c r="D16" s="6"/>
      <c r="E16" s="6"/>
      <c r="F16" s="6"/>
    </row>
    <row r="17" spans="1:8" x14ac:dyDescent="0.2">
      <c r="A17" s="16" t="s">
        <v>110</v>
      </c>
      <c r="B17" s="6"/>
      <c r="C17" s="6"/>
      <c r="D17" s="6"/>
      <c r="E17" s="6"/>
      <c r="F17" s="6"/>
    </row>
    <row r="18" spans="1:8" x14ac:dyDescent="0.2">
      <c r="A18" t="s">
        <v>111</v>
      </c>
      <c r="B18" s="6">
        <f>292412*I2</f>
        <v>2883182.32</v>
      </c>
      <c r="C18" s="6">
        <f>130020*I2</f>
        <v>1281997.2</v>
      </c>
      <c r="D18" s="6">
        <f>50499*I2</f>
        <v>497920.13999999996</v>
      </c>
      <c r="E18" s="6">
        <f>3470*I2</f>
        <v>34214.199999999997</v>
      </c>
      <c r="F18" s="6">
        <f>721528*I2</f>
        <v>7114266.0799999991</v>
      </c>
    </row>
    <row r="19" spans="1:8" x14ac:dyDescent="0.2">
      <c r="A19" t="s">
        <v>122</v>
      </c>
      <c r="B19" s="6">
        <f>0*I2</f>
        <v>0</v>
      </c>
      <c r="C19" s="6">
        <f>-496274*I2</f>
        <v>-4893261.6399999997</v>
      </c>
      <c r="D19" s="6">
        <f>-1354921*I2</f>
        <v>-13359521.059999999</v>
      </c>
      <c r="E19" s="6">
        <f>0</f>
        <v>0</v>
      </c>
      <c r="F19" s="6">
        <v>0</v>
      </c>
    </row>
    <row r="20" spans="1:8" x14ac:dyDescent="0.2">
      <c r="A20" t="s">
        <v>112</v>
      </c>
      <c r="B20" s="6">
        <f>-7565865*I2</f>
        <v>-74599428.899999991</v>
      </c>
      <c r="C20" s="6">
        <f>-34010460*I2</f>
        <v>-335343135.59999996</v>
      </c>
      <c r="D20" s="6">
        <f>-37649743*I2</f>
        <v>-371226465.97999996</v>
      </c>
      <c r="E20" s="6">
        <f>-36465423*I2</f>
        <v>-359549070.77999997</v>
      </c>
      <c r="F20" s="6">
        <f>-38081975*I2</f>
        <v>-375488273.5</v>
      </c>
    </row>
    <row r="21" spans="1:8" x14ac:dyDescent="0.2">
      <c r="A21" t="s">
        <v>113</v>
      </c>
      <c r="B21" s="6">
        <v>0</v>
      </c>
      <c r="C21" s="6">
        <v>0</v>
      </c>
      <c r="D21" s="6">
        <f>-1116166*I2</f>
        <v>-11005396.76</v>
      </c>
      <c r="E21" s="6">
        <f>4156933*I2</f>
        <v>40987359.379999995</v>
      </c>
      <c r="F21" s="6">
        <f>45960*I2</f>
        <v>453165.6</v>
      </c>
    </row>
    <row r="22" spans="1:8" x14ac:dyDescent="0.2">
      <c r="A22" t="s">
        <v>114</v>
      </c>
      <c r="B22" s="6">
        <v>0</v>
      </c>
      <c r="C22" s="6">
        <v>0</v>
      </c>
      <c r="D22" s="6">
        <f>-23770*I2</f>
        <v>-234372.19999999998</v>
      </c>
      <c r="E22" s="6">
        <f>-558916*I2</f>
        <v>-5510911.7599999998</v>
      </c>
      <c r="F22" s="6">
        <f>11436481*I2</f>
        <v>112763702.66</v>
      </c>
    </row>
    <row r="23" spans="1:8" x14ac:dyDescent="0.2">
      <c r="A23" t="s">
        <v>115</v>
      </c>
      <c r="B23" s="6">
        <f>-71074*I2</f>
        <v>-700789.64</v>
      </c>
      <c r="C23" s="6">
        <f>-15186*I2</f>
        <v>-149733.96</v>
      </c>
      <c r="D23" s="6">
        <f>52287*I2</f>
        <v>515549.81999999995</v>
      </c>
      <c r="E23" s="6">
        <f>-62662*I2</f>
        <v>-617847.31999999995</v>
      </c>
      <c r="F23" s="6">
        <f>315327*I2</f>
        <v>3109124.2199999997</v>
      </c>
    </row>
    <row r="24" spans="1:8" x14ac:dyDescent="0.2">
      <c r="A24" s="16" t="s">
        <v>116</v>
      </c>
      <c r="B24" s="13">
        <f>SUM(B18:B23)</f>
        <v>-72417036.219999999</v>
      </c>
      <c r="C24" s="13">
        <f>SUM(C18:C23)</f>
        <v>-339104133.99999994</v>
      </c>
      <c r="D24" s="13">
        <f>SUM(D18:D23)</f>
        <v>-394812286.03999996</v>
      </c>
      <c r="E24" s="13">
        <f>SUM(E18:E23)</f>
        <v>-324656256.27999997</v>
      </c>
      <c r="F24" s="13">
        <f>SUM(F18:F23)</f>
        <v>-252048014.94</v>
      </c>
      <c r="H24" s="6"/>
    </row>
    <row r="25" spans="1:8" x14ac:dyDescent="0.2">
      <c r="A25" s="16" t="s">
        <v>117</v>
      </c>
      <c r="B25" s="6">
        <f>B15+B24</f>
        <v>-29764924.299999982</v>
      </c>
      <c r="C25" s="6">
        <f>C15+C24</f>
        <v>112249750.16000003</v>
      </c>
      <c r="D25" s="6">
        <f>D15+D24</f>
        <v>999004768.11999989</v>
      </c>
      <c r="E25" s="6">
        <f>E15+E24</f>
        <v>-8902584.1399998665</v>
      </c>
      <c r="F25" s="6">
        <f>F15+F24</f>
        <v>833761550.70000005</v>
      </c>
    </row>
    <row r="26" spans="1:8" x14ac:dyDescent="0.2">
      <c r="B26" s="6"/>
      <c r="C26" s="6"/>
      <c r="D26" s="6"/>
      <c r="E26" s="6"/>
      <c r="F26" s="6"/>
    </row>
    <row r="27" spans="1:8" x14ac:dyDescent="0.2">
      <c r="B27" s="6"/>
      <c r="C27" s="6"/>
      <c r="D27" s="6"/>
      <c r="E27" s="6"/>
      <c r="F27" s="6"/>
    </row>
    <row r="28" spans="1:8" x14ac:dyDescent="0.2">
      <c r="B28" s="6"/>
      <c r="C28" s="6"/>
      <c r="D28" s="6"/>
      <c r="E28" s="6"/>
      <c r="F28" s="6"/>
    </row>
    <row r="29" spans="1:8" x14ac:dyDescent="0.2">
      <c r="B29" s="6"/>
      <c r="C29" s="6"/>
      <c r="D29" s="6"/>
      <c r="E29" s="6"/>
      <c r="F29" s="6"/>
    </row>
    <row r="30" spans="1:8" x14ac:dyDescent="0.2">
      <c r="B30" s="6"/>
      <c r="C30" s="6"/>
      <c r="D30" s="6"/>
      <c r="E30" s="6"/>
      <c r="F30" s="6"/>
    </row>
    <row r="31" spans="1:8" x14ac:dyDescent="0.2">
      <c r="B31" s="6"/>
      <c r="C31" s="6"/>
      <c r="D31" s="6"/>
      <c r="E31" s="6"/>
      <c r="F31" s="6"/>
    </row>
    <row r="32" spans="1:8" x14ac:dyDescent="0.2">
      <c r="B32" s="6"/>
      <c r="C32" s="6"/>
      <c r="D32" s="6"/>
      <c r="E32" s="6"/>
      <c r="F32" s="6"/>
    </row>
    <row r="33" spans="2:6" x14ac:dyDescent="0.2">
      <c r="B33" s="6"/>
      <c r="C33" s="6"/>
      <c r="D33" s="6"/>
      <c r="E33" s="6"/>
      <c r="F33" s="6"/>
    </row>
    <row r="34" spans="2:6" x14ac:dyDescent="0.2">
      <c r="B34" s="6"/>
      <c r="C34" s="6"/>
      <c r="D34" s="6"/>
      <c r="E34" s="6"/>
      <c r="F34" s="6"/>
    </row>
    <row r="35" spans="2:6" x14ac:dyDescent="0.2">
      <c r="B35" s="6"/>
      <c r="C35" s="6"/>
      <c r="D35" s="6"/>
      <c r="E35" s="6"/>
      <c r="F35" s="6"/>
    </row>
    <row r="36" spans="2:6" x14ac:dyDescent="0.2">
      <c r="B36" s="6"/>
      <c r="C36" s="6"/>
      <c r="D36" s="6"/>
      <c r="E36" s="6"/>
      <c r="F36" s="6"/>
    </row>
    <row r="37" spans="2:6" x14ac:dyDescent="0.2">
      <c r="B37" s="6"/>
      <c r="C37" s="6"/>
      <c r="D37" s="6"/>
      <c r="E37" s="6"/>
      <c r="F37" s="6"/>
    </row>
    <row r="38" spans="2:6" x14ac:dyDescent="0.2">
      <c r="B38" s="6"/>
      <c r="C38" s="6"/>
      <c r="D38" s="6"/>
      <c r="E38" s="6"/>
      <c r="F38" s="6"/>
    </row>
    <row r="39" spans="2:6" x14ac:dyDescent="0.2">
      <c r="B39" s="6"/>
      <c r="C39" s="6"/>
      <c r="D39" s="6"/>
      <c r="E39" s="6"/>
      <c r="F39" s="6"/>
    </row>
    <row r="40" spans="2:6" x14ac:dyDescent="0.2">
      <c r="B40" s="6"/>
      <c r="C40" s="6"/>
      <c r="D40" s="6"/>
      <c r="E40" s="6"/>
      <c r="F40" s="6"/>
    </row>
    <row r="41" spans="2:6" x14ac:dyDescent="0.2">
      <c r="B41" s="6"/>
      <c r="C41" s="6"/>
      <c r="D41" s="6"/>
      <c r="E41" s="6"/>
      <c r="F41" s="6"/>
    </row>
    <row r="42" spans="2:6" x14ac:dyDescent="0.2">
      <c r="B42" s="6"/>
      <c r="C42" s="6"/>
      <c r="D42" s="6"/>
      <c r="E42" s="6"/>
      <c r="F42" s="6"/>
    </row>
    <row r="43" spans="2:6" x14ac:dyDescent="0.2">
      <c r="B43" s="6"/>
      <c r="C43" s="6"/>
      <c r="D43" s="6"/>
      <c r="E43" s="6"/>
      <c r="F43" s="6"/>
    </row>
    <row r="44" spans="2:6" x14ac:dyDescent="0.2">
      <c r="B44" s="6"/>
      <c r="C44" s="6"/>
      <c r="D44" s="6"/>
      <c r="E44" s="6"/>
      <c r="F44" s="6"/>
    </row>
    <row r="45" spans="2:6" x14ac:dyDescent="0.2">
      <c r="B45" s="6"/>
      <c r="C45" s="6"/>
      <c r="D45" s="6"/>
      <c r="E45" s="6"/>
      <c r="F45" s="6"/>
    </row>
    <row r="46" spans="2:6" x14ac:dyDescent="0.2">
      <c r="B46" s="6"/>
      <c r="C46" s="6"/>
      <c r="D46" s="6"/>
      <c r="E46" s="6"/>
      <c r="F46" s="6"/>
    </row>
    <row r="47" spans="2:6" x14ac:dyDescent="0.2">
      <c r="B47" s="6"/>
      <c r="C47" s="6"/>
      <c r="D47" s="6"/>
      <c r="E47" s="6"/>
      <c r="F47" s="6"/>
    </row>
    <row r="48" spans="2:6" x14ac:dyDescent="0.2">
      <c r="B48" s="6"/>
      <c r="C48" s="6"/>
      <c r="D48" s="6"/>
      <c r="E48" s="6"/>
      <c r="F48" s="6"/>
    </row>
    <row r="49" spans="2:6" x14ac:dyDescent="0.2">
      <c r="B49" s="6"/>
      <c r="C49" s="6"/>
      <c r="D49" s="6"/>
      <c r="E49" s="6"/>
      <c r="F49" s="6"/>
    </row>
    <row r="50" spans="2:6" x14ac:dyDescent="0.2">
      <c r="B50" s="6"/>
      <c r="C50" s="6"/>
      <c r="D50" s="6"/>
      <c r="E50" s="6"/>
      <c r="F50" s="6"/>
    </row>
    <row r="51" spans="2:6" x14ac:dyDescent="0.2">
      <c r="B51" s="6"/>
      <c r="C51" s="6"/>
      <c r="D51" s="6"/>
      <c r="E51" s="6"/>
      <c r="F51" s="6"/>
    </row>
    <row r="52" spans="2:6" x14ac:dyDescent="0.2">
      <c r="B52" s="6"/>
      <c r="C52" s="6"/>
      <c r="D52" s="6"/>
      <c r="E52" s="6"/>
      <c r="F52" s="6"/>
    </row>
    <row r="53" spans="2:6" x14ac:dyDescent="0.2">
      <c r="B53" s="6"/>
      <c r="C53" s="6"/>
      <c r="D53" s="6"/>
      <c r="E53" s="6"/>
      <c r="F53" s="6"/>
    </row>
    <row r="54" spans="2:6" x14ac:dyDescent="0.2">
      <c r="B54" s="6"/>
      <c r="C54" s="6"/>
      <c r="D54" s="6"/>
      <c r="E54" s="6"/>
      <c r="F54" s="6"/>
    </row>
    <row r="55" spans="2:6" x14ac:dyDescent="0.2">
      <c r="B55" s="6"/>
      <c r="C55" s="6"/>
      <c r="D55" s="6"/>
      <c r="E55" s="6"/>
      <c r="F55" s="6"/>
    </row>
    <row r="56" spans="2:6" x14ac:dyDescent="0.2">
      <c r="B56" s="6"/>
      <c r="C56" s="6"/>
      <c r="D56" s="6"/>
      <c r="E56" s="6"/>
      <c r="F56" s="6"/>
    </row>
    <row r="57" spans="2:6" x14ac:dyDescent="0.2">
      <c r="B57" s="6"/>
      <c r="C57" s="6"/>
      <c r="D57" s="6"/>
      <c r="E57" s="6"/>
      <c r="F57" s="6"/>
    </row>
    <row r="58" spans="2:6" x14ac:dyDescent="0.2">
      <c r="B58" s="6"/>
      <c r="C58" s="6"/>
      <c r="D58" s="6"/>
      <c r="E58" s="6"/>
      <c r="F58" s="6"/>
    </row>
    <row r="59" spans="2:6" x14ac:dyDescent="0.2">
      <c r="B59" s="6"/>
      <c r="C59" s="6"/>
      <c r="D59" s="6"/>
      <c r="E59" s="6"/>
      <c r="F59" s="6"/>
    </row>
    <row r="60" spans="2:6" x14ac:dyDescent="0.2">
      <c r="B60" s="6"/>
      <c r="C60" s="6"/>
      <c r="D60" s="6"/>
      <c r="E60" s="6"/>
      <c r="F60" s="6"/>
    </row>
    <row r="61" spans="2:6" x14ac:dyDescent="0.2">
      <c r="B61" s="6"/>
      <c r="C61" s="6"/>
      <c r="D61" s="6"/>
      <c r="E61" s="6"/>
      <c r="F61" s="6"/>
    </row>
    <row r="62" spans="2:6" x14ac:dyDescent="0.2">
      <c r="B62" s="6"/>
      <c r="C62" s="6"/>
      <c r="D62" s="6"/>
      <c r="E62" s="6"/>
      <c r="F62" s="6"/>
    </row>
    <row r="63" spans="2:6" x14ac:dyDescent="0.2">
      <c r="B63" s="6"/>
      <c r="C63" s="6"/>
      <c r="D63" s="6"/>
      <c r="E63" s="6"/>
      <c r="F63" s="6"/>
    </row>
    <row r="64" spans="2:6" x14ac:dyDescent="0.2">
      <c r="B64" s="6"/>
      <c r="C64" s="6"/>
      <c r="D64" s="6"/>
      <c r="E64" s="6"/>
      <c r="F64" s="6"/>
    </row>
    <row r="65" spans="2:6" x14ac:dyDescent="0.2">
      <c r="B65" s="6"/>
      <c r="C65" s="6"/>
      <c r="D65" s="6"/>
      <c r="E65" s="6"/>
      <c r="F65" s="6"/>
    </row>
    <row r="66" spans="2:6" x14ac:dyDescent="0.2">
      <c r="B66" s="6"/>
      <c r="C66" s="6"/>
      <c r="D66" s="6"/>
      <c r="E66" s="6"/>
      <c r="F66" s="6"/>
    </row>
    <row r="67" spans="2:6" x14ac:dyDescent="0.2">
      <c r="B67" s="6"/>
      <c r="C67" s="6"/>
      <c r="D67" s="6"/>
      <c r="E67" s="6"/>
      <c r="F67" s="6"/>
    </row>
    <row r="68" spans="2:6" x14ac:dyDescent="0.2">
      <c r="B68" s="6"/>
      <c r="C68" s="6"/>
      <c r="D68" s="6"/>
      <c r="E68" s="6"/>
      <c r="F68" s="6"/>
    </row>
    <row r="69" spans="2:6" x14ac:dyDescent="0.2">
      <c r="B69" s="6"/>
      <c r="C69" s="6"/>
      <c r="D69" s="6"/>
      <c r="E69" s="6"/>
      <c r="F69" s="6"/>
    </row>
    <row r="70" spans="2:6" x14ac:dyDescent="0.2">
      <c r="B70" s="6"/>
      <c r="C70" s="6"/>
      <c r="D70" s="6"/>
      <c r="E70" s="6"/>
      <c r="F70" s="6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Likviditetsgrad oppdatert</vt:lpstr>
      <vt:lpstr>Egenkapitalprosent </vt:lpstr>
      <vt:lpstr>Finansieringsgrad oppdatert</vt:lpstr>
      <vt:lpstr>CAPM</vt:lpstr>
      <vt:lpstr>WACC</vt:lpstr>
      <vt:lpstr>Gjeldsrente</vt:lpstr>
      <vt:lpstr>Omgruppert balanse</vt:lpstr>
      <vt:lpstr>Balansen</vt:lpstr>
      <vt:lpstr>Resultatregnskapet</vt:lpstr>
      <vt:lpstr>Kontantstrømoppstillingen</vt:lpstr>
      <vt:lpstr>Avskrivninger og utrangering</vt:lpstr>
      <vt:lpstr>Fremtidsbalanse</vt:lpstr>
      <vt:lpstr>Fremtidsresultat</vt:lpstr>
      <vt:lpstr>Fremtidskontantstrøm</vt:lpstr>
      <vt:lpstr>Gjeld</vt:lpstr>
      <vt:lpstr>Opex og G og A</vt:lpstr>
      <vt:lpstr>Estimert dagrate steady state</vt:lpstr>
      <vt:lpstr>Fundamental verdsettelse sensit</vt:lpstr>
      <vt:lpstr>FKD modellen</vt:lpstr>
      <vt:lpstr>Kladd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47993</dc:creator>
  <cp:lastModifiedBy>Microsoft Office User</cp:lastModifiedBy>
  <dcterms:created xsi:type="dcterms:W3CDTF">2023-02-21T09:26:30Z</dcterms:created>
  <dcterms:modified xsi:type="dcterms:W3CDTF">2023-05-11T19:54:48Z</dcterms:modified>
</cp:coreProperties>
</file>