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nrikgronhaug/Desktop/"/>
    </mc:Choice>
  </mc:AlternateContent>
  <xr:revisionPtr revIDLastSave="0" documentId="8_{C226C786-43F9-1F48-8C9F-62FDA349EAF9}" xr6:coauthVersionLast="47" xr6:coauthVersionMax="47" xr10:uidLastSave="{00000000-0000-0000-0000-000000000000}"/>
  <bookViews>
    <workbookView xWindow="1500" yWindow="760" windowWidth="28740" windowHeight="16940" firstSheet="11" activeTab="17" xr2:uid="{E815611C-64E4-F24E-BB59-DF9576D524F7}"/>
  </bookViews>
  <sheets>
    <sheet name="Input for DCF" sheetId="38" r:id="rId1"/>
    <sheet name="DCF; F&amp;U justert" sheetId="40" r:id="rId2"/>
    <sheet name="DCF; U.S. GAAP" sheetId="24" r:id="rId3"/>
    <sheet name="Sensitivitetsanalyse" sheetId="41" r:id="rId4"/>
    <sheet name="Multippel analyse" sheetId="33" r:id="rId5"/>
    <sheet name="Beregning av verdi per aksje" sheetId="43" r:id="rId6"/>
    <sheet name="Regnskapsanalyse" sheetId="42" r:id="rId7"/>
    <sheet name="Vekst for fremtidsregnskap" sheetId="32" r:id="rId8"/>
    <sheet name="Fremtidsregnskap" sheetId="34" r:id="rId9"/>
    <sheet name="Regresjonsbeta" sheetId="9" r:id="rId10"/>
    <sheet name="Implisert markedspremie" sheetId="16" r:id="rId11"/>
    <sheet name="ERP" sheetId="11" r:id="rId12"/>
    <sheet name="Markedsverdi av gjeld" sheetId="10" r:id="rId13"/>
    <sheet name="Bottom-up beta" sheetId="12" r:id="rId14"/>
    <sheet name="CAPM og WACC" sheetId="14" r:id="rId15"/>
    <sheet name="Prognose av F&amp;U" sheetId="37" r:id="rId16"/>
    <sheet name="Aktivering av historisk F&amp;U" sheetId="18" r:id="rId17"/>
    <sheet name="Resultatregnskap" sheetId="25" r:id="rId18"/>
    <sheet name="Balanse" sheetId="26" r:id="rId19"/>
    <sheet name="Kontantstrøm" sheetId="27" r:id="rId20"/>
  </sheets>
  <definedNames>
    <definedName name="_xlnm._FilterDatabase" localSheetId="14" hidden="1">'CAPM og WACC'!$A$19:$A$20</definedName>
    <definedName name="scenario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8" l="1"/>
  <c r="B10" i="43"/>
  <c r="C38" i="42" l="1"/>
  <c r="D38" i="42"/>
  <c r="E38" i="42"/>
  <c r="F38" i="42"/>
  <c r="B38" i="42"/>
  <c r="B26" i="27"/>
  <c r="C26" i="27"/>
  <c r="D26" i="27"/>
  <c r="E26" i="27"/>
  <c r="F26" i="27"/>
  <c r="J31" i="26"/>
  <c r="B39" i="42" s="1"/>
  <c r="E41" i="25"/>
  <c r="B32" i="24"/>
  <c r="L42" i="40"/>
  <c r="M42" i="40"/>
  <c r="B31" i="40"/>
  <c r="C13" i="41"/>
  <c r="A17" i="41"/>
  <c r="A18" i="41"/>
  <c r="AJ89" i="32"/>
  <c r="AK89" i="32"/>
  <c r="AD82" i="32"/>
  <c r="AE82" i="32"/>
  <c r="B13" i="43"/>
  <c r="O52" i="26"/>
  <c r="F17" i="42" s="1"/>
  <c r="O54" i="26"/>
  <c r="O55" i="26" s="1"/>
  <c r="F9" i="42" s="1"/>
  <c r="O11" i="26"/>
  <c r="O12" i="26"/>
  <c r="N12" i="26"/>
  <c r="F31" i="42" s="1"/>
  <c r="C8" i="42"/>
  <c r="D8" i="42"/>
  <c r="E8" i="42"/>
  <c r="F8" i="42"/>
  <c r="B8" i="42"/>
  <c r="B8" i="16"/>
  <c r="B81" i="40"/>
  <c r="B11" i="43" s="1"/>
  <c r="B70" i="40"/>
  <c r="E21" i="41"/>
  <c r="F21" i="41" s="1"/>
  <c r="C21" i="41"/>
  <c r="A24" i="41"/>
  <c r="A23" i="41" s="1"/>
  <c r="A22" i="41" s="1"/>
  <c r="A26" i="41"/>
  <c r="C32" i="37"/>
  <c r="B63" i="40"/>
  <c r="M19" i="40"/>
  <c r="L19" i="40"/>
  <c r="M13" i="40"/>
  <c r="L13" i="40"/>
  <c r="M9" i="40"/>
  <c r="L9" i="40"/>
  <c r="M7" i="40"/>
  <c r="L7" i="40"/>
  <c r="C169" i="32"/>
  <c r="D169" i="32"/>
  <c r="E169" i="32"/>
  <c r="F169" i="32"/>
  <c r="C170" i="32"/>
  <c r="D170" i="32"/>
  <c r="E170" i="32"/>
  <c r="F170" i="32"/>
  <c r="B170" i="32"/>
  <c r="B169" i="32"/>
  <c r="B144" i="32"/>
  <c r="B165" i="32" s="1"/>
  <c r="C144" i="32"/>
  <c r="C165" i="32" s="1"/>
  <c r="D144" i="32"/>
  <c r="D165" i="32" s="1"/>
  <c r="E144" i="32"/>
  <c r="E165" i="32" s="1"/>
  <c r="F144" i="32"/>
  <c r="F165" i="32" s="1"/>
  <c r="B145" i="32"/>
  <c r="B166" i="32" s="1"/>
  <c r="C145" i="32"/>
  <c r="C166" i="32" s="1"/>
  <c r="F152" i="32"/>
  <c r="E152" i="32"/>
  <c r="D152" i="32"/>
  <c r="C152" i="32"/>
  <c r="B152" i="32"/>
  <c r="F151" i="32"/>
  <c r="E151" i="32"/>
  <c r="D151" i="32"/>
  <c r="C151" i="32"/>
  <c r="B151" i="32"/>
  <c r="F150" i="32"/>
  <c r="E150" i="32"/>
  <c r="D150" i="32"/>
  <c r="C150" i="32"/>
  <c r="B150" i="32"/>
  <c r="F149" i="32"/>
  <c r="E149" i="32"/>
  <c r="D149" i="32"/>
  <c r="C149" i="32"/>
  <c r="B149" i="32"/>
  <c r="F148" i="32"/>
  <c r="E148" i="32"/>
  <c r="D148" i="32"/>
  <c r="C148" i="32"/>
  <c r="B148" i="32"/>
  <c r="F147" i="32"/>
  <c r="E147" i="32"/>
  <c r="D147" i="32"/>
  <c r="C147" i="32"/>
  <c r="B147" i="32"/>
  <c r="F145" i="32"/>
  <c r="F166" i="32" s="1"/>
  <c r="E145" i="32"/>
  <c r="E166" i="32" s="1"/>
  <c r="D145" i="32"/>
  <c r="D166" i="32" s="1"/>
  <c r="L43" i="24"/>
  <c r="AL82" i="32"/>
  <c r="AM82" i="32"/>
  <c r="AN82" i="32"/>
  <c r="AO82" i="32"/>
  <c r="AP82" i="32"/>
  <c r="AK82" i="32"/>
  <c r="B69" i="24"/>
  <c r="O90" i="32"/>
  <c r="P90" i="32"/>
  <c r="Q90" i="32"/>
  <c r="R90" i="32"/>
  <c r="N90" i="32"/>
  <c r="F89" i="32"/>
  <c r="N81" i="32" s="1"/>
  <c r="B72" i="32"/>
  <c r="B73" i="32" s="1"/>
  <c r="E57" i="32"/>
  <c r="E58" i="32" s="1"/>
  <c r="B54" i="34"/>
  <c r="X35" i="32"/>
  <c r="X34" i="32" s="1"/>
  <c r="O34" i="32"/>
  <c r="Y35" i="32"/>
  <c r="Y34" i="32" s="1"/>
  <c r="S25" i="32"/>
  <c r="G19" i="40" s="1"/>
  <c r="Y25" i="32"/>
  <c r="Y18" i="32"/>
  <c r="Y120" i="32"/>
  <c r="Y8" i="32"/>
  <c r="X8" i="32"/>
  <c r="E153" i="32" l="1"/>
  <c r="E167" i="32" s="1"/>
  <c r="F153" i="32"/>
  <c r="F155" i="32" s="1"/>
  <c r="B153" i="32"/>
  <c r="B167" i="32" s="1"/>
  <c r="B172" i="32" s="1"/>
  <c r="C153" i="32"/>
  <c r="C167" i="32" s="1"/>
  <c r="C172" i="32" s="1"/>
  <c r="D153" i="32"/>
  <c r="D167" i="32" s="1"/>
  <c r="D172" i="32" s="1"/>
  <c r="AQ82" i="32"/>
  <c r="E172" i="32"/>
  <c r="T25" i="32"/>
  <c r="M7" i="24"/>
  <c r="L7" i="24"/>
  <c r="L19" i="24"/>
  <c r="M19" i="24"/>
  <c r="M13" i="24"/>
  <c r="L13" i="24"/>
  <c r="L9" i="24"/>
  <c r="M43" i="24"/>
  <c r="B121" i="32"/>
  <c r="D25" i="38" s="1"/>
  <c r="F103" i="32"/>
  <c r="D24" i="38" s="1"/>
  <c r="B24" i="38" s="1"/>
  <c r="B62" i="24"/>
  <c r="O10" i="32"/>
  <c r="P10" i="32"/>
  <c r="Q10" i="32"/>
  <c r="R10" i="32"/>
  <c r="S10" i="32"/>
  <c r="T10" i="32"/>
  <c r="U10" i="32"/>
  <c r="V10" i="32"/>
  <c r="W10" i="32"/>
  <c r="X10" i="32"/>
  <c r="Y10" i="32"/>
  <c r="N10" i="32"/>
  <c r="N11" i="32" s="1"/>
  <c r="M9" i="24"/>
  <c r="E155" i="32" l="1"/>
  <c r="F167" i="32"/>
  <c r="F172" i="32" s="1"/>
  <c r="B155" i="32"/>
  <c r="C155" i="32"/>
  <c r="D155" i="32"/>
  <c r="M33" i="40"/>
  <c r="L33" i="40"/>
  <c r="C29" i="24"/>
  <c r="D29" i="24"/>
  <c r="E29" i="24"/>
  <c r="F29" i="24"/>
  <c r="G29" i="24"/>
  <c r="B29" i="24"/>
  <c r="B23" i="38"/>
  <c r="Y81" i="32" s="1"/>
  <c r="O81" i="32" s="1"/>
  <c r="P81" i="32" s="1"/>
  <c r="Q81" i="32" s="1"/>
  <c r="R81" i="32" s="1"/>
  <c r="S81" i="32" s="1"/>
  <c r="T81" i="32" s="1"/>
  <c r="U81" i="32" s="1"/>
  <c r="V81" i="32" s="1"/>
  <c r="W81" i="32" s="1"/>
  <c r="B8" i="40"/>
  <c r="B8" i="24"/>
  <c r="X98" i="32"/>
  <c r="Y98" i="32"/>
  <c r="B41" i="34"/>
  <c r="B7" i="34"/>
  <c r="C43" i="24"/>
  <c r="D43" i="24"/>
  <c r="L34" i="24"/>
  <c r="E43" i="24"/>
  <c r="B43" i="24"/>
  <c r="G43" i="24"/>
  <c r="M34" i="24"/>
  <c r="F43" i="24"/>
  <c r="M29" i="24" l="1"/>
  <c r="L29" i="24"/>
  <c r="K29" i="24" s="1"/>
  <c r="J29" i="24" s="1"/>
  <c r="I29" i="24" s="1"/>
  <c r="H29" i="24" s="1"/>
  <c r="X81" i="32"/>
  <c r="D68" i="37"/>
  <c r="C68" i="37"/>
  <c r="D56" i="37"/>
  <c r="C56" i="37"/>
  <c r="D55" i="37"/>
  <c r="C55" i="37"/>
  <c r="D44" i="37"/>
  <c r="C44" i="37"/>
  <c r="D43" i="37"/>
  <c r="C43" i="37"/>
  <c r="D42" i="37"/>
  <c r="C42" i="37"/>
  <c r="A24" i="37"/>
  <c r="A36" i="37" s="1"/>
  <c r="A48" i="37" s="1"/>
  <c r="A60" i="37" s="1"/>
  <c r="A72" i="37" s="1"/>
  <c r="A84" i="37" s="1"/>
  <c r="A96" i="37" s="1"/>
  <c r="A108" i="37" s="1"/>
  <c r="A120" i="37" s="1"/>
  <c r="A132" i="37" s="1"/>
  <c r="D32" i="37"/>
  <c r="D31" i="37"/>
  <c r="C31" i="37"/>
  <c r="D30" i="37"/>
  <c r="C30" i="37"/>
  <c r="D29" i="37"/>
  <c r="C29" i="37"/>
  <c r="D16" i="37"/>
  <c r="C17" i="37"/>
  <c r="D20" i="37"/>
  <c r="C20" i="37"/>
  <c r="D19" i="37"/>
  <c r="C19" i="37"/>
  <c r="D18" i="37"/>
  <c r="C18" i="37"/>
  <c r="D17" i="37"/>
  <c r="C16" i="37"/>
  <c r="D72" i="18"/>
  <c r="O102" i="32"/>
  <c r="O104" i="32" s="1"/>
  <c r="P102" i="32"/>
  <c r="P104" i="32" s="1"/>
  <c r="Q102" i="32"/>
  <c r="Q104" i="32" s="1"/>
  <c r="R102" i="32"/>
  <c r="R104" i="32" s="1"/>
  <c r="S102" i="32"/>
  <c r="S104" i="32" s="1"/>
  <c r="N102" i="32"/>
  <c r="N104" i="32" s="1"/>
  <c r="AC82" i="32"/>
  <c r="AB82" i="32"/>
  <c r="AL89" i="32"/>
  <c r="AM89" i="32"/>
  <c r="C21" i="37" l="1"/>
  <c r="B7" i="37" s="1"/>
  <c r="N83" i="32" s="1"/>
  <c r="B19" i="34" s="1"/>
  <c r="AG82" i="32"/>
  <c r="AF82" i="32"/>
  <c r="T104" i="32"/>
  <c r="B29" i="40" l="1"/>
  <c r="B31" i="26"/>
  <c r="F30" i="33"/>
  <c r="F28" i="33"/>
  <c r="F27" i="33"/>
  <c r="F19" i="33"/>
  <c r="F18" i="33"/>
  <c r="F20" i="33" s="1"/>
  <c r="F17" i="33"/>
  <c r="F8" i="33"/>
  <c r="F11" i="33" s="1"/>
  <c r="F12" i="33" s="1"/>
  <c r="F7" i="33"/>
  <c r="F26" i="33" s="1"/>
  <c r="D28" i="33"/>
  <c r="C28" i="33"/>
  <c r="B28" i="33"/>
  <c r="E28" i="33"/>
  <c r="E27" i="33"/>
  <c r="E18" i="33"/>
  <c r="E30" i="33"/>
  <c r="E17" i="33"/>
  <c r="E8" i="33"/>
  <c r="E9" i="33"/>
  <c r="E7" i="33" s="1"/>
  <c r="E26" i="33" s="1"/>
  <c r="E29" i="33" s="1"/>
  <c r="D30" i="33"/>
  <c r="D27" i="33"/>
  <c r="D18" i="33"/>
  <c r="D17" i="33"/>
  <c r="D8" i="33"/>
  <c r="D9" i="33"/>
  <c r="D7" i="33" s="1"/>
  <c r="D26" i="33" s="1"/>
  <c r="B30" i="33"/>
  <c r="C30" i="33"/>
  <c r="C27" i="33"/>
  <c r="B27" i="33"/>
  <c r="C18" i="33"/>
  <c r="C19" i="33"/>
  <c r="B18" i="33"/>
  <c r="C17" i="33"/>
  <c r="C8" i="33"/>
  <c r="C11" i="33" s="1"/>
  <c r="C12" i="33" s="1"/>
  <c r="B8" i="33"/>
  <c r="C7" i="33"/>
  <c r="C26" i="33" s="1"/>
  <c r="B80" i="24"/>
  <c r="F42" i="32"/>
  <c r="F11" i="32"/>
  <c r="S8" i="32"/>
  <c r="E142" i="32"/>
  <c r="D142" i="32"/>
  <c r="C142" i="32"/>
  <c r="F142" i="32"/>
  <c r="N31" i="26"/>
  <c r="F39" i="42" s="1"/>
  <c r="K31" i="26"/>
  <c r="C39" i="42" s="1"/>
  <c r="L31" i="26"/>
  <c r="D39" i="42" s="1"/>
  <c r="M31" i="26"/>
  <c r="E39" i="42" s="1"/>
  <c r="C41" i="26"/>
  <c r="C42" i="26" s="1"/>
  <c r="B17" i="33"/>
  <c r="F51" i="26"/>
  <c r="F58" i="26" s="1"/>
  <c r="B51" i="26"/>
  <c r="B58" i="26" s="1"/>
  <c r="B57" i="24" s="1"/>
  <c r="G48" i="26"/>
  <c r="G49" i="26"/>
  <c r="Q42" i="25"/>
  <c r="B9" i="33"/>
  <c r="B19" i="33" s="1"/>
  <c r="O120" i="32"/>
  <c r="C42" i="40" s="1"/>
  <c r="P120" i="32"/>
  <c r="D42" i="40" s="1"/>
  <c r="S120" i="32"/>
  <c r="G42" i="40" s="1"/>
  <c r="H42" i="40" s="1"/>
  <c r="I42" i="40" s="1"/>
  <c r="J42" i="40" s="1"/>
  <c r="K42" i="40" s="1"/>
  <c r="Q120" i="32"/>
  <c r="E42" i="40" s="1"/>
  <c r="C89" i="32"/>
  <c r="D89" i="32"/>
  <c r="E89" i="32"/>
  <c r="B89" i="32"/>
  <c r="O25" i="32"/>
  <c r="G113" i="32"/>
  <c r="N98" i="32"/>
  <c r="B33" i="40" s="1"/>
  <c r="C33" i="40" s="1"/>
  <c r="D33" i="40" s="1"/>
  <c r="E33" i="40" s="1"/>
  <c r="F33" i="40" s="1"/>
  <c r="G33" i="40" s="1"/>
  <c r="H33" i="40" s="1"/>
  <c r="I33" i="40" s="1"/>
  <c r="J33" i="40" s="1"/>
  <c r="K33" i="40" s="1"/>
  <c r="C103" i="32"/>
  <c r="D103" i="32"/>
  <c r="E103" i="32"/>
  <c r="B103" i="32"/>
  <c r="F72" i="32"/>
  <c r="E72" i="32"/>
  <c r="E73" i="32" s="1"/>
  <c r="D72" i="32"/>
  <c r="D73" i="32" s="1"/>
  <c r="C72" i="32"/>
  <c r="C73" i="32" s="1"/>
  <c r="C57" i="32"/>
  <c r="C58" i="32" s="1"/>
  <c r="D57" i="32"/>
  <c r="D58" i="32" s="1"/>
  <c r="F57" i="32"/>
  <c r="B57" i="32"/>
  <c r="B58" i="32" s="1"/>
  <c r="C43" i="32"/>
  <c r="C44" i="32" s="1"/>
  <c r="D43" i="32"/>
  <c r="D44" i="32" s="1"/>
  <c r="E43" i="32"/>
  <c r="E44" i="32" s="1"/>
  <c r="B43" i="32"/>
  <c r="B44" i="32" s="1"/>
  <c r="N26" i="32"/>
  <c r="B20" i="40" s="1"/>
  <c r="R25" i="32"/>
  <c r="Q25" i="32"/>
  <c r="P25" i="32"/>
  <c r="N19" i="32"/>
  <c r="B14" i="40" s="1"/>
  <c r="P18" i="32"/>
  <c r="D13" i="40" s="1"/>
  <c r="Q18" i="32"/>
  <c r="R18" i="32"/>
  <c r="S18" i="32"/>
  <c r="O18" i="32"/>
  <c r="C13" i="40" s="1"/>
  <c r="P8" i="32"/>
  <c r="D7" i="40" s="1"/>
  <c r="Q8" i="32"/>
  <c r="E7" i="40" s="1"/>
  <c r="R8" i="32"/>
  <c r="F7" i="40" s="1"/>
  <c r="O8" i="32"/>
  <c r="C7" i="40" s="1"/>
  <c r="C8" i="40" s="1"/>
  <c r="K15" i="32"/>
  <c r="K8" i="32"/>
  <c r="K9" i="32" s="1"/>
  <c r="K10" i="32" s="1"/>
  <c r="Q41" i="25"/>
  <c r="B44" i="25"/>
  <c r="D20" i="34" l="1"/>
  <c r="C20" i="34"/>
  <c r="M32" i="24"/>
  <c r="I31" i="40"/>
  <c r="I20" i="34"/>
  <c r="G31" i="40"/>
  <c r="E20" i="34"/>
  <c r="D32" i="24"/>
  <c r="C32" i="24"/>
  <c r="J31" i="40"/>
  <c r="D31" i="40"/>
  <c r="J32" i="24"/>
  <c r="K32" i="24"/>
  <c r="F20" i="34"/>
  <c r="E32" i="24"/>
  <c r="K31" i="40"/>
  <c r="I32" i="24"/>
  <c r="H31" i="40"/>
  <c r="G20" i="34"/>
  <c r="F32" i="24"/>
  <c r="L31" i="40"/>
  <c r="C31" i="40"/>
  <c r="J20" i="34"/>
  <c r="L20" i="34"/>
  <c r="M20" i="34"/>
  <c r="H20" i="34"/>
  <c r="G32" i="24"/>
  <c r="M31" i="40"/>
  <c r="H32" i="24"/>
  <c r="E31" i="40"/>
  <c r="L32" i="24"/>
  <c r="K20" i="34"/>
  <c r="F31" i="40"/>
  <c r="G50" i="26"/>
  <c r="E32" i="42"/>
  <c r="E40" i="42"/>
  <c r="D32" i="42"/>
  <c r="D40" i="42"/>
  <c r="C32" i="42"/>
  <c r="C40" i="42"/>
  <c r="F32" i="42"/>
  <c r="F33" i="42" s="1"/>
  <c r="F40" i="42"/>
  <c r="B32" i="42"/>
  <c r="B40" i="42"/>
  <c r="C19" i="40"/>
  <c r="H19" i="40" s="1"/>
  <c r="I19" i="40" s="1"/>
  <c r="J19" i="40" s="1"/>
  <c r="K19" i="40" s="1"/>
  <c r="C14" i="40"/>
  <c r="D14" i="40" s="1"/>
  <c r="B24" i="40"/>
  <c r="B34" i="40" s="1"/>
  <c r="B36" i="40" s="1"/>
  <c r="C20" i="40"/>
  <c r="F13" i="40"/>
  <c r="D8" i="40"/>
  <c r="C10" i="40"/>
  <c r="D19" i="40"/>
  <c r="E19" i="40"/>
  <c r="F19" i="40"/>
  <c r="T18" i="32"/>
  <c r="U18" i="32" s="1"/>
  <c r="V18" i="32" s="1"/>
  <c r="W18" i="32" s="1"/>
  <c r="X18" i="32" s="1"/>
  <c r="G13" i="40"/>
  <c r="H13" i="40" s="1"/>
  <c r="I13" i="40" s="1"/>
  <c r="J13" i="40" s="1"/>
  <c r="K13" i="40" s="1"/>
  <c r="E13" i="40"/>
  <c r="T8" i="32"/>
  <c r="H7" i="40" s="1"/>
  <c r="G7" i="40"/>
  <c r="C163" i="32"/>
  <c r="C174" i="32" s="1"/>
  <c r="C157" i="32"/>
  <c r="D163" i="32"/>
  <c r="D174" i="32" s="1"/>
  <c r="D157" i="32"/>
  <c r="F163" i="32"/>
  <c r="F174" i="32" s="1"/>
  <c r="F157" i="32"/>
  <c r="D28" i="38" s="1"/>
  <c r="E163" i="32"/>
  <c r="E174" i="32" s="1"/>
  <c r="E157" i="32"/>
  <c r="N65" i="32"/>
  <c r="N66" i="32" s="1"/>
  <c r="B21" i="40" s="1"/>
  <c r="B22" i="40" s="1"/>
  <c r="F73" i="32"/>
  <c r="G73" i="32" s="1"/>
  <c r="N50" i="32"/>
  <c r="N51" i="32" s="1"/>
  <c r="B15" i="40" s="1"/>
  <c r="B16" i="40" s="1"/>
  <c r="F58" i="32"/>
  <c r="G58" i="32" s="1"/>
  <c r="O98" i="32"/>
  <c r="P98" i="32" s="1"/>
  <c r="Q98" i="32" s="1"/>
  <c r="R98" i="32" s="1"/>
  <c r="S98" i="32" s="1"/>
  <c r="T98" i="32" s="1"/>
  <c r="U98" i="32" s="1"/>
  <c r="V98" i="32" s="1"/>
  <c r="W98" i="32" s="1"/>
  <c r="B20" i="24"/>
  <c r="N64" i="32"/>
  <c r="B9" i="34"/>
  <c r="F13" i="24"/>
  <c r="G89" i="32"/>
  <c r="E13" i="24"/>
  <c r="G57" i="32"/>
  <c r="F54" i="34"/>
  <c r="C7" i="24"/>
  <c r="C8" i="24" s="1"/>
  <c r="O9" i="32"/>
  <c r="P9" i="32" s="1"/>
  <c r="Q9" i="32" s="1"/>
  <c r="R9" i="32" s="1"/>
  <c r="S9" i="32" s="1"/>
  <c r="O11" i="32"/>
  <c r="O19" i="32"/>
  <c r="P19" i="32" s="1"/>
  <c r="B8" i="34"/>
  <c r="B42" i="34"/>
  <c r="G103" i="32"/>
  <c r="E54" i="34"/>
  <c r="C19" i="24"/>
  <c r="B34" i="24"/>
  <c r="K34" i="24" s="1"/>
  <c r="J34" i="24" s="1"/>
  <c r="I34" i="24" s="1"/>
  <c r="H34" i="24" s="1"/>
  <c r="G34" i="24" s="1"/>
  <c r="F34" i="24" s="1"/>
  <c r="E34" i="24" s="1"/>
  <c r="D34" i="24" s="1"/>
  <c r="C34" i="24" s="1"/>
  <c r="F7" i="24"/>
  <c r="I54" i="34"/>
  <c r="D54" i="34"/>
  <c r="C54" i="34"/>
  <c r="D7" i="24"/>
  <c r="M54" i="34"/>
  <c r="B14" i="24"/>
  <c r="U25" i="32"/>
  <c r="V25" i="32" s="1"/>
  <c r="W25" i="32" s="1"/>
  <c r="X25" i="32" s="1"/>
  <c r="C13" i="24"/>
  <c r="B43" i="34"/>
  <c r="J54" i="34"/>
  <c r="G19" i="24"/>
  <c r="G13" i="24"/>
  <c r="F19" i="24"/>
  <c r="G72" i="32"/>
  <c r="H54" i="34"/>
  <c r="E19" i="24"/>
  <c r="D13" i="24"/>
  <c r="E7" i="24"/>
  <c r="L54" i="34"/>
  <c r="K54" i="34"/>
  <c r="G54" i="34"/>
  <c r="G7" i="24"/>
  <c r="D19" i="24"/>
  <c r="H43" i="24"/>
  <c r="I43" i="24" s="1"/>
  <c r="J43" i="24" s="1"/>
  <c r="K43" i="24" s="1"/>
  <c r="E11" i="33"/>
  <c r="E12" i="33" s="1"/>
  <c r="E36" i="33" s="1"/>
  <c r="E40" i="33" s="1"/>
  <c r="F21" i="33"/>
  <c r="D29" i="33"/>
  <c r="D31" i="33" s="1"/>
  <c r="E31" i="33"/>
  <c r="E38" i="33" s="1"/>
  <c r="E42" i="33" s="1"/>
  <c r="F29" i="33"/>
  <c r="F31" i="33" s="1"/>
  <c r="C29" i="33"/>
  <c r="C31" i="33" s="1"/>
  <c r="B20" i="33"/>
  <c r="B21" i="33" s="1"/>
  <c r="C20" i="33"/>
  <c r="C21" i="33" s="1"/>
  <c r="B11" i="33"/>
  <c r="B12" i="33" s="1"/>
  <c r="D11" i="33"/>
  <c r="D12" i="33" s="1"/>
  <c r="D19" i="33"/>
  <c r="D20" i="33"/>
  <c r="D21" i="33" s="1"/>
  <c r="B7" i="33"/>
  <c r="B26" i="33" s="1"/>
  <c r="B29" i="33" s="1"/>
  <c r="E19" i="33"/>
  <c r="E20" i="33" s="1"/>
  <c r="E21" i="33" s="1"/>
  <c r="E37" i="33" s="1"/>
  <c r="T120" i="32"/>
  <c r="U120" i="32" s="1"/>
  <c r="V120" i="32" s="1"/>
  <c r="W120" i="32" s="1"/>
  <c r="X120" i="32" s="1"/>
  <c r="N80" i="32"/>
  <c r="N82" i="32" s="1"/>
  <c r="N33" i="32"/>
  <c r="F41" i="32"/>
  <c r="F43" i="32" s="1"/>
  <c r="F44" i="32" s="1"/>
  <c r="G44" i="32" s="1"/>
  <c r="N120" i="32"/>
  <c r="B42" i="40" s="1"/>
  <c r="R120" i="32"/>
  <c r="F42" i="40" s="1"/>
  <c r="N97" i="32"/>
  <c r="N99" i="32" s="1"/>
  <c r="B21" i="34" s="1"/>
  <c r="B22" i="34" s="1"/>
  <c r="N49" i="32"/>
  <c r="O26" i="32"/>
  <c r="B14" i="33" l="1"/>
  <c r="C36" i="33" s="1"/>
  <c r="C40" i="33" s="1"/>
  <c r="G40" i="42"/>
  <c r="T9" i="32"/>
  <c r="E14" i="40"/>
  <c r="D20" i="40"/>
  <c r="E20" i="40" s="1"/>
  <c r="F20" i="40" s="1"/>
  <c r="G20" i="40" s="1"/>
  <c r="H20" i="40" s="1"/>
  <c r="I20" i="40" s="1"/>
  <c r="U8" i="32"/>
  <c r="U9" i="32" s="1"/>
  <c r="F14" i="40"/>
  <c r="G14" i="40" s="1"/>
  <c r="H14" i="40" s="1"/>
  <c r="I14" i="40" s="1"/>
  <c r="C24" i="40"/>
  <c r="C34" i="40" s="1"/>
  <c r="E8" i="40"/>
  <c r="D24" i="40"/>
  <c r="D34" i="40" s="1"/>
  <c r="H7" i="24"/>
  <c r="B28" i="38"/>
  <c r="C14" i="24"/>
  <c r="D14" i="24" s="1"/>
  <c r="C43" i="34"/>
  <c r="C9" i="34"/>
  <c r="C20" i="24"/>
  <c r="D20" i="24" s="1"/>
  <c r="E20" i="24" s="1"/>
  <c r="H19" i="24"/>
  <c r="I19" i="24" s="1"/>
  <c r="J19" i="24" s="1"/>
  <c r="K19" i="24" s="1"/>
  <c r="D8" i="24"/>
  <c r="E8" i="24" s="1"/>
  <c r="P11" i="32"/>
  <c r="C7" i="34"/>
  <c r="O80" i="32"/>
  <c r="O82" i="32" s="1"/>
  <c r="C41" i="34"/>
  <c r="D21" i="38"/>
  <c r="B21" i="38" s="1"/>
  <c r="B21" i="24"/>
  <c r="N67" i="32"/>
  <c r="B10" i="34"/>
  <c r="B24" i="24"/>
  <c r="B30" i="24" s="1"/>
  <c r="B44" i="34"/>
  <c r="D8" i="34"/>
  <c r="D42" i="34"/>
  <c r="D20" i="38"/>
  <c r="B20" i="38" s="1"/>
  <c r="B15" i="24"/>
  <c r="B16" i="24" s="1"/>
  <c r="H13" i="24"/>
  <c r="I13" i="24" s="1"/>
  <c r="J13" i="24" s="1"/>
  <c r="K13" i="24" s="1"/>
  <c r="O49" i="32"/>
  <c r="C8" i="34"/>
  <c r="C42" i="34"/>
  <c r="B13" i="33"/>
  <c r="E41" i="33"/>
  <c r="E43" i="33" s="1"/>
  <c r="C47" i="33" s="1"/>
  <c r="D47" i="33" s="1"/>
  <c r="B22" i="33"/>
  <c r="C37" i="33" s="1"/>
  <c r="C41" i="33" s="1"/>
  <c r="B31" i="33"/>
  <c r="C10" i="24"/>
  <c r="G43" i="32"/>
  <c r="O33" i="32"/>
  <c r="O97" i="32"/>
  <c r="O99" i="32" s="1"/>
  <c r="C21" i="34" s="1"/>
  <c r="Q19" i="32"/>
  <c r="P49" i="32"/>
  <c r="N52" i="32"/>
  <c r="P26" i="32"/>
  <c r="O64" i="32"/>
  <c r="B32" i="33" l="1"/>
  <c r="B33" i="33"/>
  <c r="C38" i="33" s="1"/>
  <c r="C42" i="33" s="1"/>
  <c r="C43" i="33" s="1"/>
  <c r="V8" i="32"/>
  <c r="J7" i="40" s="1"/>
  <c r="I7" i="40"/>
  <c r="I7" i="24"/>
  <c r="V9" i="32"/>
  <c r="F8" i="40"/>
  <c r="E24" i="40"/>
  <c r="E34" i="40" s="1"/>
  <c r="J7" i="24"/>
  <c r="W8" i="32"/>
  <c r="M15" i="40"/>
  <c r="L15" i="40"/>
  <c r="K15" i="40" s="1"/>
  <c r="J15" i="40" s="1"/>
  <c r="I15" i="40" s="1"/>
  <c r="H15" i="40" s="1"/>
  <c r="B61" i="24"/>
  <c r="C46" i="24" s="1"/>
  <c r="B62" i="40"/>
  <c r="M21" i="40"/>
  <c r="L21" i="40"/>
  <c r="K21" i="40" s="1"/>
  <c r="J21" i="40" s="1"/>
  <c r="I21" i="40" s="1"/>
  <c r="H21" i="40" s="1"/>
  <c r="B8" i="37"/>
  <c r="B47" i="40" s="1"/>
  <c r="B31" i="34" s="1"/>
  <c r="B80" i="37"/>
  <c r="B15" i="37"/>
  <c r="D15" i="37" s="1"/>
  <c r="D21" i="37" s="1"/>
  <c r="B6" i="37" s="1"/>
  <c r="N84" i="32" s="1"/>
  <c r="B67" i="37"/>
  <c r="B54" i="37"/>
  <c r="B41" i="37"/>
  <c r="B28" i="37"/>
  <c r="J14" i="40"/>
  <c r="J20" i="40"/>
  <c r="C24" i="24"/>
  <c r="C30" i="24" s="1"/>
  <c r="B48" i="34"/>
  <c r="B14" i="34"/>
  <c r="D43" i="34"/>
  <c r="D9" i="34"/>
  <c r="B13" i="34"/>
  <c r="B47" i="34"/>
  <c r="Y51" i="32"/>
  <c r="X51" i="32"/>
  <c r="X66" i="32"/>
  <c r="X65" i="32" s="1"/>
  <c r="Y66" i="32"/>
  <c r="O36" i="32"/>
  <c r="C10" i="34"/>
  <c r="E8" i="34"/>
  <c r="E42" i="34"/>
  <c r="D41" i="34"/>
  <c r="D7" i="34"/>
  <c r="L15" i="24"/>
  <c r="K15" i="24" s="1"/>
  <c r="J15" i="24" s="1"/>
  <c r="I15" i="24" s="1"/>
  <c r="H15" i="24" s="1"/>
  <c r="G15" i="24" s="1"/>
  <c r="F15" i="24" s="1"/>
  <c r="E15" i="24" s="1"/>
  <c r="D15" i="24" s="1"/>
  <c r="M15" i="24"/>
  <c r="B22" i="24"/>
  <c r="B35" i="24"/>
  <c r="B55" i="34" s="1"/>
  <c r="L21" i="24"/>
  <c r="K21" i="24" s="1"/>
  <c r="J21" i="24" s="1"/>
  <c r="I21" i="24" s="1"/>
  <c r="H21" i="24" s="1"/>
  <c r="G21" i="24" s="1"/>
  <c r="F21" i="24" s="1"/>
  <c r="E21" i="24" s="1"/>
  <c r="D21" i="24" s="1"/>
  <c r="M21" i="24"/>
  <c r="D24" i="24"/>
  <c r="D30" i="24" s="1"/>
  <c r="C44" i="34"/>
  <c r="B53" i="34"/>
  <c r="F20" i="24"/>
  <c r="P80" i="32"/>
  <c r="P82" i="32" s="1"/>
  <c r="E14" i="24"/>
  <c r="Q11" i="32"/>
  <c r="P33" i="32"/>
  <c r="P97" i="32"/>
  <c r="P99" i="32" s="1"/>
  <c r="D21" i="34" s="1"/>
  <c r="Q26" i="32"/>
  <c r="P64" i="32"/>
  <c r="R19" i="32"/>
  <c r="Q49" i="32"/>
  <c r="W9" i="32" l="1"/>
  <c r="X9" i="32" s="1"/>
  <c r="Y9" i="32" s="1"/>
  <c r="K7" i="24"/>
  <c r="K7" i="40"/>
  <c r="G8" i="40"/>
  <c r="F24" i="40"/>
  <c r="F34" i="40" s="1"/>
  <c r="I16" i="40"/>
  <c r="B46" i="24"/>
  <c r="B47" i="24" s="1"/>
  <c r="D46" i="24"/>
  <c r="D47" i="24" s="1"/>
  <c r="F46" i="24"/>
  <c r="D45" i="40"/>
  <c r="D46" i="40" s="1"/>
  <c r="D30" i="34" s="1"/>
  <c r="G45" i="40"/>
  <c r="E45" i="40"/>
  <c r="E46" i="40" s="1"/>
  <c r="E30" i="34" s="1"/>
  <c r="F45" i="40"/>
  <c r="C45" i="40"/>
  <c r="C46" i="40" s="1"/>
  <c r="C30" i="34" s="1"/>
  <c r="B45" i="40"/>
  <c r="B46" i="40" s="1"/>
  <c r="G21" i="40"/>
  <c r="H22" i="40"/>
  <c r="G46" i="24"/>
  <c r="H46" i="24" s="1"/>
  <c r="I22" i="40"/>
  <c r="G15" i="40"/>
  <c r="F15" i="40" s="1"/>
  <c r="H16" i="40"/>
  <c r="D10" i="34"/>
  <c r="E46" i="24"/>
  <c r="D41" i="37"/>
  <c r="C41" i="37"/>
  <c r="D54" i="37"/>
  <c r="C54" i="37"/>
  <c r="D67" i="37"/>
  <c r="C67" i="37"/>
  <c r="D80" i="37"/>
  <c r="C80" i="37"/>
  <c r="B91" i="37"/>
  <c r="B104" i="37"/>
  <c r="B65" i="37"/>
  <c r="D8" i="37"/>
  <c r="B52" i="37"/>
  <c r="B39" i="37"/>
  <c r="D39" i="37" s="1"/>
  <c r="B78" i="37"/>
  <c r="B53" i="37"/>
  <c r="B40" i="37"/>
  <c r="C8" i="37"/>
  <c r="B79" i="37"/>
  <c r="B92" i="37"/>
  <c r="B27" i="37"/>
  <c r="D27" i="37" s="1"/>
  <c r="B66" i="37"/>
  <c r="C28" i="37"/>
  <c r="C33" i="37" s="1"/>
  <c r="C7" i="37" s="1"/>
  <c r="C29" i="40" s="1"/>
  <c r="D28" i="37"/>
  <c r="J16" i="40"/>
  <c r="K14" i="40"/>
  <c r="J22" i="40"/>
  <c r="K20" i="40"/>
  <c r="C47" i="24"/>
  <c r="C57" i="24" s="1"/>
  <c r="C35" i="24"/>
  <c r="C55" i="34" s="1"/>
  <c r="Y50" i="32"/>
  <c r="O51" i="32"/>
  <c r="P51" i="32" s="1"/>
  <c r="Q51" i="32" s="1"/>
  <c r="R51" i="32" s="1"/>
  <c r="S51" i="32" s="1"/>
  <c r="T51" i="32" s="1"/>
  <c r="U51" i="32" s="1"/>
  <c r="V51" i="32" s="1"/>
  <c r="W51" i="32" s="1"/>
  <c r="E43" i="34"/>
  <c r="E9" i="34"/>
  <c r="C12" i="34"/>
  <c r="C46" i="34"/>
  <c r="Y65" i="32"/>
  <c r="O66" i="32"/>
  <c r="C15" i="24"/>
  <c r="D16" i="24"/>
  <c r="C21" i="24"/>
  <c r="D22" i="24"/>
  <c r="E22" i="24"/>
  <c r="B56" i="34"/>
  <c r="F8" i="34"/>
  <c r="F42" i="34"/>
  <c r="E41" i="34"/>
  <c r="E7" i="34"/>
  <c r="B37" i="24"/>
  <c r="E24" i="24"/>
  <c r="D44" i="34"/>
  <c r="C53" i="34"/>
  <c r="D53" i="34"/>
  <c r="D35" i="24"/>
  <c r="D55" i="34" s="1"/>
  <c r="Q80" i="32"/>
  <c r="Q82" i="32" s="1"/>
  <c r="F8" i="24"/>
  <c r="F22" i="24"/>
  <c r="G20" i="24"/>
  <c r="E16" i="24"/>
  <c r="F14" i="24"/>
  <c r="S19" i="32"/>
  <c r="R49" i="32"/>
  <c r="R26" i="32"/>
  <c r="Q64" i="32"/>
  <c r="R11" i="32"/>
  <c r="Q33" i="32"/>
  <c r="Q97" i="32"/>
  <c r="Q99" i="32" s="1"/>
  <c r="E21" i="34" s="1"/>
  <c r="B48" i="40" l="1"/>
  <c r="B30" i="34"/>
  <c r="B32" i="34" s="1"/>
  <c r="K17" i="32"/>
  <c r="H8" i="40"/>
  <c r="G24" i="40"/>
  <c r="F46" i="40"/>
  <c r="F30" i="34" s="1"/>
  <c r="J46" i="24"/>
  <c r="F21" i="40"/>
  <c r="G22" i="40"/>
  <c r="K46" i="24"/>
  <c r="I45" i="40"/>
  <c r="K45" i="40"/>
  <c r="J45" i="40"/>
  <c r="L45" i="40"/>
  <c r="H45" i="40"/>
  <c r="L46" i="24"/>
  <c r="I46" i="24"/>
  <c r="G16" i="40"/>
  <c r="C56" i="34"/>
  <c r="C47" i="40"/>
  <c r="D79" i="37"/>
  <c r="C79" i="37"/>
  <c r="C104" i="37"/>
  <c r="D104" i="37"/>
  <c r="D53" i="37"/>
  <c r="C53" i="37"/>
  <c r="D91" i="37"/>
  <c r="C91" i="37"/>
  <c r="C37" i="24"/>
  <c r="O83" i="32"/>
  <c r="C19" i="34" s="1"/>
  <c r="C22" i="34" s="1"/>
  <c r="C36" i="40"/>
  <c r="C78" i="37"/>
  <c r="D78" i="37"/>
  <c r="C92" i="37"/>
  <c r="D92" i="37"/>
  <c r="C66" i="37"/>
  <c r="D66" i="37"/>
  <c r="D65" i="37"/>
  <c r="C65" i="37"/>
  <c r="D40" i="37"/>
  <c r="D45" i="37" s="1"/>
  <c r="D6" i="37" s="1"/>
  <c r="P84" i="32" s="1"/>
  <c r="C40" i="37"/>
  <c r="C45" i="37" s="1"/>
  <c r="D7" i="37" s="1"/>
  <c r="D33" i="37"/>
  <c r="C6" i="37" s="1"/>
  <c r="O84" i="32" s="1"/>
  <c r="D52" i="37"/>
  <c r="C52" i="37"/>
  <c r="K16" i="40"/>
  <c r="L14" i="40"/>
  <c r="L20" i="40"/>
  <c r="K22" i="40"/>
  <c r="F43" i="34"/>
  <c r="F9" i="34"/>
  <c r="E10" i="34"/>
  <c r="P66" i="32"/>
  <c r="O65" i="32"/>
  <c r="O67" i="32" s="1"/>
  <c r="F41" i="34"/>
  <c r="F7" i="34"/>
  <c r="C16" i="24"/>
  <c r="G8" i="34"/>
  <c r="G42" i="34"/>
  <c r="C22" i="24"/>
  <c r="F24" i="24"/>
  <c r="D57" i="24"/>
  <c r="E44" i="34"/>
  <c r="D56" i="34"/>
  <c r="E30" i="24"/>
  <c r="E35" i="24"/>
  <c r="E55" i="34" s="1"/>
  <c r="E47" i="24"/>
  <c r="D37" i="24"/>
  <c r="F16" i="24"/>
  <c r="G14" i="24"/>
  <c r="G8" i="24"/>
  <c r="R80" i="32"/>
  <c r="R82" i="32" s="1"/>
  <c r="G22" i="24"/>
  <c r="H20" i="24"/>
  <c r="S11" i="32"/>
  <c r="R97" i="32"/>
  <c r="R99" i="32" s="1"/>
  <c r="F21" i="34" s="1"/>
  <c r="R33" i="32"/>
  <c r="S26" i="32"/>
  <c r="R64" i="32"/>
  <c r="T19" i="32"/>
  <c r="S49" i="32"/>
  <c r="C48" i="40" l="1"/>
  <c r="C31" i="34"/>
  <c r="C32" i="34" s="1"/>
  <c r="G34" i="40"/>
  <c r="G46" i="40"/>
  <c r="G30" i="34" s="1"/>
  <c r="H24" i="40"/>
  <c r="H34" i="40" s="1"/>
  <c r="I8" i="40"/>
  <c r="F10" i="34"/>
  <c r="E15" i="40"/>
  <c r="F16" i="40"/>
  <c r="E21" i="40"/>
  <c r="F22" i="40"/>
  <c r="C57" i="37"/>
  <c r="E7" i="37" s="1"/>
  <c r="Q83" i="32" s="1"/>
  <c r="E19" i="34" s="1"/>
  <c r="E22" i="34" s="1"/>
  <c r="D29" i="40"/>
  <c r="D36" i="40" s="1"/>
  <c r="P83" i="32"/>
  <c r="D19" i="34" s="1"/>
  <c r="D22" i="34" s="1"/>
  <c r="B116" i="37"/>
  <c r="B103" i="37"/>
  <c r="E8" i="37"/>
  <c r="B90" i="37"/>
  <c r="B77" i="37"/>
  <c r="B64" i="37"/>
  <c r="B51" i="37"/>
  <c r="D51" i="37" s="1"/>
  <c r="D57" i="37" s="1"/>
  <c r="E6" i="37" s="1"/>
  <c r="Q84" i="32" s="1"/>
  <c r="C25" i="24"/>
  <c r="C26" i="24" s="1"/>
  <c r="D47" i="40"/>
  <c r="L16" i="40"/>
  <c r="M14" i="40"/>
  <c r="L22" i="40"/>
  <c r="M20" i="40"/>
  <c r="M22" i="40" s="1"/>
  <c r="G43" i="34"/>
  <c r="G9" i="34"/>
  <c r="C14" i="34"/>
  <c r="C48" i="34"/>
  <c r="Q66" i="32"/>
  <c r="P65" i="32"/>
  <c r="P67" i="32" s="1"/>
  <c r="G41" i="34"/>
  <c r="G7" i="34"/>
  <c r="H8" i="34"/>
  <c r="H42" i="34"/>
  <c r="G24" i="24"/>
  <c r="E57" i="24"/>
  <c r="E53" i="34"/>
  <c r="E56" i="34" s="1"/>
  <c r="F44" i="34"/>
  <c r="E37" i="24"/>
  <c r="F30" i="24"/>
  <c r="F35" i="24"/>
  <c r="F55" i="34" s="1"/>
  <c r="F47" i="24"/>
  <c r="H22" i="24"/>
  <c r="I20" i="24"/>
  <c r="G16" i="24"/>
  <c r="H14" i="24"/>
  <c r="H8" i="24"/>
  <c r="S80" i="32"/>
  <c r="S82" i="32" s="1"/>
  <c r="U19" i="32"/>
  <c r="T49" i="32"/>
  <c r="T26" i="32"/>
  <c r="S64" i="32"/>
  <c r="T11" i="32"/>
  <c r="S97" i="32"/>
  <c r="S99" i="32" s="1"/>
  <c r="G21" i="34" s="1"/>
  <c r="S33" i="32"/>
  <c r="D48" i="40" l="1"/>
  <c r="D31" i="34"/>
  <c r="D32" i="34" s="1"/>
  <c r="G10" i="34"/>
  <c r="J8" i="40"/>
  <c r="I24" i="40"/>
  <c r="H46" i="40"/>
  <c r="H30" i="34" s="1"/>
  <c r="D21" i="40"/>
  <c r="E22" i="40"/>
  <c r="E29" i="40"/>
  <c r="E36" i="40" s="1"/>
  <c r="D15" i="40"/>
  <c r="E16" i="40"/>
  <c r="E47" i="40"/>
  <c r="C39" i="24"/>
  <c r="C40" i="24" s="1"/>
  <c r="C42" i="24" s="1"/>
  <c r="C44" i="24" s="1"/>
  <c r="D116" i="37"/>
  <c r="C116" i="37"/>
  <c r="D103" i="37"/>
  <c r="C103" i="37"/>
  <c r="C64" i="37"/>
  <c r="C69" i="37" s="1"/>
  <c r="F7" i="37" s="1"/>
  <c r="F29" i="40" s="1"/>
  <c r="D64" i="37"/>
  <c r="B63" i="37"/>
  <c r="D63" i="37" s="1"/>
  <c r="B128" i="37"/>
  <c r="B115" i="37"/>
  <c r="F8" i="37"/>
  <c r="B102" i="37"/>
  <c r="B89" i="37"/>
  <c r="B76" i="37"/>
  <c r="D77" i="37"/>
  <c r="C77" i="37"/>
  <c r="D90" i="37"/>
  <c r="C90" i="37"/>
  <c r="M16" i="40"/>
  <c r="D14" i="34"/>
  <c r="D48" i="34"/>
  <c r="H43" i="34"/>
  <c r="H9" i="34"/>
  <c r="R66" i="32"/>
  <c r="Q65" i="32"/>
  <c r="Q67" i="32" s="1"/>
  <c r="I8" i="34"/>
  <c r="I42" i="34"/>
  <c r="H41" i="34"/>
  <c r="H7" i="34"/>
  <c r="H24" i="24"/>
  <c r="F57" i="24"/>
  <c r="F53" i="34"/>
  <c r="F56" i="34" s="1"/>
  <c r="G44" i="34"/>
  <c r="F37" i="24"/>
  <c r="G35" i="24"/>
  <c r="G55" i="34" s="1"/>
  <c r="G30" i="24"/>
  <c r="G47" i="24"/>
  <c r="I8" i="24"/>
  <c r="I14" i="24"/>
  <c r="H16" i="24"/>
  <c r="I22" i="24"/>
  <c r="J20" i="24"/>
  <c r="T80" i="32"/>
  <c r="T82" i="32" s="1"/>
  <c r="T97" i="32"/>
  <c r="T99" i="32" s="1"/>
  <c r="H21" i="34" s="1"/>
  <c r="U11" i="32"/>
  <c r="T33" i="32"/>
  <c r="U26" i="32"/>
  <c r="T64" i="32"/>
  <c r="V19" i="32"/>
  <c r="U49" i="32"/>
  <c r="E48" i="40" l="1"/>
  <c r="E31" i="34"/>
  <c r="E32" i="34" s="1"/>
  <c r="I46" i="40"/>
  <c r="I30" i="34" s="1"/>
  <c r="I34" i="40"/>
  <c r="K8" i="40"/>
  <c r="J24" i="40"/>
  <c r="C15" i="40"/>
  <c r="C16" i="40" s="1"/>
  <c r="D16" i="40"/>
  <c r="C21" i="40"/>
  <c r="C22" i="40" s="1"/>
  <c r="D22" i="40"/>
  <c r="D69" i="37"/>
  <c r="F6" i="37" s="1"/>
  <c r="R84" i="32" s="1"/>
  <c r="D76" i="37"/>
  <c r="C76" i="37"/>
  <c r="C81" i="37" s="1"/>
  <c r="G7" i="37" s="1"/>
  <c r="B101" i="37"/>
  <c r="B88" i="37"/>
  <c r="B75" i="37"/>
  <c r="D75" i="37" s="1"/>
  <c r="G8" i="37"/>
  <c r="B127" i="37"/>
  <c r="B140" i="37"/>
  <c r="B114" i="37"/>
  <c r="C102" i="37"/>
  <c r="D102" i="37"/>
  <c r="C128" i="37"/>
  <c r="D128" i="37"/>
  <c r="D89" i="37"/>
  <c r="C89" i="37"/>
  <c r="F47" i="40"/>
  <c r="R83" i="32"/>
  <c r="F19" i="34" s="1"/>
  <c r="F22" i="34" s="1"/>
  <c r="F36" i="40"/>
  <c r="D115" i="37"/>
  <c r="C115" i="37"/>
  <c r="H10" i="34"/>
  <c r="E14" i="34"/>
  <c r="E48" i="34"/>
  <c r="H44" i="34"/>
  <c r="I43" i="34"/>
  <c r="I9" i="34"/>
  <c r="S66" i="32"/>
  <c r="S65" i="32" s="1"/>
  <c r="S67" i="32" s="1"/>
  <c r="R65" i="32"/>
  <c r="R67" i="32" s="1"/>
  <c r="I41" i="34"/>
  <c r="I7" i="34"/>
  <c r="C58" i="24"/>
  <c r="C49" i="24"/>
  <c r="C65" i="24"/>
  <c r="J8" i="34"/>
  <c r="J42" i="34"/>
  <c r="I24" i="24"/>
  <c r="G57" i="24"/>
  <c r="G37" i="24"/>
  <c r="G53" i="34"/>
  <c r="G56" i="34" s="1"/>
  <c r="H30" i="24"/>
  <c r="H8" i="37" s="1"/>
  <c r="H35" i="24"/>
  <c r="H55" i="34" s="1"/>
  <c r="H47" i="24"/>
  <c r="J14" i="24"/>
  <c r="I16" i="24"/>
  <c r="J22" i="24"/>
  <c r="K20" i="24"/>
  <c r="J8" i="24"/>
  <c r="U80" i="32"/>
  <c r="U82" i="32" s="1"/>
  <c r="W19" i="32"/>
  <c r="V49" i="32"/>
  <c r="V26" i="32"/>
  <c r="U64" i="32"/>
  <c r="U97" i="32"/>
  <c r="U99" i="32" s="1"/>
  <c r="I21" i="34" s="1"/>
  <c r="V11" i="32"/>
  <c r="U33" i="32"/>
  <c r="F48" i="40" l="1"/>
  <c r="F31" i="34"/>
  <c r="F32" i="34" s="1"/>
  <c r="J34" i="40"/>
  <c r="J46" i="40"/>
  <c r="J30" i="34" s="1"/>
  <c r="L8" i="40"/>
  <c r="K24" i="40"/>
  <c r="C25" i="40"/>
  <c r="C41" i="40"/>
  <c r="C43" i="40" s="1"/>
  <c r="C66" i="40" s="1"/>
  <c r="D81" i="37"/>
  <c r="G6" i="37" s="1"/>
  <c r="S84" i="32" s="1"/>
  <c r="G47" i="40"/>
  <c r="S83" i="32"/>
  <c r="G19" i="34" s="1"/>
  <c r="G22" i="34" s="1"/>
  <c r="G29" i="40"/>
  <c r="G36" i="40" s="1"/>
  <c r="D101" i="37"/>
  <c r="C101" i="37"/>
  <c r="D114" i="37"/>
  <c r="C114" i="37"/>
  <c r="C88" i="37"/>
  <c r="C93" i="37" s="1"/>
  <c r="H7" i="37" s="1"/>
  <c r="H47" i="40" s="1"/>
  <c r="D88" i="37"/>
  <c r="D140" i="37"/>
  <c r="C140" i="37"/>
  <c r="C127" i="37"/>
  <c r="D127" i="37"/>
  <c r="B87" i="37"/>
  <c r="B126" i="37"/>
  <c r="B100" i="37"/>
  <c r="D100" i="37" s="1"/>
  <c r="B152" i="37"/>
  <c r="B139" i="37"/>
  <c r="B113" i="37"/>
  <c r="G14" i="34"/>
  <c r="G48" i="34"/>
  <c r="F14" i="34"/>
  <c r="F48" i="34"/>
  <c r="I10" i="34"/>
  <c r="J43" i="34"/>
  <c r="J9" i="34"/>
  <c r="T66" i="32"/>
  <c r="J41" i="34"/>
  <c r="J7" i="34"/>
  <c r="K8" i="34"/>
  <c r="K42" i="34"/>
  <c r="J24" i="24"/>
  <c r="H57" i="24"/>
  <c r="H53" i="34"/>
  <c r="H56" i="34" s="1"/>
  <c r="I44" i="34"/>
  <c r="H37" i="24"/>
  <c r="I35" i="24"/>
  <c r="I55" i="34" s="1"/>
  <c r="I47" i="24"/>
  <c r="I30" i="24"/>
  <c r="I8" i="37" s="1"/>
  <c r="K8" i="24"/>
  <c r="J16" i="24"/>
  <c r="K14" i="24"/>
  <c r="K22" i="24"/>
  <c r="L20" i="24"/>
  <c r="V80" i="32"/>
  <c r="V82" i="32" s="1"/>
  <c r="V97" i="32"/>
  <c r="V99" i="32" s="1"/>
  <c r="J21" i="34" s="1"/>
  <c r="V33" i="32"/>
  <c r="W11" i="32"/>
  <c r="W26" i="32"/>
  <c r="V64" i="32"/>
  <c r="X19" i="32"/>
  <c r="Y19" i="32" s="1"/>
  <c r="W49" i="32"/>
  <c r="H48" i="40" l="1"/>
  <c r="H31" i="34"/>
  <c r="H32" i="34" s="1"/>
  <c r="G48" i="40"/>
  <c r="G31" i="34"/>
  <c r="G32" i="34" s="1"/>
  <c r="K34" i="40"/>
  <c r="K46" i="40"/>
  <c r="K30" i="34" s="1"/>
  <c r="L10" i="40"/>
  <c r="L25" i="40" s="1"/>
  <c r="M8" i="40"/>
  <c r="L24" i="40"/>
  <c r="C50" i="40"/>
  <c r="C26" i="40"/>
  <c r="C38" i="40"/>
  <c r="C39" i="40" s="1"/>
  <c r="T83" i="32"/>
  <c r="H19" i="34" s="1"/>
  <c r="H22" i="34" s="1"/>
  <c r="H29" i="40"/>
  <c r="H36" i="40" s="1"/>
  <c r="D87" i="37"/>
  <c r="D152" i="37"/>
  <c r="C152" i="37"/>
  <c r="C100" i="37"/>
  <c r="C105" i="37" s="1"/>
  <c r="I7" i="37" s="1"/>
  <c r="B151" i="37"/>
  <c r="B112" i="37"/>
  <c r="B99" i="37"/>
  <c r="B138" i="37"/>
  <c r="B125" i="37"/>
  <c r="C113" i="37"/>
  <c r="D113" i="37"/>
  <c r="C139" i="37"/>
  <c r="D139" i="37"/>
  <c r="C126" i="37"/>
  <c r="D126" i="37"/>
  <c r="J10" i="34"/>
  <c r="K43" i="34"/>
  <c r="K9" i="34"/>
  <c r="U66" i="32"/>
  <c r="T65" i="32"/>
  <c r="T67" i="32" s="1"/>
  <c r="L8" i="34"/>
  <c r="L42" i="34"/>
  <c r="K41" i="34"/>
  <c r="K7" i="34"/>
  <c r="K24" i="24"/>
  <c r="I57" i="24"/>
  <c r="J44" i="34"/>
  <c r="I37" i="24"/>
  <c r="I53" i="34"/>
  <c r="I56" i="34" s="1"/>
  <c r="J35" i="24"/>
  <c r="J55" i="34" s="1"/>
  <c r="J47" i="24"/>
  <c r="J30" i="24"/>
  <c r="J8" i="37" s="1"/>
  <c r="L22" i="24"/>
  <c r="M20" i="24"/>
  <c r="L8" i="24"/>
  <c r="K16" i="24"/>
  <c r="L14" i="24"/>
  <c r="W80" i="32"/>
  <c r="W82" i="32" s="1"/>
  <c r="X49" i="32"/>
  <c r="X26" i="32"/>
  <c r="W64" i="32"/>
  <c r="W97" i="32"/>
  <c r="W99" i="32" s="1"/>
  <c r="K21" i="34" s="1"/>
  <c r="X11" i="32"/>
  <c r="L41" i="34" s="1"/>
  <c r="W33" i="32"/>
  <c r="C5" i="43" l="1"/>
  <c r="L26" i="40"/>
  <c r="M10" i="40"/>
  <c r="M25" i="40" s="1"/>
  <c r="M24" i="40"/>
  <c r="M34" i="40" s="1"/>
  <c r="L46" i="40"/>
  <c r="L30" i="34" s="1"/>
  <c r="L34" i="40"/>
  <c r="K10" i="34"/>
  <c r="D93" i="37"/>
  <c r="D99" i="37"/>
  <c r="D105" i="37" s="1"/>
  <c r="I6" i="37" s="1"/>
  <c r="D151" i="37"/>
  <c r="C151" i="37"/>
  <c r="C138" i="37"/>
  <c r="D138" i="37"/>
  <c r="D112" i="37"/>
  <c r="C112" i="37"/>
  <c r="C117" i="37" s="1"/>
  <c r="J7" i="37" s="1"/>
  <c r="I29" i="40"/>
  <c r="U83" i="32"/>
  <c r="I19" i="34" s="1"/>
  <c r="I22" i="34" s="1"/>
  <c r="I47" i="40"/>
  <c r="I31" i="34" s="1"/>
  <c r="I32" i="34" s="1"/>
  <c r="B137" i="37"/>
  <c r="B150" i="37"/>
  <c r="B124" i="37"/>
  <c r="B111" i="37"/>
  <c r="D111" i="37" s="1"/>
  <c r="D125" i="37"/>
  <c r="C125" i="37"/>
  <c r="H48" i="34"/>
  <c r="H14" i="34"/>
  <c r="L43" i="34"/>
  <c r="L9" i="34"/>
  <c r="Y26" i="32"/>
  <c r="M9" i="34" s="1"/>
  <c r="V66" i="32"/>
  <c r="U65" i="32"/>
  <c r="U67" i="32" s="1"/>
  <c r="M8" i="34"/>
  <c r="M42" i="34"/>
  <c r="L7" i="34"/>
  <c r="L24" i="24"/>
  <c r="J57" i="24"/>
  <c r="K44" i="34"/>
  <c r="M22" i="24"/>
  <c r="J37" i="24"/>
  <c r="J53" i="34"/>
  <c r="J56" i="34" s="1"/>
  <c r="K47" i="24"/>
  <c r="K35" i="24"/>
  <c r="K55" i="34" s="1"/>
  <c r="K30" i="24"/>
  <c r="K8" i="37" s="1"/>
  <c r="M14" i="24"/>
  <c r="L16" i="24"/>
  <c r="L10" i="24"/>
  <c r="M8" i="24"/>
  <c r="Y49" i="32"/>
  <c r="X80" i="32"/>
  <c r="X82" i="32" s="1"/>
  <c r="X97" i="32"/>
  <c r="X99" i="32" s="1"/>
  <c r="L21" i="34" s="1"/>
  <c r="X33" i="32"/>
  <c r="X36" i="32" s="1"/>
  <c r="Y11" i="32"/>
  <c r="M41" i="34" s="1"/>
  <c r="X64" i="32"/>
  <c r="X67" i="32" s="1"/>
  <c r="L10" i="34" l="1"/>
  <c r="M26" i="40"/>
  <c r="H6" i="37"/>
  <c r="U84" i="32"/>
  <c r="I48" i="40"/>
  <c r="D117" i="37"/>
  <c r="J6" i="37" s="1"/>
  <c r="C150" i="37"/>
  <c r="D150" i="37"/>
  <c r="J29" i="40"/>
  <c r="J36" i="40" s="1"/>
  <c r="V83" i="32"/>
  <c r="J19" i="34" s="1"/>
  <c r="J22" i="34" s="1"/>
  <c r="J47" i="40"/>
  <c r="J31" i="34" s="1"/>
  <c r="J32" i="34" s="1"/>
  <c r="C124" i="37"/>
  <c r="C129" i="37" s="1"/>
  <c r="K7" i="37" s="1"/>
  <c r="D124" i="37"/>
  <c r="D137" i="37"/>
  <c r="C137" i="37"/>
  <c r="I36" i="40"/>
  <c r="B149" i="37"/>
  <c r="B136" i="37"/>
  <c r="B123" i="37"/>
  <c r="L46" i="34"/>
  <c r="L12" i="34"/>
  <c r="L48" i="34"/>
  <c r="L14" i="34"/>
  <c r="I48" i="34"/>
  <c r="I14" i="34"/>
  <c r="M43" i="34"/>
  <c r="V65" i="32"/>
  <c r="V67" i="32" s="1"/>
  <c r="W66" i="32"/>
  <c r="W65" i="32" s="1"/>
  <c r="W67" i="32" s="1"/>
  <c r="M7" i="34"/>
  <c r="M10" i="34" s="1"/>
  <c r="M10" i="24"/>
  <c r="M24" i="24"/>
  <c r="M30" i="24" s="1"/>
  <c r="L47" i="24"/>
  <c r="K57" i="24"/>
  <c r="L25" i="24"/>
  <c r="L26" i="24" s="1"/>
  <c r="L44" i="34"/>
  <c r="M16" i="24"/>
  <c r="K37" i="24"/>
  <c r="K53" i="34"/>
  <c r="K56" i="34" s="1"/>
  <c r="L35" i="24"/>
  <c r="L55" i="34" s="1"/>
  <c r="L30" i="24"/>
  <c r="L8" i="37" s="1"/>
  <c r="Y80" i="32"/>
  <c r="Y82" i="32" s="1"/>
  <c r="Y64" i="32"/>
  <c r="Y67" i="32" s="1"/>
  <c r="Y97" i="32"/>
  <c r="Y99" i="32" s="1"/>
  <c r="M21" i="34" s="1"/>
  <c r="Y33" i="32"/>
  <c r="Y36" i="32" s="1"/>
  <c r="L57" i="24" l="1"/>
  <c r="D123" i="37"/>
  <c r="D129" i="37" s="1"/>
  <c r="T84" i="32"/>
  <c r="B147" i="37"/>
  <c r="D147" i="37" s="1"/>
  <c r="M8" i="37"/>
  <c r="V84" i="32"/>
  <c r="J48" i="40"/>
  <c r="K29" i="40"/>
  <c r="W83" i="32"/>
  <c r="K19" i="34" s="1"/>
  <c r="K22" i="34" s="1"/>
  <c r="D149" i="37"/>
  <c r="C149" i="37"/>
  <c r="K47" i="40"/>
  <c r="K31" i="34" s="1"/>
  <c r="K32" i="34" s="1"/>
  <c r="C136" i="37"/>
  <c r="C141" i="37" s="1"/>
  <c r="L7" i="37" s="1"/>
  <c r="D136" i="37"/>
  <c r="B135" i="37"/>
  <c r="D135" i="37" s="1"/>
  <c r="B148" i="37"/>
  <c r="M14" i="34"/>
  <c r="M48" i="34"/>
  <c r="M12" i="34"/>
  <c r="M46" i="34"/>
  <c r="K48" i="34"/>
  <c r="K14" i="34"/>
  <c r="J48" i="34"/>
  <c r="J14" i="34"/>
  <c r="M25" i="24"/>
  <c r="M26" i="24" s="1"/>
  <c r="M53" i="34"/>
  <c r="M44" i="34"/>
  <c r="L37" i="24"/>
  <c r="L53" i="34"/>
  <c r="L56" i="34" s="1"/>
  <c r="M35" i="24"/>
  <c r="M55" i="34" s="1"/>
  <c r="Q44" i="25"/>
  <c r="Q45" i="25"/>
  <c r="Q47" i="25"/>
  <c r="Q48" i="25"/>
  <c r="Q50" i="25"/>
  <c r="Q51" i="25"/>
  <c r="Q55" i="25"/>
  <c r="Q57" i="25"/>
  <c r="Q58" i="25"/>
  <c r="Q61" i="25"/>
  <c r="Q62" i="25"/>
  <c r="Q63" i="25"/>
  <c r="Q65" i="25"/>
  <c r="Q67" i="25"/>
  <c r="Q68" i="25"/>
  <c r="Q40" i="25"/>
  <c r="K41" i="25"/>
  <c r="L41" i="25"/>
  <c r="M41" i="25"/>
  <c r="N41" i="25"/>
  <c r="O41" i="25"/>
  <c r="K42" i="25"/>
  <c r="L42" i="25"/>
  <c r="M42" i="25"/>
  <c r="N42" i="25"/>
  <c r="O42" i="25"/>
  <c r="K44" i="25"/>
  <c r="P44" i="25" s="1"/>
  <c r="L44" i="25"/>
  <c r="M44" i="25"/>
  <c r="N44" i="25"/>
  <c r="O44" i="25"/>
  <c r="K45" i="25"/>
  <c r="L45" i="25"/>
  <c r="M45" i="25"/>
  <c r="N45" i="25"/>
  <c r="O45" i="25"/>
  <c r="K47" i="25"/>
  <c r="L47" i="25"/>
  <c r="M47" i="25"/>
  <c r="N47" i="25"/>
  <c r="O47" i="25"/>
  <c r="K48" i="25"/>
  <c r="L48" i="25"/>
  <c r="M48" i="25"/>
  <c r="N48" i="25"/>
  <c r="O48" i="25"/>
  <c r="K50" i="25"/>
  <c r="L50" i="25"/>
  <c r="M50" i="25"/>
  <c r="N50" i="25"/>
  <c r="O50" i="25"/>
  <c r="K51" i="25"/>
  <c r="L51" i="25"/>
  <c r="M51" i="25"/>
  <c r="N51" i="25"/>
  <c r="O51" i="25"/>
  <c r="K55" i="25"/>
  <c r="L55" i="25"/>
  <c r="M55" i="25"/>
  <c r="N55" i="25"/>
  <c r="O55" i="25"/>
  <c r="K57" i="25"/>
  <c r="L57" i="25"/>
  <c r="M57" i="25"/>
  <c r="N57" i="25"/>
  <c r="P57" i="25" s="1"/>
  <c r="O57" i="25"/>
  <c r="K58" i="25"/>
  <c r="L58" i="25"/>
  <c r="M58" i="25"/>
  <c r="N58" i="25"/>
  <c r="O58" i="25"/>
  <c r="K61" i="25"/>
  <c r="L61" i="25"/>
  <c r="M61" i="25"/>
  <c r="N61" i="25"/>
  <c r="O61" i="25"/>
  <c r="K62" i="25"/>
  <c r="L62" i="25"/>
  <c r="M62" i="25"/>
  <c r="N62" i="25"/>
  <c r="O62" i="25"/>
  <c r="K63" i="25"/>
  <c r="L63" i="25"/>
  <c r="M63" i="25"/>
  <c r="N63" i="25"/>
  <c r="O63" i="25"/>
  <c r="K65" i="25"/>
  <c r="L65" i="25"/>
  <c r="M65" i="25"/>
  <c r="N65" i="25"/>
  <c r="O65" i="25"/>
  <c r="K67" i="25"/>
  <c r="L67" i="25"/>
  <c r="M67" i="25"/>
  <c r="N67" i="25"/>
  <c r="O67" i="25"/>
  <c r="K68" i="25"/>
  <c r="L68" i="25"/>
  <c r="M68" i="25"/>
  <c r="N68" i="25"/>
  <c r="O68" i="25"/>
  <c r="L40" i="25"/>
  <c r="M40" i="25"/>
  <c r="N40" i="25"/>
  <c r="O40" i="25"/>
  <c r="K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H54" i="25"/>
  <c r="H55" i="25"/>
  <c r="H56" i="25"/>
  <c r="H57" i="25"/>
  <c r="H58" i="25"/>
  <c r="H59" i="25"/>
  <c r="H60" i="25"/>
  <c r="H61" i="25"/>
  <c r="H62" i="25"/>
  <c r="H63" i="25"/>
  <c r="H64" i="25"/>
  <c r="H65" i="25"/>
  <c r="H66" i="25"/>
  <c r="H40" i="25"/>
  <c r="D56" i="25"/>
  <c r="B41" i="25"/>
  <c r="C41" i="25"/>
  <c r="D41" i="25"/>
  <c r="G41" i="25" s="1"/>
  <c r="F41" i="25"/>
  <c r="B42" i="25"/>
  <c r="C42" i="25"/>
  <c r="D42" i="25"/>
  <c r="E42" i="25"/>
  <c r="F42" i="25"/>
  <c r="B43" i="25"/>
  <c r="G43" i="25" s="1"/>
  <c r="C43" i="25"/>
  <c r="D43" i="25"/>
  <c r="E43" i="25"/>
  <c r="F43" i="25"/>
  <c r="C44" i="25"/>
  <c r="D44" i="25"/>
  <c r="G44" i="25" s="1"/>
  <c r="E44" i="25"/>
  <c r="F44" i="25"/>
  <c r="B45" i="25"/>
  <c r="C45" i="25"/>
  <c r="D45" i="25"/>
  <c r="E45" i="25"/>
  <c r="F45" i="25"/>
  <c r="B46" i="25"/>
  <c r="C46" i="25"/>
  <c r="D46" i="25"/>
  <c r="E46" i="25"/>
  <c r="B47" i="25"/>
  <c r="C47" i="25"/>
  <c r="D47" i="25"/>
  <c r="E47" i="25"/>
  <c r="F47" i="25"/>
  <c r="B48" i="25"/>
  <c r="C48" i="25"/>
  <c r="D48" i="25"/>
  <c r="E48" i="25"/>
  <c r="F48" i="25"/>
  <c r="B49" i="25"/>
  <c r="C49" i="25"/>
  <c r="D49" i="25"/>
  <c r="E49" i="25"/>
  <c r="F49" i="25"/>
  <c r="B50" i="25"/>
  <c r="C50" i="25"/>
  <c r="D50" i="25"/>
  <c r="E50" i="25"/>
  <c r="F50" i="25"/>
  <c r="B51" i="25"/>
  <c r="C51" i="25"/>
  <c r="D51" i="25"/>
  <c r="E51" i="25"/>
  <c r="F51" i="25"/>
  <c r="B52" i="25"/>
  <c r="C52" i="25"/>
  <c r="D52" i="25"/>
  <c r="E52" i="25"/>
  <c r="F52" i="25"/>
  <c r="B53" i="25"/>
  <c r="G53" i="25" s="1"/>
  <c r="C53" i="25"/>
  <c r="D53" i="25"/>
  <c r="E53" i="25"/>
  <c r="F53" i="25"/>
  <c r="B54" i="25"/>
  <c r="C54" i="25"/>
  <c r="D54" i="25"/>
  <c r="E54" i="25"/>
  <c r="G54" i="25" s="1"/>
  <c r="F54" i="25"/>
  <c r="B55" i="25"/>
  <c r="C55" i="25"/>
  <c r="D55" i="25"/>
  <c r="E55" i="25"/>
  <c r="F55" i="25"/>
  <c r="B56" i="25"/>
  <c r="C56" i="25"/>
  <c r="E56" i="25"/>
  <c r="F56" i="25"/>
  <c r="B57" i="25"/>
  <c r="C57" i="25"/>
  <c r="D57" i="25"/>
  <c r="E57" i="25"/>
  <c r="F57" i="25"/>
  <c r="B58" i="25"/>
  <c r="C58" i="25"/>
  <c r="D58" i="25"/>
  <c r="E58" i="25"/>
  <c r="F58" i="25"/>
  <c r="B59" i="25"/>
  <c r="C59" i="25"/>
  <c r="D59" i="25"/>
  <c r="E59" i="25"/>
  <c r="F59" i="25"/>
  <c r="B60" i="25"/>
  <c r="C60" i="25"/>
  <c r="D60" i="25"/>
  <c r="E60" i="25"/>
  <c r="F60" i="25"/>
  <c r="B61" i="25"/>
  <c r="G61" i="25" s="1"/>
  <c r="C61" i="25"/>
  <c r="D61" i="25"/>
  <c r="E61" i="25"/>
  <c r="F61" i="25"/>
  <c r="B62" i="25"/>
  <c r="C62" i="25"/>
  <c r="D62" i="25"/>
  <c r="E62" i="25"/>
  <c r="F62" i="25"/>
  <c r="B63" i="25"/>
  <c r="G63" i="25" s="1"/>
  <c r="C63" i="25"/>
  <c r="D63" i="25"/>
  <c r="E63" i="25"/>
  <c r="F63" i="25"/>
  <c r="B64" i="25"/>
  <c r="C64" i="25"/>
  <c r="D64" i="25"/>
  <c r="E64" i="25"/>
  <c r="F64" i="25"/>
  <c r="B65" i="25"/>
  <c r="C65" i="25"/>
  <c r="D65" i="25"/>
  <c r="G65" i="25" s="1"/>
  <c r="E65" i="25"/>
  <c r="F65" i="25"/>
  <c r="B66" i="25"/>
  <c r="C66" i="25"/>
  <c r="D66" i="25"/>
  <c r="E66" i="25"/>
  <c r="F66" i="25"/>
  <c r="C40" i="25"/>
  <c r="D40" i="25"/>
  <c r="E40" i="25"/>
  <c r="F40" i="25"/>
  <c r="B40" i="25"/>
  <c r="G12" i="25"/>
  <c r="D16" i="14"/>
  <c r="O8" i="27"/>
  <c r="J57" i="27"/>
  <c r="K57" i="27"/>
  <c r="L57" i="27"/>
  <c r="M57" i="27"/>
  <c r="N57" i="27"/>
  <c r="B40" i="27"/>
  <c r="E40" i="27"/>
  <c r="D40" i="27"/>
  <c r="C40" i="27"/>
  <c r="C51" i="26"/>
  <c r="D51" i="26"/>
  <c r="E51" i="26"/>
  <c r="B53" i="26"/>
  <c r="D41" i="26"/>
  <c r="D42" i="26" s="1"/>
  <c r="E41" i="26"/>
  <c r="E42" i="26" s="1"/>
  <c r="F41" i="26"/>
  <c r="F42" i="26" s="1"/>
  <c r="B41" i="26"/>
  <c r="B42" i="26" s="1"/>
  <c r="J41" i="26"/>
  <c r="J42" i="26" s="1"/>
  <c r="F31" i="26"/>
  <c r="E31" i="26"/>
  <c r="D31" i="26"/>
  <c r="C31" i="26"/>
  <c r="C43" i="26" s="1"/>
  <c r="C21" i="26"/>
  <c r="D21" i="26"/>
  <c r="D22" i="26" s="1"/>
  <c r="E21" i="26"/>
  <c r="B21" i="26"/>
  <c r="C12" i="26"/>
  <c r="D12" i="26"/>
  <c r="E12" i="26"/>
  <c r="F12" i="26"/>
  <c r="B12" i="26"/>
  <c r="K41" i="26"/>
  <c r="K42" i="26" s="1"/>
  <c r="K43" i="26" s="1"/>
  <c r="C24" i="42" s="1"/>
  <c r="L41" i="26"/>
  <c r="L42" i="26" s="1"/>
  <c r="L43" i="26" s="1"/>
  <c r="D24" i="42" s="1"/>
  <c r="M41" i="26"/>
  <c r="M42" i="26" s="1"/>
  <c r="M43" i="26" s="1"/>
  <c r="E24" i="42" s="1"/>
  <c r="N41" i="26"/>
  <c r="N42" i="26" s="1"/>
  <c r="N43" i="26" s="1"/>
  <c r="K12" i="26"/>
  <c r="C31" i="42" s="1"/>
  <c r="C33" i="42" s="1"/>
  <c r="L12" i="26"/>
  <c r="D31" i="42" s="1"/>
  <c r="D33" i="42" s="1"/>
  <c r="M12" i="26"/>
  <c r="E31" i="42" s="1"/>
  <c r="E33" i="42" s="1"/>
  <c r="J12" i="26"/>
  <c r="M12" i="18"/>
  <c r="P22" i="25" s="1"/>
  <c r="D74" i="18"/>
  <c r="C74" i="18"/>
  <c r="D73" i="18"/>
  <c r="C73" i="18"/>
  <c r="C72" i="18"/>
  <c r="D71" i="18"/>
  <c r="C71" i="18"/>
  <c r="D70" i="18"/>
  <c r="C70" i="18"/>
  <c r="D69" i="18"/>
  <c r="B31" i="42" l="1"/>
  <c r="B33" i="42" s="1"/>
  <c r="G33" i="42" s="1"/>
  <c r="D75" i="18"/>
  <c r="M10" i="18" s="1"/>
  <c r="O19" i="26" s="1"/>
  <c r="O23" i="26" s="1"/>
  <c r="C75" i="18"/>
  <c r="J43" i="26"/>
  <c r="D53" i="26"/>
  <c r="D58" i="26"/>
  <c r="C58" i="26"/>
  <c r="C53" i="26"/>
  <c r="C54" i="26" s="1"/>
  <c r="E53" i="26"/>
  <c r="E58" i="26"/>
  <c r="F43" i="26"/>
  <c r="F54" i="26" s="1"/>
  <c r="F24" i="42"/>
  <c r="G59" i="25"/>
  <c r="G47" i="25"/>
  <c r="G57" i="25"/>
  <c r="P62" i="25"/>
  <c r="P55" i="25"/>
  <c r="G64" i="25"/>
  <c r="G42" i="25"/>
  <c r="P40" i="25"/>
  <c r="P61" i="25"/>
  <c r="P65" i="25"/>
  <c r="P50" i="25"/>
  <c r="P45" i="25"/>
  <c r="P68" i="25"/>
  <c r="P58" i="25"/>
  <c r="G62" i="25"/>
  <c r="G56" i="25"/>
  <c r="G50" i="25"/>
  <c r="G45" i="25"/>
  <c r="P63" i="25"/>
  <c r="G49" i="25"/>
  <c r="P47" i="25"/>
  <c r="G52" i="25"/>
  <c r="G66" i="25"/>
  <c r="G60" i="25"/>
  <c r="G58" i="25"/>
  <c r="G55" i="25"/>
  <c r="G51" i="25"/>
  <c r="G48" i="25"/>
  <c r="G40" i="25"/>
  <c r="P67" i="25"/>
  <c r="P51" i="25"/>
  <c r="P48" i="25"/>
  <c r="P42" i="25"/>
  <c r="P41" i="25"/>
  <c r="B142" i="32"/>
  <c r="F46" i="25"/>
  <c r="G46" i="25" s="1"/>
  <c r="K6" i="37"/>
  <c r="K48" i="40"/>
  <c r="L29" i="40"/>
  <c r="L36" i="40" s="1"/>
  <c r="X83" i="32"/>
  <c r="L19" i="34" s="1"/>
  <c r="L22" i="34" s="1"/>
  <c r="L47" i="40"/>
  <c r="L31" i="34" s="1"/>
  <c r="L32" i="34" s="1"/>
  <c r="C148" i="37"/>
  <c r="C153" i="37" s="1"/>
  <c r="M7" i="37" s="1"/>
  <c r="D148" i="37"/>
  <c r="D153" i="37" s="1"/>
  <c r="M6" i="37" s="1"/>
  <c r="Y84" i="32" s="1"/>
  <c r="D141" i="37"/>
  <c r="L6" i="37" s="1"/>
  <c r="K36" i="40"/>
  <c r="L39" i="24"/>
  <c r="L40" i="24" s="1"/>
  <c r="L42" i="24" s="1"/>
  <c r="M11" i="18"/>
  <c r="P18" i="25" s="1"/>
  <c r="O31" i="27"/>
  <c r="M37" i="24"/>
  <c r="M56" i="34"/>
  <c r="B43" i="26"/>
  <c r="B54" i="26" s="1"/>
  <c r="C22" i="26"/>
  <c r="E22" i="26"/>
  <c r="D43" i="26"/>
  <c r="E43" i="26"/>
  <c r="B22" i="26"/>
  <c r="B19" i="14"/>
  <c r="C19" i="14"/>
  <c r="L15" i="25"/>
  <c r="M15" i="25"/>
  <c r="N15" i="25"/>
  <c r="O15" i="25"/>
  <c r="O49" i="25" s="1"/>
  <c r="K15" i="25"/>
  <c r="N12" i="25"/>
  <c r="O12" i="25"/>
  <c r="L9" i="25"/>
  <c r="M9" i="25"/>
  <c r="N9" i="25"/>
  <c r="O9" i="25"/>
  <c r="P9" i="25"/>
  <c r="P12" i="25" s="1"/>
  <c r="K9" i="25"/>
  <c r="K12" i="25" s="1"/>
  <c r="B13" i="10"/>
  <c r="D54" i="26" l="1"/>
  <c r="B24" i="42"/>
  <c r="E54" i="26"/>
  <c r="N49" i="25"/>
  <c r="M49" i="25"/>
  <c r="M43" i="25"/>
  <c r="N43" i="25"/>
  <c r="N46" i="25"/>
  <c r="L49" i="25"/>
  <c r="M12" i="25"/>
  <c r="L43" i="25"/>
  <c r="Q43" i="25"/>
  <c r="K43" i="25"/>
  <c r="Q49" i="25"/>
  <c r="K49" i="25"/>
  <c r="O43" i="25"/>
  <c r="Q46" i="25"/>
  <c r="O46" i="25"/>
  <c r="L12" i="25"/>
  <c r="K46" i="25" s="1"/>
  <c r="B157" i="32"/>
  <c r="G157" i="32" s="1"/>
  <c r="B163" i="32"/>
  <c r="B174" i="32" s="1"/>
  <c r="G174" i="32" s="1"/>
  <c r="W84" i="32"/>
  <c r="L48" i="40"/>
  <c r="X84" i="32"/>
  <c r="M29" i="40"/>
  <c r="Y83" i="32"/>
  <c r="M19" i="34" s="1"/>
  <c r="M22" i="34" s="1"/>
  <c r="L41" i="40"/>
  <c r="L43" i="40" s="1"/>
  <c r="L38" i="40"/>
  <c r="L39" i="40" s="1"/>
  <c r="L44" i="24"/>
  <c r="L65" i="24" s="1"/>
  <c r="M39" i="24"/>
  <c r="M40" i="24" s="1"/>
  <c r="M42" i="24" s="1"/>
  <c r="O10" i="27"/>
  <c r="P19" i="25"/>
  <c r="D19" i="14"/>
  <c r="D11" i="18"/>
  <c r="C11" i="18"/>
  <c r="M46" i="25" l="1"/>
  <c r="L46" i="25"/>
  <c r="P46" i="25"/>
  <c r="P49" i="25"/>
  <c r="P43" i="25"/>
  <c r="L66" i="40"/>
  <c r="M36" i="40"/>
  <c r="L50" i="40"/>
  <c r="L49" i="24"/>
  <c r="L58" i="24"/>
  <c r="M44" i="24"/>
  <c r="P20" i="25"/>
  <c r="L5" i="43" l="1"/>
  <c r="M41" i="40"/>
  <c r="M43" i="40" s="1"/>
  <c r="M38" i="40"/>
  <c r="M39" i="40" s="1"/>
  <c r="B68" i="24"/>
  <c r="B69" i="40" l="1"/>
  <c r="E8" i="10" l="1"/>
  <c r="E9" i="10"/>
  <c r="E10" i="10"/>
  <c r="E11" i="10"/>
  <c r="E12" i="10"/>
  <c r="D10" i="18"/>
  <c r="B24" i="10"/>
  <c r="L12" i="18"/>
  <c r="K12" i="18"/>
  <c r="J12" i="18"/>
  <c r="I12" i="18"/>
  <c r="H12" i="18"/>
  <c r="D63" i="18"/>
  <c r="C63" i="18"/>
  <c r="D62" i="18"/>
  <c r="C62" i="18"/>
  <c r="D61" i="18"/>
  <c r="C61" i="18"/>
  <c r="D60" i="18"/>
  <c r="C60" i="18"/>
  <c r="D59" i="18"/>
  <c r="C59" i="18"/>
  <c r="D58" i="18"/>
  <c r="D51" i="18"/>
  <c r="C51" i="18"/>
  <c r="D50" i="18"/>
  <c r="C50" i="18"/>
  <c r="D49" i="18"/>
  <c r="C49" i="18"/>
  <c r="D48" i="18"/>
  <c r="C48" i="18"/>
  <c r="D47" i="18"/>
  <c r="C47" i="18"/>
  <c r="D46" i="18"/>
  <c r="D39" i="18"/>
  <c r="C39" i="18"/>
  <c r="D38" i="18"/>
  <c r="C38" i="18"/>
  <c r="D37" i="18"/>
  <c r="C37" i="18"/>
  <c r="D36" i="18"/>
  <c r="C36" i="18"/>
  <c r="D35" i="18"/>
  <c r="C35" i="18"/>
  <c r="D34" i="18"/>
  <c r="D27" i="18"/>
  <c r="C27" i="18"/>
  <c r="D26" i="18"/>
  <c r="C26" i="18"/>
  <c r="D25" i="18"/>
  <c r="C25" i="18"/>
  <c r="D24" i="18"/>
  <c r="C24" i="18"/>
  <c r="D23" i="18"/>
  <c r="C23" i="18"/>
  <c r="D22" i="18"/>
  <c r="D12" i="18"/>
  <c r="D13" i="18"/>
  <c r="D14" i="18"/>
  <c r="D15" i="18"/>
  <c r="C12" i="18"/>
  <c r="C13" i="18"/>
  <c r="C14" i="18"/>
  <c r="C15" i="18"/>
  <c r="B44" i="10"/>
  <c r="C32" i="12" s="1"/>
  <c r="B19" i="10"/>
  <c r="B30" i="10" s="1"/>
  <c r="J6" i="11"/>
  <c r="J7" i="11"/>
  <c r="J8" i="11"/>
  <c r="J9" i="11"/>
  <c r="J10" i="11"/>
  <c r="I11" i="11"/>
  <c r="H11" i="11"/>
  <c r="J11" i="11" s="1"/>
  <c r="B21" i="16"/>
  <c r="C20" i="16"/>
  <c r="C22" i="16" s="1"/>
  <c r="C23" i="16" s="1"/>
  <c r="D20" i="16"/>
  <c r="D22" i="16" s="1"/>
  <c r="D23" i="16" s="1"/>
  <c r="E20" i="16"/>
  <c r="E22" i="16" s="1"/>
  <c r="E23" i="16" s="1"/>
  <c r="F20" i="16"/>
  <c r="F22" i="16" s="1"/>
  <c r="F23" i="16" s="1"/>
  <c r="G20" i="16"/>
  <c r="H20" i="16" s="1"/>
  <c r="H22" i="16" s="1"/>
  <c r="H23" i="16" s="1"/>
  <c r="B11" i="16"/>
  <c r="C25" i="12"/>
  <c r="D25" i="12"/>
  <c r="C26" i="12"/>
  <c r="D26" i="12"/>
  <c r="F7" i="12"/>
  <c r="H7" i="12" s="1"/>
  <c r="B25" i="12" s="1"/>
  <c r="F8" i="12"/>
  <c r="H8" i="12" s="1"/>
  <c r="B26" i="12" s="1"/>
  <c r="B27" i="11"/>
  <c r="B28" i="11"/>
  <c r="B23" i="11"/>
  <c r="C22" i="11" s="1"/>
  <c r="D23" i="11"/>
  <c r="B17" i="11"/>
  <c r="C15" i="11" s="1"/>
  <c r="C17" i="11"/>
  <c r="C6" i="11"/>
  <c r="C7" i="11"/>
  <c r="C8" i="11"/>
  <c r="C9" i="11"/>
  <c r="C14" i="11" l="1"/>
  <c r="C13" i="11"/>
  <c r="E26" i="12"/>
  <c r="E25" i="12"/>
  <c r="B25" i="10"/>
  <c r="B31" i="10" s="1"/>
  <c r="O22" i="25"/>
  <c r="N31" i="27"/>
  <c r="K22" i="25"/>
  <c r="J31" i="27"/>
  <c r="L22" i="25"/>
  <c r="K31" i="27"/>
  <c r="M22" i="25"/>
  <c r="L31" i="27"/>
  <c r="N22" i="25"/>
  <c r="M31" i="27"/>
  <c r="D31" i="12"/>
  <c r="C64" i="18"/>
  <c r="L11" i="18" s="1"/>
  <c r="O18" i="25" s="1"/>
  <c r="D64" i="18"/>
  <c r="L10" i="18" s="1"/>
  <c r="D52" i="18"/>
  <c r="K10" i="18" s="1"/>
  <c r="C52" i="18"/>
  <c r="K11" i="18" s="1"/>
  <c r="N18" i="25" s="1"/>
  <c r="D40" i="18"/>
  <c r="J10" i="18" s="1"/>
  <c r="C40" i="18"/>
  <c r="J11" i="18" s="1"/>
  <c r="M18" i="25" s="1"/>
  <c r="C28" i="18"/>
  <c r="I11" i="18" s="1"/>
  <c r="L18" i="25" s="1"/>
  <c r="D28" i="18"/>
  <c r="I10" i="18" s="1"/>
  <c r="D16" i="18"/>
  <c r="H10" i="18" s="1"/>
  <c r="J51" i="26" s="1"/>
  <c r="J52" i="26" s="1"/>
  <c r="B18" i="42" s="1"/>
  <c r="C16" i="18"/>
  <c r="H11" i="18" s="1"/>
  <c r="K18" i="25" s="1"/>
  <c r="G22" i="16"/>
  <c r="G23" i="16" s="1"/>
  <c r="B25" i="16"/>
  <c r="C21" i="11"/>
  <c r="D21" i="11" s="1"/>
  <c r="B29" i="11" s="1"/>
  <c r="C23" i="11"/>
  <c r="D22" i="11"/>
  <c r="B30" i="11" s="1"/>
  <c r="C16" i="11"/>
  <c r="E27" i="12" l="1"/>
  <c r="F26" i="12" s="1"/>
  <c r="G26" i="12" s="1"/>
  <c r="M51" i="26"/>
  <c r="M52" i="26" s="1"/>
  <c r="M19" i="26"/>
  <c r="M22" i="26" s="1"/>
  <c r="M23" i="26" s="1"/>
  <c r="N56" i="25"/>
  <c r="N25" i="25"/>
  <c r="N10" i="27"/>
  <c r="O52" i="25"/>
  <c r="O19" i="25"/>
  <c r="M56" i="25"/>
  <c r="M25" i="25"/>
  <c r="M59" i="25" s="1"/>
  <c r="K10" i="27"/>
  <c r="L19" i="25"/>
  <c r="L52" i="25"/>
  <c r="Q56" i="25"/>
  <c r="K25" i="25"/>
  <c r="K56" i="25"/>
  <c r="L51" i="26"/>
  <c r="L52" i="26" s="1"/>
  <c r="L19" i="26"/>
  <c r="L22" i="26" s="1"/>
  <c r="L23" i="26" s="1"/>
  <c r="N51" i="26"/>
  <c r="N52" i="26" s="1"/>
  <c r="N19" i="26"/>
  <c r="N22" i="26" s="1"/>
  <c r="N23" i="26" s="1"/>
  <c r="L40" i="27"/>
  <c r="K52" i="25"/>
  <c r="Q52" i="25"/>
  <c r="K19" i="25"/>
  <c r="J10" i="27"/>
  <c r="K40" i="27"/>
  <c r="J19" i="26"/>
  <c r="J22" i="26" s="1"/>
  <c r="J23" i="26" s="1"/>
  <c r="J58" i="26"/>
  <c r="B58" i="40" s="1"/>
  <c r="C58" i="40" s="1"/>
  <c r="L56" i="25"/>
  <c r="L25" i="25"/>
  <c r="K51" i="26"/>
  <c r="K52" i="26" s="1"/>
  <c r="K19" i="26"/>
  <c r="K22" i="26" s="1"/>
  <c r="K23" i="26" s="1"/>
  <c r="J40" i="27"/>
  <c r="L10" i="27"/>
  <c r="M19" i="25"/>
  <c r="M52" i="25"/>
  <c r="M10" i="27"/>
  <c r="N19" i="25"/>
  <c r="N52" i="25"/>
  <c r="M40" i="27"/>
  <c r="O56" i="25"/>
  <c r="O25" i="25"/>
  <c r="O59" i="25" s="1"/>
  <c r="C29" i="11"/>
  <c r="E29" i="11" s="1"/>
  <c r="C28" i="11"/>
  <c r="E28" i="11" s="1"/>
  <c r="C27" i="11"/>
  <c r="E27" i="11" s="1"/>
  <c r="C30" i="11"/>
  <c r="E30" i="11" s="1"/>
  <c r="F25" i="12" l="1"/>
  <c r="G25" i="12" s="1"/>
  <c r="G27" i="12" s="1"/>
  <c r="E31" i="12" s="1"/>
  <c r="B7" i="14" s="1"/>
  <c r="B17" i="42"/>
  <c r="C18" i="42"/>
  <c r="K58" i="26"/>
  <c r="E17" i="42"/>
  <c r="F18" i="42"/>
  <c r="N54" i="26"/>
  <c r="N58" i="26"/>
  <c r="D18" i="42"/>
  <c r="C17" i="42"/>
  <c r="L58" i="26"/>
  <c r="E18" i="42"/>
  <c r="D17" i="42"/>
  <c r="M58" i="26"/>
  <c r="P56" i="25"/>
  <c r="M20" i="25"/>
  <c r="M53" i="25"/>
  <c r="L54" i="26"/>
  <c r="O20" i="25"/>
  <c r="O53" i="25"/>
  <c r="Q59" i="25"/>
  <c r="K59" i="25"/>
  <c r="K54" i="26"/>
  <c r="N59" i="25"/>
  <c r="L59" i="25"/>
  <c r="L53" i="25"/>
  <c r="L20" i="25"/>
  <c r="K53" i="25"/>
  <c r="K20" i="25"/>
  <c r="Q53" i="25"/>
  <c r="N53" i="25"/>
  <c r="N20" i="25"/>
  <c r="P52" i="25"/>
  <c r="J54" i="26"/>
  <c r="J55" i="26" s="1"/>
  <c r="M54" i="26"/>
  <c r="E31" i="11"/>
  <c r="B6" i="14" s="1"/>
  <c r="D5" i="41" s="1"/>
  <c r="E5" i="41" l="1"/>
  <c r="F5" i="41" s="1"/>
  <c r="C5" i="41"/>
  <c r="B10" i="14"/>
  <c r="B22" i="14" s="1"/>
  <c r="P59" i="25"/>
  <c r="L55" i="26"/>
  <c r="C9" i="42" s="1"/>
  <c r="D25" i="42"/>
  <c r="D26" i="42" s="1"/>
  <c r="K55" i="26"/>
  <c r="C10" i="42" s="1"/>
  <c r="C25" i="42"/>
  <c r="C26" i="42" s="1"/>
  <c r="B10" i="42"/>
  <c r="B25" i="42"/>
  <c r="B26" i="42" s="1"/>
  <c r="F25" i="42"/>
  <c r="F26" i="42" s="1"/>
  <c r="N55" i="26"/>
  <c r="M55" i="26"/>
  <c r="E10" i="42" s="1"/>
  <c r="E25" i="42"/>
  <c r="E26" i="42" s="1"/>
  <c r="P53" i="25"/>
  <c r="C59" i="40"/>
  <c r="D58" i="40"/>
  <c r="E58" i="40" s="1"/>
  <c r="F58" i="40" s="1"/>
  <c r="L54" i="25"/>
  <c r="L26" i="25"/>
  <c r="M26" i="25"/>
  <c r="M54" i="25"/>
  <c r="O54" i="25"/>
  <c r="O26" i="25"/>
  <c r="Q54" i="25"/>
  <c r="K26" i="25"/>
  <c r="K54" i="25"/>
  <c r="N54" i="25"/>
  <c r="N26" i="25"/>
  <c r="U27" i="9"/>
  <c r="U28" i="9" s="1"/>
  <c r="E8" i="9"/>
  <c r="F8" i="9"/>
  <c r="G8" i="9"/>
  <c r="E9" i="9"/>
  <c r="F9" i="9"/>
  <c r="G9" i="9"/>
  <c r="E10" i="9"/>
  <c r="F10" i="9"/>
  <c r="G10" i="9"/>
  <c r="E11" i="9"/>
  <c r="F11" i="9"/>
  <c r="G11" i="9"/>
  <c r="E12" i="9"/>
  <c r="F12" i="9"/>
  <c r="G12" i="9"/>
  <c r="E13" i="9"/>
  <c r="F13" i="9"/>
  <c r="G13" i="9"/>
  <c r="E14" i="9"/>
  <c r="F14" i="9"/>
  <c r="G14" i="9"/>
  <c r="E15" i="9"/>
  <c r="F15" i="9"/>
  <c r="G15" i="9"/>
  <c r="E16" i="9"/>
  <c r="F16" i="9"/>
  <c r="G16" i="9"/>
  <c r="E17" i="9"/>
  <c r="F17" i="9"/>
  <c r="G17" i="9"/>
  <c r="E18" i="9"/>
  <c r="F18" i="9"/>
  <c r="G18" i="9"/>
  <c r="E19" i="9"/>
  <c r="F19" i="9"/>
  <c r="G19" i="9"/>
  <c r="E20" i="9"/>
  <c r="F20" i="9"/>
  <c r="G20" i="9"/>
  <c r="E21" i="9"/>
  <c r="F21" i="9"/>
  <c r="G21" i="9"/>
  <c r="E22" i="9"/>
  <c r="F22" i="9"/>
  <c r="G22" i="9"/>
  <c r="E23" i="9"/>
  <c r="F23" i="9"/>
  <c r="G23" i="9"/>
  <c r="E24" i="9"/>
  <c r="F24" i="9"/>
  <c r="G24" i="9"/>
  <c r="E25" i="9"/>
  <c r="F25" i="9"/>
  <c r="G25" i="9"/>
  <c r="E26" i="9"/>
  <c r="F26" i="9"/>
  <c r="G26" i="9"/>
  <c r="E27" i="9"/>
  <c r="F27" i="9"/>
  <c r="G27" i="9"/>
  <c r="E28" i="9"/>
  <c r="F28" i="9"/>
  <c r="G28" i="9"/>
  <c r="E29" i="9"/>
  <c r="F29" i="9"/>
  <c r="G29" i="9"/>
  <c r="E30" i="9"/>
  <c r="F30" i="9"/>
  <c r="G30" i="9"/>
  <c r="E31" i="9"/>
  <c r="F31" i="9"/>
  <c r="G31" i="9"/>
  <c r="E32" i="9"/>
  <c r="F32" i="9"/>
  <c r="G32" i="9"/>
  <c r="E33" i="9"/>
  <c r="F33" i="9"/>
  <c r="G33" i="9"/>
  <c r="E34" i="9"/>
  <c r="F34" i="9"/>
  <c r="G34" i="9"/>
  <c r="E35" i="9"/>
  <c r="F35" i="9"/>
  <c r="G35" i="9"/>
  <c r="E36" i="9"/>
  <c r="F36" i="9"/>
  <c r="G36" i="9"/>
  <c r="E37" i="9"/>
  <c r="F37" i="9"/>
  <c r="G37" i="9"/>
  <c r="E38" i="9"/>
  <c r="F38" i="9"/>
  <c r="G38" i="9"/>
  <c r="E39" i="9"/>
  <c r="F39" i="9"/>
  <c r="G39" i="9"/>
  <c r="E40" i="9"/>
  <c r="F40" i="9"/>
  <c r="G40" i="9"/>
  <c r="E41" i="9"/>
  <c r="F41" i="9"/>
  <c r="G41" i="9"/>
  <c r="E42" i="9"/>
  <c r="F42" i="9"/>
  <c r="G42" i="9"/>
  <c r="E43" i="9"/>
  <c r="F43" i="9"/>
  <c r="G43" i="9"/>
  <c r="E44" i="9"/>
  <c r="F44" i="9"/>
  <c r="G44" i="9"/>
  <c r="E45" i="9"/>
  <c r="F45" i="9"/>
  <c r="G45" i="9"/>
  <c r="E46" i="9"/>
  <c r="F46" i="9"/>
  <c r="G46" i="9"/>
  <c r="E47" i="9"/>
  <c r="F47" i="9"/>
  <c r="G47" i="9"/>
  <c r="E48" i="9"/>
  <c r="F48" i="9"/>
  <c r="G48" i="9"/>
  <c r="E49" i="9"/>
  <c r="F49" i="9"/>
  <c r="G49" i="9"/>
  <c r="E50" i="9"/>
  <c r="F50" i="9"/>
  <c r="G50" i="9"/>
  <c r="E51" i="9"/>
  <c r="F51" i="9"/>
  <c r="G51" i="9"/>
  <c r="E52" i="9"/>
  <c r="F52" i="9"/>
  <c r="G52" i="9"/>
  <c r="E53" i="9"/>
  <c r="F53" i="9"/>
  <c r="G53" i="9"/>
  <c r="E54" i="9"/>
  <c r="F54" i="9"/>
  <c r="G54" i="9"/>
  <c r="E55" i="9"/>
  <c r="F55" i="9"/>
  <c r="G55" i="9"/>
  <c r="E56" i="9"/>
  <c r="F56" i="9"/>
  <c r="G56" i="9"/>
  <c r="E57" i="9"/>
  <c r="F57" i="9"/>
  <c r="G57" i="9"/>
  <c r="E58" i="9"/>
  <c r="F58" i="9"/>
  <c r="G58" i="9"/>
  <c r="E59" i="9"/>
  <c r="F59" i="9"/>
  <c r="G59" i="9"/>
  <c r="E60" i="9"/>
  <c r="F60" i="9"/>
  <c r="G60" i="9"/>
  <c r="E61" i="9"/>
  <c r="F61" i="9"/>
  <c r="G61" i="9"/>
  <c r="E62" i="9"/>
  <c r="F62" i="9"/>
  <c r="G62" i="9"/>
  <c r="E63" i="9"/>
  <c r="F63" i="9"/>
  <c r="G63" i="9"/>
  <c r="E64" i="9"/>
  <c r="F64" i="9"/>
  <c r="G64" i="9"/>
  <c r="E65" i="9"/>
  <c r="F65" i="9"/>
  <c r="G65" i="9"/>
  <c r="F7" i="9"/>
  <c r="G7" i="9"/>
  <c r="E7" i="9"/>
  <c r="B9" i="42" l="1"/>
  <c r="D10" i="42"/>
  <c r="G26" i="42"/>
  <c r="D9" i="42"/>
  <c r="E9" i="42"/>
  <c r="F10" i="42"/>
  <c r="G58" i="40"/>
  <c r="H58" i="40" s="1"/>
  <c r="I58" i="40" s="1"/>
  <c r="J58" i="40" s="1"/>
  <c r="K58" i="40" s="1"/>
  <c r="L58" i="40" s="1"/>
  <c r="N60" i="25"/>
  <c r="N30" i="25"/>
  <c r="P54" i="25"/>
  <c r="L60" i="25"/>
  <c r="L30" i="25"/>
  <c r="O30" i="25"/>
  <c r="O60" i="25"/>
  <c r="M30" i="25"/>
  <c r="M60" i="25"/>
  <c r="K60" i="25"/>
  <c r="Q60" i="25"/>
  <c r="K30" i="25"/>
  <c r="C8" i="10"/>
  <c r="C9" i="10"/>
  <c r="F9" i="10" s="1"/>
  <c r="C10" i="10"/>
  <c r="F10" i="10" s="1"/>
  <c r="C11" i="10"/>
  <c r="F11" i="10" s="1"/>
  <c r="C12" i="10"/>
  <c r="F12" i="10"/>
  <c r="F8" i="10" l="1"/>
  <c r="F13" i="10" s="1"/>
  <c r="B29" i="10" s="1"/>
  <c r="B32" i="10" s="1"/>
  <c r="B36" i="10" s="1"/>
  <c r="B37" i="10" s="1"/>
  <c r="C13" i="10"/>
  <c r="C7" i="42"/>
  <c r="C11" i="42" s="1"/>
  <c r="C16" i="42"/>
  <c r="C19" i="42" s="1"/>
  <c r="B7" i="42"/>
  <c r="B11" i="42" s="1"/>
  <c r="B16" i="42"/>
  <c r="B19" i="42" s="1"/>
  <c r="E16" i="42"/>
  <c r="E19" i="42" s="1"/>
  <c r="E7" i="42"/>
  <c r="E11" i="42" s="1"/>
  <c r="F7" i="42"/>
  <c r="F11" i="42" s="1"/>
  <c r="F16" i="42"/>
  <c r="F19" i="42" s="1"/>
  <c r="M32" i="25"/>
  <c r="L8" i="27" s="1"/>
  <c r="D7" i="42"/>
  <c r="D11" i="42" s="1"/>
  <c r="D16" i="42"/>
  <c r="D19" i="42" s="1"/>
  <c r="K32" i="25"/>
  <c r="Q64" i="25"/>
  <c r="K64" i="25"/>
  <c r="M64" i="25"/>
  <c r="N64" i="25"/>
  <c r="N32" i="25"/>
  <c r="O32" i="25"/>
  <c r="O64" i="25"/>
  <c r="L32" i="25"/>
  <c r="L64" i="25"/>
  <c r="P60" i="25"/>
  <c r="B45" i="10" l="1"/>
  <c r="B46" i="10" s="1"/>
  <c r="B32" i="12"/>
  <c r="D32" i="12" s="1"/>
  <c r="E32" i="12" s="1"/>
  <c r="B8" i="14" s="1"/>
  <c r="C17" i="14"/>
  <c r="D17" i="14" s="1"/>
  <c r="B20" i="14" s="1"/>
  <c r="L26" i="27"/>
  <c r="L61" i="27" s="1"/>
  <c r="G19" i="42"/>
  <c r="G11" i="42"/>
  <c r="K8" i="27"/>
  <c r="L66" i="25"/>
  <c r="N8" i="27"/>
  <c r="N26" i="27" s="1"/>
  <c r="O66" i="25"/>
  <c r="P64" i="25"/>
  <c r="M66" i="25"/>
  <c r="M8" i="27"/>
  <c r="N66" i="25"/>
  <c r="J8" i="27"/>
  <c r="K66" i="25"/>
  <c r="Q66" i="25"/>
  <c r="C20" i="14" l="1"/>
  <c r="D20" i="14" s="1"/>
  <c r="A6" i="41"/>
  <c r="B11" i="14"/>
  <c r="J26" i="27"/>
  <c r="J61" i="27" s="1"/>
  <c r="M26" i="27"/>
  <c r="M61" i="27" s="1"/>
  <c r="K26" i="27"/>
  <c r="K61" i="27" s="1"/>
  <c r="P66" i="25"/>
  <c r="D10" i="41" l="1"/>
  <c r="E9" i="41"/>
  <c r="D9" i="41"/>
  <c r="B10" i="41"/>
  <c r="C9" i="41"/>
  <c r="C10" i="41"/>
  <c r="B23" i="14"/>
  <c r="H51" i="24" s="1"/>
  <c r="H52" i="24" s="1"/>
  <c r="F9" i="41"/>
  <c r="B9" i="41"/>
  <c r="C6" i="41"/>
  <c r="E6" i="41"/>
  <c r="F6" i="41"/>
  <c r="B6" i="41"/>
  <c r="D6" i="41"/>
  <c r="E10" i="41"/>
  <c r="F10" i="41"/>
  <c r="C51" i="24"/>
  <c r="A7" i="41"/>
  <c r="Y52" i="32"/>
  <c r="X50" i="32"/>
  <c r="X52" i="32" s="1"/>
  <c r="Q50" i="32"/>
  <c r="Q52" i="32" s="1"/>
  <c r="R50" i="32"/>
  <c r="R52" i="32" s="1"/>
  <c r="S50" i="32"/>
  <c r="S52" i="32" s="1"/>
  <c r="T50" i="32"/>
  <c r="T52" i="32" s="1"/>
  <c r="U50" i="32"/>
  <c r="U52" i="32" s="1"/>
  <c r="V50" i="32"/>
  <c r="V52" i="32" s="1"/>
  <c r="W50" i="32"/>
  <c r="W52" i="32" s="1"/>
  <c r="P50" i="32"/>
  <c r="P52" i="32" s="1"/>
  <c r="O50" i="32"/>
  <c r="O52" i="32" s="1"/>
  <c r="C53" i="24" l="1"/>
  <c r="C52" i="24"/>
  <c r="B17" i="38"/>
  <c r="B64" i="40" s="1"/>
  <c r="B71" i="40" s="1"/>
  <c r="K52" i="40"/>
  <c r="K53" i="40" s="1"/>
  <c r="K6" i="43" s="1"/>
  <c r="G52" i="40"/>
  <c r="G53" i="40" s="1"/>
  <c r="G6" i="43" s="1"/>
  <c r="F51" i="24"/>
  <c r="F52" i="24" s="1"/>
  <c r="I52" i="40"/>
  <c r="I53" i="40" s="1"/>
  <c r="I6" i="43" s="1"/>
  <c r="L52" i="40"/>
  <c r="L53" i="40" s="1"/>
  <c r="L6" i="43" s="1"/>
  <c r="L7" i="43" s="1"/>
  <c r="E52" i="40"/>
  <c r="E53" i="40" s="1"/>
  <c r="E6" i="43" s="1"/>
  <c r="K51" i="24"/>
  <c r="K52" i="24" s="1"/>
  <c r="M51" i="24"/>
  <c r="C52" i="40"/>
  <c r="C53" i="40" s="1"/>
  <c r="C54" i="40" s="1"/>
  <c r="G51" i="24"/>
  <c r="G52" i="24" s="1"/>
  <c r="J52" i="40"/>
  <c r="J53" i="40" s="1"/>
  <c r="J6" i="43" s="1"/>
  <c r="L51" i="24"/>
  <c r="I51" i="24"/>
  <c r="I52" i="24" s="1"/>
  <c r="E51" i="24"/>
  <c r="E52" i="24" s="1"/>
  <c r="H52" i="40"/>
  <c r="H53" i="40" s="1"/>
  <c r="H6" i="43" s="1"/>
  <c r="D51" i="24"/>
  <c r="D52" i="24" s="1"/>
  <c r="J51" i="24"/>
  <c r="J52" i="24" s="1"/>
  <c r="F52" i="40"/>
  <c r="F53" i="40" s="1"/>
  <c r="F6" i="43" s="1"/>
  <c r="C7" i="41"/>
  <c r="D7" i="41"/>
  <c r="E7" i="41"/>
  <c r="B7" i="41"/>
  <c r="F7" i="41"/>
  <c r="M52" i="40"/>
  <c r="M53" i="40" s="1"/>
  <c r="D52" i="40"/>
  <c r="D53" i="40" s="1"/>
  <c r="D6" i="43" s="1"/>
  <c r="A8" i="41"/>
  <c r="B63" i="24"/>
  <c r="G13" i="34"/>
  <c r="G47" i="34"/>
  <c r="E47" i="34"/>
  <c r="E13" i="34"/>
  <c r="C47" i="34"/>
  <c r="C49" i="34" s="1"/>
  <c r="C13" i="34"/>
  <c r="C15" i="34" s="1"/>
  <c r="C17" i="34" s="1"/>
  <c r="C24" i="34" s="1"/>
  <c r="F13" i="34"/>
  <c r="F47" i="34"/>
  <c r="D47" i="34"/>
  <c r="D13" i="34"/>
  <c r="H13" i="34"/>
  <c r="H47" i="34"/>
  <c r="I13" i="34"/>
  <c r="I47" i="34"/>
  <c r="J47" i="34"/>
  <c r="J13" i="34"/>
  <c r="L13" i="34"/>
  <c r="L15" i="34" s="1"/>
  <c r="L17" i="34" s="1"/>
  <c r="L24" i="34" s="1"/>
  <c r="L47" i="34"/>
  <c r="L49" i="34" s="1"/>
  <c r="M47" i="34"/>
  <c r="M49" i="34" s="1"/>
  <c r="M13" i="34"/>
  <c r="M15" i="34" s="1"/>
  <c r="M17" i="34" s="1"/>
  <c r="M24" i="34" s="1"/>
  <c r="M26" i="34" s="1"/>
  <c r="M28" i="34" s="1"/>
  <c r="K13" i="34"/>
  <c r="K47" i="34"/>
  <c r="L53" i="24" l="1"/>
  <c r="L52" i="24"/>
  <c r="B71" i="24"/>
  <c r="M52" i="24"/>
  <c r="L54" i="40"/>
  <c r="C6" i="43"/>
  <c r="C7" i="43" s="1"/>
  <c r="F8" i="41"/>
  <c r="C8" i="41"/>
  <c r="E8" i="41"/>
  <c r="B8" i="41"/>
  <c r="D8" i="41"/>
  <c r="B72" i="40"/>
  <c r="B74" i="40"/>
  <c r="B76" i="40" s="1"/>
  <c r="B8" i="43" s="1"/>
  <c r="M48" i="40"/>
  <c r="B70" i="24"/>
  <c r="B73" i="24" s="1"/>
  <c r="B75" i="24" s="1"/>
  <c r="M47" i="24"/>
  <c r="M49" i="24" s="1"/>
  <c r="L26" i="34"/>
  <c r="L28" i="34" s="1"/>
  <c r="L34" i="34" s="1"/>
  <c r="Y128" i="32"/>
  <c r="C26" i="34"/>
  <c r="C28" i="34" s="1"/>
  <c r="C34" i="34" s="1"/>
  <c r="O128" i="32"/>
  <c r="X128" i="32"/>
  <c r="C51" i="34"/>
  <c r="C58" i="34" s="1"/>
  <c r="M51" i="34"/>
  <c r="M58" i="34" s="1"/>
  <c r="L51" i="34"/>
  <c r="L58" i="34" s="1"/>
  <c r="M50" i="40" l="1"/>
  <c r="M32" i="34"/>
  <c r="M34" i="34" s="1"/>
  <c r="M60" i="34"/>
  <c r="M62" i="34" s="1"/>
  <c r="C60" i="34"/>
  <c r="C62" i="34" s="1"/>
  <c r="L60" i="34"/>
  <c r="L62" i="34" s="1"/>
  <c r="O124" i="32"/>
  <c r="O132" i="32" s="1"/>
  <c r="O133" i="32" s="1"/>
  <c r="Y124" i="32"/>
  <c r="Y132" i="32" s="1"/>
  <c r="Y133" i="32" s="1"/>
  <c r="X124" i="32"/>
  <c r="X132" i="32" s="1"/>
  <c r="X133" i="32" s="1"/>
  <c r="L59" i="40" l="1"/>
  <c r="D5" i="43"/>
  <c r="E5" i="43"/>
  <c r="F5" i="43"/>
  <c r="G5" i="43"/>
  <c r="H5" i="43"/>
  <c r="I5" i="43"/>
  <c r="J5" i="43"/>
  <c r="K5" i="43"/>
  <c r="B7" i="43"/>
  <c r="D7" i="43"/>
  <c r="E7" i="43"/>
  <c r="F7" i="43"/>
  <c r="G7" i="43"/>
  <c r="H7" i="43"/>
  <c r="I7" i="43"/>
  <c r="J7" i="43"/>
  <c r="K7" i="43"/>
  <c r="B9" i="43"/>
  <c r="B12" i="43"/>
  <c r="B14" i="43"/>
  <c r="B9" i="40"/>
  <c r="D9" i="40"/>
  <c r="E9" i="40"/>
  <c r="F9" i="40"/>
  <c r="G9" i="40"/>
  <c r="H9" i="40"/>
  <c r="I9" i="40"/>
  <c r="J9" i="40"/>
  <c r="K9" i="40"/>
  <c r="B10" i="40"/>
  <c r="D10" i="40"/>
  <c r="E10" i="40"/>
  <c r="F10" i="40"/>
  <c r="G10" i="40"/>
  <c r="H10" i="40"/>
  <c r="I10" i="40"/>
  <c r="J10" i="40"/>
  <c r="K10" i="40"/>
  <c r="B25" i="40"/>
  <c r="D25" i="40"/>
  <c r="E25" i="40"/>
  <c r="F25" i="40"/>
  <c r="G25" i="40"/>
  <c r="H25" i="40"/>
  <c r="I25" i="40"/>
  <c r="J25" i="40"/>
  <c r="K25" i="40"/>
  <c r="B26" i="40"/>
  <c r="D26" i="40"/>
  <c r="E26" i="40"/>
  <c r="F26" i="40"/>
  <c r="G26" i="40"/>
  <c r="H26" i="40"/>
  <c r="I26" i="40"/>
  <c r="J26" i="40"/>
  <c r="K26" i="40"/>
  <c r="B38" i="40"/>
  <c r="D38" i="40"/>
  <c r="E38" i="40"/>
  <c r="F38" i="40"/>
  <c r="G38" i="40"/>
  <c r="H38" i="40"/>
  <c r="I38" i="40"/>
  <c r="J38" i="40"/>
  <c r="K38" i="40"/>
  <c r="B39" i="40"/>
  <c r="D39" i="40"/>
  <c r="E39" i="40"/>
  <c r="F39" i="40"/>
  <c r="G39" i="40"/>
  <c r="H39" i="40"/>
  <c r="I39" i="40"/>
  <c r="J39" i="40"/>
  <c r="K39" i="40"/>
  <c r="B41" i="40"/>
  <c r="D41" i="40"/>
  <c r="E41" i="40"/>
  <c r="F41" i="40"/>
  <c r="G41" i="40"/>
  <c r="H41" i="40"/>
  <c r="I41" i="40"/>
  <c r="J41" i="40"/>
  <c r="K41" i="40"/>
  <c r="B43" i="40"/>
  <c r="D43" i="40"/>
  <c r="E43" i="40"/>
  <c r="F43" i="40"/>
  <c r="G43" i="40"/>
  <c r="H43" i="40"/>
  <c r="I43" i="40"/>
  <c r="J43" i="40"/>
  <c r="K43" i="40"/>
  <c r="B50" i="40"/>
  <c r="D50" i="40"/>
  <c r="E50" i="40"/>
  <c r="F50" i="40"/>
  <c r="G50" i="40"/>
  <c r="H50" i="40"/>
  <c r="I50" i="40"/>
  <c r="J50" i="40"/>
  <c r="K50" i="40"/>
  <c r="D54" i="40"/>
  <c r="E54" i="40"/>
  <c r="F54" i="40"/>
  <c r="G54" i="40"/>
  <c r="H54" i="40"/>
  <c r="I54" i="40"/>
  <c r="J54" i="40"/>
  <c r="K54" i="40"/>
  <c r="B59" i="40"/>
  <c r="D59" i="40"/>
  <c r="E59" i="40"/>
  <c r="F59" i="40"/>
  <c r="G59" i="40"/>
  <c r="H59" i="40"/>
  <c r="I59" i="40"/>
  <c r="J59" i="40"/>
  <c r="K59" i="40"/>
  <c r="B66" i="40"/>
  <c r="D66" i="40"/>
  <c r="E66" i="40"/>
  <c r="F66" i="40"/>
  <c r="G66" i="40"/>
  <c r="H66" i="40"/>
  <c r="I66" i="40"/>
  <c r="J66" i="40"/>
  <c r="K66" i="40"/>
  <c r="B77" i="40"/>
  <c r="B79" i="40"/>
  <c r="B82" i="40"/>
  <c r="B84" i="40"/>
  <c r="A87" i="40"/>
  <c r="A88" i="40"/>
  <c r="A89" i="40"/>
  <c r="A90" i="40"/>
  <c r="B9" i="24"/>
  <c r="D9" i="24"/>
  <c r="E9" i="24"/>
  <c r="F9" i="24"/>
  <c r="G9" i="24"/>
  <c r="H9" i="24"/>
  <c r="I9" i="24"/>
  <c r="J9" i="24"/>
  <c r="K9" i="24"/>
  <c r="B10" i="24"/>
  <c r="D10" i="24"/>
  <c r="E10" i="24"/>
  <c r="F10" i="24"/>
  <c r="G10" i="24"/>
  <c r="H10" i="24"/>
  <c r="I10" i="24"/>
  <c r="J10" i="24"/>
  <c r="K10" i="24"/>
  <c r="B25" i="24"/>
  <c r="D25" i="24"/>
  <c r="E25" i="24"/>
  <c r="F25" i="24"/>
  <c r="G25" i="24"/>
  <c r="H25" i="24"/>
  <c r="I25" i="24"/>
  <c r="J25" i="24"/>
  <c r="K25" i="24"/>
  <c r="B26" i="24"/>
  <c r="D26" i="24"/>
  <c r="E26" i="24"/>
  <c r="F26" i="24"/>
  <c r="G26" i="24"/>
  <c r="H26" i="24"/>
  <c r="I26" i="24"/>
  <c r="J26" i="24"/>
  <c r="K26" i="24"/>
  <c r="B39" i="24"/>
  <c r="D39" i="24"/>
  <c r="E39" i="24"/>
  <c r="F39" i="24"/>
  <c r="G39" i="24"/>
  <c r="H39" i="24"/>
  <c r="I39" i="24"/>
  <c r="J39" i="24"/>
  <c r="K39" i="24"/>
  <c r="B40" i="24"/>
  <c r="D40" i="24"/>
  <c r="E40" i="24"/>
  <c r="F40" i="24"/>
  <c r="G40" i="24"/>
  <c r="H40" i="24"/>
  <c r="I40" i="24"/>
  <c r="J40" i="24"/>
  <c r="K40" i="24"/>
  <c r="B42" i="24"/>
  <c r="D42" i="24"/>
  <c r="E42" i="24"/>
  <c r="F42" i="24"/>
  <c r="G42" i="24"/>
  <c r="H42" i="24"/>
  <c r="I42" i="24"/>
  <c r="J42" i="24"/>
  <c r="K42" i="24"/>
  <c r="B44" i="24"/>
  <c r="D44" i="24"/>
  <c r="E44" i="24"/>
  <c r="F44" i="24"/>
  <c r="G44" i="24"/>
  <c r="H44" i="24"/>
  <c r="I44" i="24"/>
  <c r="J44" i="24"/>
  <c r="K44" i="24"/>
  <c r="B49" i="24"/>
  <c r="D49" i="24"/>
  <c r="E49" i="24"/>
  <c r="F49" i="24"/>
  <c r="G49" i="24"/>
  <c r="H49" i="24"/>
  <c r="I49" i="24"/>
  <c r="J49" i="24"/>
  <c r="K49" i="24"/>
  <c r="D53" i="24"/>
  <c r="E53" i="24"/>
  <c r="F53" i="24"/>
  <c r="G53" i="24"/>
  <c r="H53" i="24"/>
  <c r="I53" i="24"/>
  <c r="J53" i="24"/>
  <c r="K53" i="24"/>
  <c r="B58" i="24"/>
  <c r="D58" i="24"/>
  <c r="E58" i="24"/>
  <c r="F58" i="24"/>
  <c r="G58" i="24"/>
  <c r="H58" i="24"/>
  <c r="I58" i="24"/>
  <c r="J58" i="24"/>
  <c r="K58" i="24"/>
  <c r="B65" i="24"/>
  <c r="D65" i="24"/>
  <c r="E65" i="24"/>
  <c r="F65" i="24"/>
  <c r="G65" i="24"/>
  <c r="H65" i="24"/>
  <c r="I65" i="24"/>
  <c r="J65" i="24"/>
  <c r="K65" i="24"/>
  <c r="B76" i="24"/>
  <c r="B78" i="24"/>
  <c r="B81" i="24"/>
  <c r="B83" i="24"/>
  <c r="B12" i="34"/>
  <c r="D12" i="34"/>
  <c r="E12" i="34"/>
  <c r="F12" i="34"/>
  <c r="G12" i="34"/>
  <c r="H12" i="34"/>
  <c r="I12" i="34"/>
  <c r="J12" i="34"/>
  <c r="K12" i="34"/>
  <c r="B15" i="34"/>
  <c r="D15" i="34"/>
  <c r="E15" i="34"/>
  <c r="F15" i="34"/>
  <c r="G15" i="34"/>
  <c r="H15" i="34"/>
  <c r="I15" i="34"/>
  <c r="J15" i="34"/>
  <c r="K15" i="34"/>
  <c r="B17" i="34"/>
  <c r="D17" i="34"/>
  <c r="E17" i="34"/>
  <c r="F17" i="34"/>
  <c r="G17" i="34"/>
  <c r="H17" i="34"/>
  <c r="I17" i="34"/>
  <c r="J17" i="34"/>
  <c r="K17" i="34"/>
  <c r="B24" i="34"/>
  <c r="D24" i="34"/>
  <c r="E24" i="34"/>
  <c r="F24" i="34"/>
  <c r="G24" i="34"/>
  <c r="H24" i="34"/>
  <c r="I24" i="34"/>
  <c r="J24" i="34"/>
  <c r="K24" i="34"/>
  <c r="B26" i="34"/>
  <c r="D26" i="34"/>
  <c r="E26" i="34"/>
  <c r="F26" i="34"/>
  <c r="G26" i="34"/>
  <c r="H26" i="34"/>
  <c r="I26" i="34"/>
  <c r="J26" i="34"/>
  <c r="K26" i="34"/>
  <c r="B28" i="34"/>
  <c r="D28" i="34"/>
  <c r="E28" i="34"/>
  <c r="F28" i="34"/>
  <c r="G28" i="34"/>
  <c r="H28" i="34"/>
  <c r="I28" i="34"/>
  <c r="J28" i="34"/>
  <c r="K28" i="34"/>
  <c r="B34" i="34"/>
  <c r="D34" i="34"/>
  <c r="E34" i="34"/>
  <c r="F34" i="34"/>
  <c r="G34" i="34"/>
  <c r="H34" i="34"/>
  <c r="I34" i="34"/>
  <c r="J34" i="34"/>
  <c r="K34" i="34"/>
  <c r="B46" i="34"/>
  <c r="D46" i="34"/>
  <c r="E46" i="34"/>
  <c r="F46" i="34"/>
  <c r="G46" i="34"/>
  <c r="H46" i="34"/>
  <c r="I46" i="34"/>
  <c r="J46" i="34"/>
  <c r="K46" i="34"/>
  <c r="B49" i="34"/>
  <c r="D49" i="34"/>
  <c r="E49" i="34"/>
  <c r="F49" i="34"/>
  <c r="G49" i="34"/>
  <c r="H49" i="34"/>
  <c r="I49" i="34"/>
  <c r="J49" i="34"/>
  <c r="K49" i="34"/>
  <c r="B51" i="34"/>
  <c r="D51" i="34"/>
  <c r="E51" i="34"/>
  <c r="F51" i="34"/>
  <c r="G51" i="34"/>
  <c r="H51" i="34"/>
  <c r="I51" i="34"/>
  <c r="J51" i="34"/>
  <c r="K51" i="34"/>
  <c r="B58" i="34"/>
  <c r="D58" i="34"/>
  <c r="E58" i="34"/>
  <c r="F58" i="34"/>
  <c r="G58" i="34"/>
  <c r="H58" i="34"/>
  <c r="I58" i="34"/>
  <c r="J58" i="34"/>
  <c r="K58" i="34"/>
  <c r="B60" i="34"/>
  <c r="D60" i="34"/>
  <c r="E60" i="34"/>
  <c r="F60" i="34"/>
  <c r="G60" i="34"/>
  <c r="H60" i="34"/>
  <c r="I60" i="34"/>
  <c r="J60" i="34"/>
  <c r="K60" i="34"/>
  <c r="B62" i="34"/>
  <c r="D62" i="34"/>
  <c r="E62" i="34"/>
  <c r="F62" i="34"/>
  <c r="G62" i="34"/>
  <c r="H62" i="34"/>
  <c r="I62" i="34"/>
  <c r="J62" i="34"/>
  <c r="K62" i="34"/>
  <c r="D19" i="38"/>
  <c r="C46" i="33"/>
  <c r="D46" i="33"/>
  <c r="C50" i="33"/>
  <c r="N34" i="32"/>
  <c r="P34" i="32"/>
  <c r="Q34" i="32"/>
  <c r="R34" i="32"/>
  <c r="S34" i="32"/>
  <c r="T34" i="32"/>
  <c r="U34" i="32"/>
  <c r="V34" i="32"/>
  <c r="W34" i="32"/>
  <c r="N35" i="32"/>
  <c r="P35" i="32"/>
  <c r="Q35" i="32"/>
  <c r="R35" i="32"/>
  <c r="S35" i="32"/>
  <c r="T35" i="32"/>
  <c r="U35" i="32"/>
  <c r="V35" i="32"/>
  <c r="W35" i="32"/>
  <c r="N36" i="32"/>
  <c r="P36" i="32"/>
  <c r="Q36" i="32"/>
  <c r="R36" i="32"/>
  <c r="S36" i="32"/>
  <c r="T36" i="32"/>
  <c r="U36" i="32"/>
  <c r="V36" i="32"/>
  <c r="W36" i="32"/>
  <c r="N124" i="32"/>
  <c r="P124" i="32"/>
  <c r="Q124" i="32"/>
  <c r="R124" i="32"/>
  <c r="S124" i="32"/>
  <c r="T124" i="32"/>
  <c r="U124" i="32"/>
  <c r="V124" i="32"/>
  <c r="W124" i="32"/>
  <c r="N128" i="32"/>
  <c r="P128" i="32"/>
  <c r="Q128" i="32"/>
  <c r="R128" i="32"/>
  <c r="S128" i="32"/>
  <c r="T128" i="32"/>
  <c r="U128" i="32"/>
  <c r="V128" i="32"/>
  <c r="W128" i="32"/>
  <c r="N132" i="32"/>
  <c r="P132" i="32"/>
  <c r="Q132" i="32"/>
  <c r="R132" i="32"/>
  <c r="S132" i="32"/>
  <c r="T132" i="32"/>
  <c r="U132" i="32"/>
  <c r="V132" i="32"/>
  <c r="W132" i="32"/>
  <c r="P133" i="32"/>
  <c r="Q133" i="32"/>
  <c r="R133" i="32"/>
  <c r="S133" i="32"/>
  <c r="T133" i="32"/>
  <c r="U133" i="32"/>
  <c r="V133" i="32"/>
  <c r="W133" i="32"/>
  <c r="N134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tc={D80A88C1-2F73-434E-9793-FB9813AD3766}</author>
  </authors>
  <commentList>
    <comment ref="B8" authorId="0" shapeId="0" xr:uid="{D80A88C1-2F73-434E-9793-FB9813AD376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Cellen er satt til å endre seg når ASP endres i «input»</t>
      </text>
    </comment>
  </commentList>
</comments>
</file>

<file path=xl/sharedStrings.xml><?xml version="1.0" encoding="utf-8"?>
<sst xmlns="http://schemas.openxmlformats.org/spreadsheetml/2006/main" count="1476" uniqueCount="582">
  <si>
    <t>Revenue</t>
  </si>
  <si>
    <t>Resultatregnskap</t>
  </si>
  <si>
    <t>Dato</t>
  </si>
  <si>
    <t>EBIT</t>
  </si>
  <si>
    <t>WACC</t>
  </si>
  <si>
    <t>S&amp;P 500</t>
  </si>
  <si>
    <t>Tesla</t>
  </si>
  <si>
    <t>NASDAQ 100</t>
  </si>
  <si>
    <t>Unlevered beta</t>
  </si>
  <si>
    <t>Auto &amp; Truck</t>
  </si>
  <si>
    <t>Regresjonsstatistikk</t>
  </si>
  <si>
    <t>R-kvadrat</t>
  </si>
  <si>
    <t>Justert R-kvadrat</t>
  </si>
  <si>
    <t>Standardfeil</t>
  </si>
  <si>
    <t>Observasjoner</t>
  </si>
  <si>
    <t>Variansanalyse</t>
  </si>
  <si>
    <t>Regresjon</t>
  </si>
  <si>
    <t>Residualer</t>
  </si>
  <si>
    <t>Totalt</t>
  </si>
  <si>
    <t>Skjæringspunkt</t>
  </si>
  <si>
    <t>fg</t>
  </si>
  <si>
    <t>SK</t>
  </si>
  <si>
    <t>GK</t>
  </si>
  <si>
    <t>F</t>
  </si>
  <si>
    <t>Signifkans-F</t>
  </si>
  <si>
    <t>Koeffisienter</t>
  </si>
  <si>
    <t>t-Stat</t>
  </si>
  <si>
    <t>P-verdi</t>
  </si>
  <si>
    <t>Nederste 95%</t>
  </si>
  <si>
    <t>Øverste 95%</t>
  </si>
  <si>
    <t>Nedre 95,0%</t>
  </si>
  <si>
    <t>Øverste 95,0%</t>
  </si>
  <si>
    <t>X-variabel 1</t>
  </si>
  <si>
    <t>Kursutvikling</t>
  </si>
  <si>
    <t>Multippel R (korrelasjonsoefisient)</t>
  </si>
  <si>
    <t>Månedlig avkastning</t>
  </si>
  <si>
    <t>Vekting</t>
  </si>
  <si>
    <t>Salg i 2022 (i millioner dollar)</t>
  </si>
  <si>
    <t>% av salg</t>
  </si>
  <si>
    <t>USA</t>
  </si>
  <si>
    <t>Kina</t>
  </si>
  <si>
    <t>Resten av verden</t>
  </si>
  <si>
    <t>Total</t>
  </si>
  <si>
    <t>Current portion of debt and finance leases</t>
  </si>
  <si>
    <t>Debt and finance leases, net of current portion</t>
  </si>
  <si>
    <t>Markedsverdi</t>
  </si>
  <si>
    <t>Omløpsmidler</t>
  </si>
  <si>
    <t>Inventory</t>
  </si>
  <si>
    <t>Prepaid expenses and other current assets</t>
  </si>
  <si>
    <t>Sum</t>
  </si>
  <si>
    <t>Egenkapital</t>
  </si>
  <si>
    <t>Sum gjeld</t>
  </si>
  <si>
    <t>2022</t>
  </si>
  <si>
    <t>Likviditetsgrad 1</t>
  </si>
  <si>
    <t>Likviditetsgrad 2</t>
  </si>
  <si>
    <t>Totalkapitalrentabilitet</t>
  </si>
  <si>
    <t>Driftsmargin</t>
  </si>
  <si>
    <t>Egenkapitalrentabilitet</t>
  </si>
  <si>
    <t>Fra 10k</t>
  </si>
  <si>
    <t>Fra IEA</t>
  </si>
  <si>
    <t>Antall biler solgt (i hele tusen)</t>
  </si>
  <si>
    <t>Europa</t>
  </si>
  <si>
    <t>Utenom USA og kina</t>
  </si>
  <si>
    <t>Antall biler solgt. Eksl. USA og Kina</t>
  </si>
  <si>
    <t>% av salg. Eksl USA og Kina</t>
  </si>
  <si>
    <t>Vektinger for beregning av ERP</t>
  </si>
  <si>
    <t>Oppgitte og estimerte salgstall</t>
  </si>
  <si>
    <t>ERP</t>
  </si>
  <si>
    <t>ERP vektet</t>
  </si>
  <si>
    <t>ERP for tesla</t>
  </si>
  <si>
    <t>Marginal skattesats</t>
  </si>
  <si>
    <t>Unlevered beta = Beta/(1 + (1 - tax rate)(debt/equity))</t>
  </si>
  <si>
    <t>Unlevered beta corrected for cash = Unlevered beta / (1 - cash / firm value)</t>
  </si>
  <si>
    <t>Unlevered beta corrected for cash - Over time</t>
  </si>
  <si>
    <t>Industry Name</t>
  </si>
  <si>
    <t>Number of firms</t>
  </si>
  <si>
    <t xml:space="preserve">Beta </t>
  </si>
  <si>
    <t>D/E Ratio</t>
  </si>
  <si>
    <t>Effective Tax rate</t>
  </si>
  <si>
    <t>Cash/Firm value</t>
  </si>
  <si>
    <t>Unlevered beta corrected for cash</t>
  </si>
  <si>
    <t>HiLo Risk</t>
  </si>
  <si>
    <t>Standard deviation of equity</t>
  </si>
  <si>
    <t>Standard deviation in
 operating income
 (last 10 years)</t>
  </si>
  <si>
    <t>2019</t>
  </si>
  <si>
    <t>2020</t>
  </si>
  <si>
    <t>2021</t>
  </si>
  <si>
    <t>Average 
(2019-23)</t>
  </si>
  <si>
    <t>Green &amp; Renewable Energy</t>
  </si>
  <si>
    <t>Fra: Total Betas by Sector (for computing private company costs of equity) - US</t>
  </si>
  <si>
    <t>Bransje</t>
  </si>
  <si>
    <t xml:space="preserve">Inntekter </t>
  </si>
  <si>
    <t>% av total</t>
  </si>
  <si>
    <t>Auto and truck</t>
  </si>
  <si>
    <t>Price/Sales</t>
  </si>
  <si>
    <t>Net Margin</t>
  </si>
  <si>
    <t>EV/Sales</t>
  </si>
  <si>
    <t>Pre-tax Operating Margin</t>
  </si>
  <si>
    <t>Fra: Revenue Multiples by Sector (US)</t>
  </si>
  <si>
    <t>Unlevered beta bransje</t>
  </si>
  <si>
    <t>Salg</t>
  </si>
  <si>
    <t>EV/Salg</t>
  </si>
  <si>
    <t>FV fra bransje</t>
  </si>
  <si>
    <t>Unlevered beta vektet</t>
  </si>
  <si>
    <t>Unlevered beta Tesla</t>
  </si>
  <si>
    <t>Antall aksjer</t>
  </si>
  <si>
    <t>Pris per 31.12</t>
  </si>
  <si>
    <t>Gjeldsgrad etter markedsverdi</t>
  </si>
  <si>
    <t>Levered beta</t>
  </si>
  <si>
    <t>Bokverdi</t>
  </si>
  <si>
    <t>EK</t>
  </si>
  <si>
    <t>Gjeld</t>
  </si>
  <si>
    <t>Rente</t>
  </si>
  <si>
    <t>Gjeldskostnad per år</t>
  </si>
  <si>
    <t>Obligasjoner</t>
  </si>
  <si>
    <t>2024 Notes</t>
  </si>
  <si>
    <t>Solar bonds</t>
  </si>
  <si>
    <t>Løpetid slutt</t>
  </si>
  <si>
    <t>Antall år</t>
  </si>
  <si>
    <t>May 2024</t>
  </si>
  <si>
    <t>Mars 2025-Januar 2031</t>
  </si>
  <si>
    <t>Gjennomsnittlig løpetid</t>
  </si>
  <si>
    <t>Automotive Asset backed notes</t>
  </si>
  <si>
    <t>Solar asset backed Notes</t>
  </si>
  <si>
    <t>Cash equity debt</t>
  </si>
  <si>
    <t>Des 2023-Sept 2025</t>
  </si>
  <si>
    <t xml:space="preserve">Des 2026. </t>
  </si>
  <si>
    <t>År</t>
  </si>
  <si>
    <t>Løpetid i år</t>
  </si>
  <si>
    <t>Vekting*År</t>
  </si>
  <si>
    <t>Rentekostnad fra resultatregnskap</t>
  </si>
  <si>
    <t>Revenues</t>
  </si>
  <si>
    <t>Accounts payable</t>
  </si>
  <si>
    <t>Total assets</t>
  </si>
  <si>
    <t>Total liabilities and equity</t>
  </si>
  <si>
    <t>Gjeld/EK</t>
  </si>
  <si>
    <t>Rsisikofri rente</t>
  </si>
  <si>
    <t>Beta MV</t>
  </si>
  <si>
    <t>Beta BV</t>
  </si>
  <si>
    <t>Totalkapital</t>
  </si>
  <si>
    <t>Gjeldskostnad</t>
  </si>
  <si>
    <t>WACC BV</t>
  </si>
  <si>
    <t>WACC MV</t>
  </si>
  <si>
    <t>Avkastningskrav til totalkapitalen</t>
  </si>
  <si>
    <t>Basisår (2022)</t>
  </si>
  <si>
    <t>Utbytter</t>
  </si>
  <si>
    <t>Tilbakekjøp av aksjer</t>
  </si>
  <si>
    <t>Kontantstrøm til investorer</t>
  </si>
  <si>
    <t>Inntjening</t>
  </si>
  <si>
    <t>Siste 12 måneder</t>
  </si>
  <si>
    <t>Terminalår</t>
  </si>
  <si>
    <t>Utbetaling i %</t>
  </si>
  <si>
    <t>Inntjening 2022</t>
  </si>
  <si>
    <t>Vekstrate</t>
  </si>
  <si>
    <t>Kontantstrøm til investorer (%)</t>
  </si>
  <si>
    <t>Avvik skyldes avrundingsfeil</t>
  </si>
  <si>
    <t>Risikofri rente</t>
  </si>
  <si>
    <t>NPV (S&amp;P 500 per 01.01.2023)</t>
  </si>
  <si>
    <t>Year</t>
  </si>
  <si>
    <t>CV (Bond Spread)</t>
  </si>
  <si>
    <t>Relative Volatility</t>
  </si>
  <si>
    <t>Average Relative Volatility</t>
  </si>
  <si>
    <t>o(BMI)</t>
  </si>
  <si>
    <t>Rentekostnad uten "Operating leases"</t>
  </si>
  <si>
    <t>Markedsverdi av tradisjonell gjeld</t>
  </si>
  <si>
    <t>Bokverdi av tradisjonell gjeld</t>
  </si>
  <si>
    <t>Nåverdi av operating leases</t>
  </si>
  <si>
    <t>Total markedsverdi av gjeld</t>
  </si>
  <si>
    <t>Kostnad fra F&amp;U</t>
  </si>
  <si>
    <t>Avskrivning</t>
  </si>
  <si>
    <t>Antatt levetid</t>
  </si>
  <si>
    <t>år</t>
  </si>
  <si>
    <t>Gjeldende år</t>
  </si>
  <si>
    <t>Verdi</t>
  </si>
  <si>
    <t>Rentekostnad fra leasing, note 12 (3 146 * 5,3%)</t>
  </si>
  <si>
    <t>F&amp;U</t>
  </si>
  <si>
    <t>F&amp;U kost.</t>
  </si>
  <si>
    <t>Avskrivning F&amp;U</t>
  </si>
  <si>
    <t>Reversering av kostnad F&amp;U</t>
  </si>
  <si>
    <t>Verdi i året</t>
  </si>
  <si>
    <t>FCFF</t>
  </si>
  <si>
    <t>US$ in millions</t>
  </si>
  <si>
    <t>Automotive sales</t>
  </si>
  <si>
    <t>Automotive regulatory credits</t>
  </si>
  <si>
    <t>—</t>
  </si>
  <si>
    <t>Automotive leasing</t>
  </si>
  <si>
    <t>Automotive revenues</t>
  </si>
  <si>
    <t>Energy generation and storage</t>
  </si>
  <si>
    <t>Services and other</t>
  </si>
  <si>
    <t>Automotive cost of revenues</t>
  </si>
  <si>
    <t>Cost of revenues</t>
  </si>
  <si>
    <t>Gross profit</t>
  </si>
  <si>
    <t>Research and development</t>
  </si>
  <si>
    <t>Selling, general and administrative</t>
  </si>
  <si>
    <t>Restructuring and other</t>
  </si>
  <si>
    <t>Operating expenses</t>
  </si>
  <si>
    <t>Income (loss) from operations</t>
  </si>
  <si>
    <t>Interest income</t>
  </si>
  <si>
    <t>Interest expense</t>
  </si>
  <si>
    <t>Other income (expense), net</t>
  </si>
  <si>
    <t>Income (loss) before income taxes</t>
  </si>
  <si>
    <t>Provision for income taxes</t>
  </si>
  <si>
    <t>Net income (loss)</t>
  </si>
  <si>
    <t>Net (income) loss attributable to noncontrolling interests and redeemable noncontrolling interests in subsidiaries</t>
  </si>
  <si>
    <t>Net income (loss) attributable to common stockholders</t>
  </si>
  <si>
    <t>Cash and cash equivalents</t>
  </si>
  <si>
    <t>Short-term investments</t>
  </si>
  <si>
    <t>Accounts receivable, net</t>
  </si>
  <si>
    <t>Current assets</t>
  </si>
  <si>
    <t>Operating lease vehicles, net</t>
  </si>
  <si>
    <t>Solar energy systems, net</t>
  </si>
  <si>
    <t>Property, plant and equipment, net</t>
  </si>
  <si>
    <t>Operating lease right-of-use assets</t>
  </si>
  <si>
    <t>Digital assets, net</t>
  </si>
  <si>
    <t>Intangible assets, net</t>
  </si>
  <si>
    <t>Goodwill</t>
  </si>
  <si>
    <t>Other non-current assets</t>
  </si>
  <si>
    <t>Non-current assets</t>
  </si>
  <si>
    <t>Accrued liabilities and other</t>
  </si>
  <si>
    <t>Deferred revenue</t>
  </si>
  <si>
    <t>Customer deposits</t>
  </si>
  <si>
    <t>Current liabilities</t>
  </si>
  <si>
    <t>Deferred revenue, net of current portion</t>
  </si>
  <si>
    <t>Operating lease liabilities, net of current portion</t>
  </si>
  <si>
    <t>Accrued warranty reserve, net of current portion</t>
  </si>
  <si>
    <t>Sales return reserve, net of current portion</t>
  </si>
  <si>
    <t>Deferred tax liability</t>
  </si>
  <si>
    <t>Build-to-suit lease liability, net of current portion</t>
  </si>
  <si>
    <t>Deferred rent expense</t>
  </si>
  <si>
    <t>Other non-current liabilities</t>
  </si>
  <si>
    <t>Other long-term liabilities</t>
  </si>
  <si>
    <t>Long-term liabilities</t>
  </si>
  <si>
    <t>Total liabilities</t>
  </si>
  <si>
    <t>Redeemable noncontrolling interests in subsidiaries</t>
  </si>
  <si>
    <t>Convertible senior notes</t>
  </si>
  <si>
    <t>Preferred stock; $0.001 par value; no shares issued and outstanding</t>
  </si>
  <si>
    <t>Common stock; $0.001 par value</t>
  </si>
  <si>
    <t>Additional paid-in capital</t>
  </si>
  <si>
    <t>Accumulated other comprehensive income (loss)</t>
  </si>
  <si>
    <t>Retained earnings (accumulated deficit)</t>
  </si>
  <si>
    <t>Stockholders’ equity</t>
  </si>
  <si>
    <t>Noncontrolling interests in subsidiaries</t>
  </si>
  <si>
    <t>Total equity</t>
  </si>
  <si>
    <t>Depreciation, amortization and impairment</t>
  </si>
  <si>
    <t>Stock-based compensation</t>
  </si>
  <si>
    <t>Inventory and purchase commitments write-downs</t>
  </si>
  <si>
    <t>Foreign currency transaction net unrealized (gain) loss</t>
  </si>
  <si>
    <t>Non-cash interest and other operating activities</t>
  </si>
  <si>
    <t>Digital assets (gain) loss, net</t>
  </si>
  <si>
    <t>Operating cash flow related to repayment of discounted convertible senior notes</t>
  </si>
  <si>
    <t>Accounts receivable</t>
  </si>
  <si>
    <t>Operating lease vehicles</t>
  </si>
  <si>
    <t>Accounts payable and accrued liabilities</t>
  </si>
  <si>
    <t>Net cash provided by operating activities</t>
  </si>
  <si>
    <t>Purchases of property and equipment excluding finance leases, net of sales</t>
  </si>
  <si>
    <t>Purchases of solar energy systems, net of sales</t>
  </si>
  <si>
    <t>Purchases of digital assets</t>
  </si>
  <si>
    <t>Proceeds from sales of digital assets</t>
  </si>
  <si>
    <t>Purchase of intangible assets</t>
  </si>
  <si>
    <t>Purchases of investments</t>
  </si>
  <si>
    <t>Proceeds from maturities of investments</t>
  </si>
  <si>
    <t>Receipt of government grants</t>
  </si>
  <si>
    <t>Business combinations, net of cash acquired</t>
  </si>
  <si>
    <t>Net cash used in investing activities</t>
  </si>
  <si>
    <t>Proceeds from issuances of common stock in public offerings, net of issuance costs</t>
  </si>
  <si>
    <t>Proceeds from issuances of debt</t>
  </si>
  <si>
    <t>Repayments of convertible and other debt</t>
  </si>
  <si>
    <t>Repayments of borrowings issued to related parties</t>
  </si>
  <si>
    <t>Collateralized lease repayments</t>
  </si>
  <si>
    <t>Proceeds from exercises of stock options and other stock issuances</t>
  </si>
  <si>
    <t>Principal payments on finance leases</t>
  </si>
  <si>
    <t>Debt issuance costs</t>
  </si>
  <si>
    <t>Purchase of convertible note hedges</t>
  </si>
  <si>
    <t>Proceeds from issuance of warrants</t>
  </si>
  <si>
    <t>Proceeds from investments by noncontrolling interests in subsidiaries</t>
  </si>
  <si>
    <t>Distributions paid to noncontrolling interests in subsidiaries</t>
  </si>
  <si>
    <t>Payments for buy-outs of noncontrolling interests in subsidiaries</t>
  </si>
  <si>
    <t>Net cash provided by (used in) financing activities</t>
  </si>
  <si>
    <t>Effect of exchange rate changes on cash and cash equivalents and restricted cash</t>
  </si>
  <si>
    <t>Net increase (decrease) in cash and cash equivalents and restricted cash</t>
  </si>
  <si>
    <t>Liabilities</t>
  </si>
  <si>
    <t>Juli 2033-Jan 2035</t>
  </si>
  <si>
    <t>Aritmetisk
gjennomsnitt</t>
  </si>
  <si>
    <t>Geometrisk 
gjennomsnitt</t>
  </si>
  <si>
    <t>Vekst</t>
  </si>
  <si>
    <t>Retting av F&amp;U</t>
  </si>
  <si>
    <t>Investering i F&amp;U</t>
  </si>
  <si>
    <t>Investert kapital</t>
  </si>
  <si>
    <t>Reinvestering</t>
  </si>
  <si>
    <t>Reinvesteringsrate</t>
  </si>
  <si>
    <t>COGS</t>
  </si>
  <si>
    <t>SG&amp;A</t>
  </si>
  <si>
    <t>Snitt</t>
  </si>
  <si>
    <t>Vekst for hele regnskapet</t>
  </si>
  <si>
    <t>ASP</t>
  </si>
  <si>
    <t>Kostnad, Energy generation and storage</t>
  </si>
  <si>
    <t>Kostnad, Services and other</t>
  </si>
  <si>
    <t>Estimert F&amp;U avskrivving</t>
  </si>
  <si>
    <t>Automotive cost
 of revenues</t>
  </si>
  <si>
    <t>Energy generation
 and storage</t>
  </si>
  <si>
    <t>Energy generation
and storage</t>
  </si>
  <si>
    <t>Selling, general and 
administrative</t>
  </si>
  <si>
    <t>Automotive
revenues</t>
  </si>
  <si>
    <t>Biler solgt i 2022</t>
  </si>
  <si>
    <t>Årlig vekst</t>
  </si>
  <si>
    <t>Biler solgt i år 2032</t>
  </si>
  <si>
    <t>Bilmarkedet i 2030</t>
  </si>
  <si>
    <t>Bilmarkedet i 2032</t>
  </si>
  <si>
    <t>Markedsandel tesla</t>
  </si>
  <si>
    <t>I millioner</t>
  </si>
  <si>
    <t>e2023</t>
  </si>
  <si>
    <t>e2024</t>
  </si>
  <si>
    <t>e2025</t>
  </si>
  <si>
    <t>e2026</t>
  </si>
  <si>
    <t>e2027</t>
  </si>
  <si>
    <t>e2028</t>
  </si>
  <si>
    <t>e2029</t>
  </si>
  <si>
    <t>e2030</t>
  </si>
  <si>
    <t>e2031</t>
  </si>
  <si>
    <t>e2032</t>
  </si>
  <si>
    <t>Terminalverdi</t>
  </si>
  <si>
    <t>Antall biler</t>
  </si>
  <si>
    <t>Bedre sett som en andel av tilsvarende revenues</t>
  </si>
  <si>
    <t>Andel</t>
  </si>
  <si>
    <t>Kostnad, Services 
and other</t>
  </si>
  <si>
    <t>Andel av Services and other</t>
  </si>
  <si>
    <t>Andel av Revenues</t>
  </si>
  <si>
    <t>Sammenligning etter P/E Modellen</t>
  </si>
  <si>
    <t>P/E Ratio</t>
  </si>
  <si>
    <t>Sammenligning etter P/B Modellen</t>
  </si>
  <si>
    <t>Bokført EK</t>
  </si>
  <si>
    <t>SNITT</t>
  </si>
  <si>
    <t>P/B</t>
  </si>
  <si>
    <t xml:space="preserve">Estimert F&amp;U </t>
  </si>
  <si>
    <t>"Kostnad" F&amp;U</t>
  </si>
  <si>
    <t>Andel av revenues</t>
  </si>
  <si>
    <t>Skattesats</t>
  </si>
  <si>
    <t>Effektiv skattesats</t>
  </si>
  <si>
    <t>Multippel analyse per 31.12.22</t>
  </si>
  <si>
    <t>Gjennomsnitt</t>
  </si>
  <si>
    <t>Inntekter</t>
  </si>
  <si>
    <t>Driftsresultat * s</t>
  </si>
  <si>
    <t>Sammenligning etter EV/EBIT Modellen</t>
  </si>
  <si>
    <t>Netto rentebærende gjeld</t>
  </si>
  <si>
    <t>Enterprise value</t>
  </si>
  <si>
    <t>EV/EBIT</t>
  </si>
  <si>
    <t>Resultat</t>
  </si>
  <si>
    <t>Utestående aksjer</t>
  </si>
  <si>
    <t>Pris per aksje</t>
  </si>
  <si>
    <t>Fortjeneste per aksje</t>
  </si>
  <si>
    <t>ROIC</t>
  </si>
  <si>
    <t>Sales to capital ratio</t>
  </si>
  <si>
    <t>Terminal vekst</t>
  </si>
  <si>
    <t>Terminal WACC</t>
  </si>
  <si>
    <t>Sum av nåverdier (2023-2032)</t>
  </si>
  <si>
    <t>Nåverdi av terminalverdi</t>
  </si>
  <si>
    <t>Sum av nåverdier FCFF</t>
  </si>
  <si>
    <t xml:space="preserve"> - Gjeld</t>
  </si>
  <si>
    <t xml:space="preserve"> + Kontanter</t>
  </si>
  <si>
    <t>Verdi til egenkapital</t>
  </si>
  <si>
    <t>Aksjepris</t>
  </si>
  <si>
    <t>Bilbransjen</t>
  </si>
  <si>
    <t>Energi</t>
  </si>
  <si>
    <t>Vekst i inntekter</t>
  </si>
  <si>
    <t>SUM inntekter</t>
  </si>
  <si>
    <t>F&amp;U andel av inntekter</t>
  </si>
  <si>
    <t>Restrukturereing</t>
  </si>
  <si>
    <t>S&amp;A andel av inntekter</t>
  </si>
  <si>
    <t>S&amp;A kostnad</t>
  </si>
  <si>
    <t>F&amp;U kostnad</t>
  </si>
  <si>
    <t>Driftsresultat før skatt</t>
  </si>
  <si>
    <t>Inntekt Bilbransjen</t>
  </si>
  <si>
    <t>Inntekt Energi</t>
  </si>
  <si>
    <t>Totale kostnader</t>
  </si>
  <si>
    <t>Skatt</t>
  </si>
  <si>
    <t>Deffered revenue</t>
  </si>
  <si>
    <t>Volkswagen (€)</t>
  </si>
  <si>
    <t>Tesla ($)</t>
  </si>
  <si>
    <t>Ford ($)</t>
  </si>
  <si>
    <t>BYD (HKD)</t>
  </si>
  <si>
    <t>Bokført EK Per aksje</t>
  </si>
  <si>
    <t>Cash + Cash equivalents</t>
  </si>
  <si>
    <t>Rivian ($)</t>
  </si>
  <si>
    <t>P/E</t>
  </si>
  <si>
    <t>BYD</t>
  </si>
  <si>
    <t>Ny pris per aksje etter bransje multipler</t>
  </si>
  <si>
    <t>Ny pris per aksje etter BYD multipler</t>
  </si>
  <si>
    <t>Bransjesnitt</t>
  </si>
  <si>
    <t>ROIC etter år 10</t>
  </si>
  <si>
    <t>VW</t>
  </si>
  <si>
    <t>Ford</t>
  </si>
  <si>
    <t>Toyota</t>
  </si>
  <si>
    <t>GM</t>
  </si>
  <si>
    <t>BMW</t>
  </si>
  <si>
    <t>F&amp;U / Salg</t>
  </si>
  <si>
    <t>Mercedes-benz 
group (tidl. Daimler)</t>
  </si>
  <si>
    <t>SG&amp;A / Salg</t>
  </si>
  <si>
    <t>F&amp;U avskrivning</t>
  </si>
  <si>
    <t xml:space="preserve">Margin for biler </t>
  </si>
  <si>
    <t>Margin for energi</t>
  </si>
  <si>
    <t>Margin for service</t>
  </si>
  <si>
    <t>Input for terminalåret</t>
  </si>
  <si>
    <t>Basisår</t>
  </si>
  <si>
    <t>Nei</t>
  </si>
  <si>
    <t>Hvis "ja", angi vekst</t>
  </si>
  <si>
    <t>Gjennomsnitlig salgspris</t>
  </si>
  <si>
    <t>Hvis "ja", angi driftsmargin</t>
  </si>
  <si>
    <t>År 1-5</t>
  </si>
  <si>
    <t>Salg-til-kapital ratio</t>
  </si>
  <si>
    <t>Nedskrivning av salg-til-kapital ratio</t>
  </si>
  <si>
    <t>Avkastningskrav</t>
  </si>
  <si>
    <t>Hvis egendefinert, oppgi WACC</t>
  </si>
  <si>
    <t>Vil du se hele driften under ett?</t>
  </si>
  <si>
    <t>ROINC</t>
  </si>
  <si>
    <t>Variable kostnader</t>
  </si>
  <si>
    <t>Andre faste kostnader</t>
  </si>
  <si>
    <t>Skattekostnad Aktivering av F&amp;U</t>
  </si>
  <si>
    <t>Differanse</t>
  </si>
  <si>
    <t>Skattekostnad U.S. GAAP</t>
  </si>
  <si>
    <t>Fortjenestemargin</t>
  </si>
  <si>
    <t>Andel av inntekt</t>
  </si>
  <si>
    <t>Sammenligning; SG&amp;A/Salg</t>
  </si>
  <si>
    <t>Sammenligning; F&amp;U/Salg</t>
  </si>
  <si>
    <t>Reversering 
av kostnad</t>
  </si>
  <si>
    <t>Resultateffekt</t>
  </si>
  <si>
    <t>Skattekostnad</t>
  </si>
  <si>
    <t>NOPAT</t>
  </si>
  <si>
    <t>Nåverdi</t>
  </si>
  <si>
    <t>Apple</t>
  </si>
  <si>
    <t>Aplhabet 
(google)</t>
  </si>
  <si>
    <t>Amazon</t>
  </si>
  <si>
    <t>Microsoft</t>
  </si>
  <si>
    <t>Meta</t>
  </si>
  <si>
    <t>Samsung</t>
  </si>
  <si>
    <t>Mercedes-benz group</t>
  </si>
  <si>
    <t>NOPAT i terminalåret</t>
  </si>
  <si>
    <t>(1-g/ROINC)</t>
  </si>
  <si>
    <t>Kjøp av DM</t>
  </si>
  <si>
    <t>(-) Avskrivning</t>
  </si>
  <si>
    <t xml:space="preserve">Prepaid expenses </t>
  </si>
  <si>
    <t>Investering i AK</t>
  </si>
  <si>
    <t>(-) Avskrivning F&amp;U</t>
  </si>
  <si>
    <t>Endring i ikke-
kontanter AK</t>
  </si>
  <si>
    <t>Accounts 
receivable</t>
  </si>
  <si>
    <t>Total reinvestering</t>
  </si>
  <si>
    <t>Netto investering i F&amp;U</t>
  </si>
  <si>
    <t>Salg-til-kapital ratio år 0</t>
  </si>
  <si>
    <t>Nedskrivning av s/k</t>
  </si>
  <si>
    <t>Beta/ERP</t>
  </si>
  <si>
    <t>g/WACC</t>
  </si>
  <si>
    <t>ASP/Margin</t>
  </si>
  <si>
    <t>Justert bransjesnitt</t>
  </si>
  <si>
    <t>DCF</t>
  </si>
  <si>
    <t>Multippel Analyse</t>
  </si>
  <si>
    <t>Faktisk aksjekurs</t>
  </si>
  <si>
    <t>Oppside/nedisde</t>
  </si>
  <si>
    <t>Estimerte aksjekurser etter</t>
  </si>
  <si>
    <t>Aksjepris justert etter Multippelanalyse</t>
  </si>
  <si>
    <t>(80/20 split)</t>
  </si>
  <si>
    <t>(90/10 split)</t>
  </si>
  <si>
    <t>(95/5 split)</t>
  </si>
  <si>
    <t>(75/25 split)</t>
  </si>
  <si>
    <t>Rentekostnader</t>
  </si>
  <si>
    <t>Gjeldsgrad</t>
  </si>
  <si>
    <t>Sum EK</t>
  </si>
  <si>
    <t>Mest likvide OM</t>
  </si>
  <si>
    <t>Resultat før skattekostnad</t>
  </si>
  <si>
    <t>Inngående balanse (TK)</t>
  </si>
  <si>
    <t>Utgående balanse (TK)</t>
  </si>
  <si>
    <t>Inngående balanse (EK)</t>
  </si>
  <si>
    <t>Utgående balanse (EK)</t>
  </si>
  <si>
    <t>Kortsiktig gjeld</t>
  </si>
  <si>
    <t>Totalkapialrrentabilitet</t>
  </si>
  <si>
    <t>Diskonteringssats</t>
  </si>
  <si>
    <t>Nåverdi 2023-2032</t>
  </si>
  <si>
    <t xml:space="preserve"> + Nåverdi av terminalverdien</t>
  </si>
  <si>
    <t xml:space="preserve"> = NV av kontantstrømmer</t>
  </si>
  <si>
    <t xml:space="preserve"> - Rentebærende gjeld</t>
  </si>
  <si>
    <t xml:space="preserve"> + Finansielle eiendeler</t>
  </si>
  <si>
    <t xml:space="preserve"> = Verdi av EK</t>
  </si>
  <si>
    <t xml:space="preserve"> / Utestående aksjer</t>
  </si>
  <si>
    <t xml:space="preserve"> = Verdi per aksje</t>
  </si>
  <si>
    <t>Rivian</t>
  </si>
  <si>
    <t>Snitt uten
 Rivian</t>
  </si>
  <si>
    <t>Oppside etter 90/10 vekting</t>
  </si>
  <si>
    <t>Diskonteringssats (1+WACC)^t</t>
  </si>
  <si>
    <t>Inntekter fra elbiler</t>
  </si>
  <si>
    <t>Energigenerering og lagring</t>
  </si>
  <si>
    <t>EG&amp;S</t>
  </si>
  <si>
    <t>Inntekter fra
 elbiler</t>
  </si>
  <si>
    <t>Energigenerering
 og lagring</t>
  </si>
  <si>
    <t>Kostnad, energi- generering og lagring</t>
  </si>
  <si>
    <t>Service og annet</t>
  </si>
  <si>
    <t>Inntekt fra elbiler</t>
  </si>
  <si>
    <t>Kostnad, inntekt fra elbiler</t>
  </si>
  <si>
    <t>Verdi F&amp;U</t>
  </si>
  <si>
    <t>S&amp;A kostnader</t>
  </si>
  <si>
    <t>ARC</t>
  </si>
  <si>
    <t>Kostnad, inntekt
 fra elbiler</t>
  </si>
  <si>
    <t>Kostnad, service og annet</t>
  </si>
  <si>
    <t>Totale inntekter</t>
  </si>
  <si>
    <t>Kostnad, energigenerering og lagring</t>
  </si>
  <si>
    <t>Bruttofortjeneste</t>
  </si>
  <si>
    <t>Restrukturering og annet</t>
  </si>
  <si>
    <t>Faste kostnader</t>
  </si>
  <si>
    <t>Netto reinvestering
 (uten F&amp;U)</t>
  </si>
  <si>
    <t>Netto reinvestering i F&amp;U</t>
  </si>
  <si>
    <t>Sum netto reinvestering</t>
  </si>
  <si>
    <t>Brutto fortjenestemargin</t>
  </si>
  <si>
    <t>Bruttoresultat</t>
  </si>
  <si>
    <t>Inntekt Service og annet</t>
  </si>
  <si>
    <t>Brutto fortjenestemargin,
 service og annet</t>
  </si>
  <si>
    <t>Sum faste kostnader</t>
  </si>
  <si>
    <t>Fri kontaantstrøm (FCFF)</t>
  </si>
  <si>
    <t>Nåverdi fri kontantstrøm (FCFF)</t>
  </si>
  <si>
    <t>WACC i terminalåret</t>
  </si>
  <si>
    <t>Vekst i terminalåret</t>
  </si>
  <si>
    <t>Utestående aksjer (antall millioner)</t>
  </si>
  <si>
    <t xml:space="preserve"> - Gjeld (bokverdi)</t>
  </si>
  <si>
    <t>Investert kapital, inkludert F&amp;U</t>
  </si>
  <si>
    <t>Return on invested capital (ROINC)</t>
  </si>
  <si>
    <t>Reversert rekkefølge for videre beregning</t>
  </si>
  <si>
    <t>Geometrisk
gjennomsnitt</t>
  </si>
  <si>
    <t>Brutto fortjeneste- 
margin, bilbransjen</t>
  </si>
  <si>
    <t>Driftsresultat etter skatt
 (NOPAT)</t>
  </si>
  <si>
    <t>Reinvestering (DM - Avskrivning
 + endring AK + F&amp;U)</t>
  </si>
  <si>
    <t>Reinvestering (DM - Avskrivning
 + endring AK)</t>
  </si>
  <si>
    <t>Balanse</t>
  </si>
  <si>
    <t>Balanse justert for F&amp;U</t>
  </si>
  <si>
    <t>Investert kapital justert for F&amp;U</t>
  </si>
  <si>
    <t>Kontantstrøm</t>
  </si>
  <si>
    <t>Kontantstrøm justert F&amp;U</t>
  </si>
  <si>
    <t>Justering for F&amp;U (Påvirker ikke endelig kontantstrøm, men hvor kontantstrømmene kommer fra endres)</t>
  </si>
  <si>
    <t>Cash Flow from Operatig Activities</t>
  </si>
  <si>
    <t>IR (forventet avkastning
 i markedet)</t>
  </si>
  <si>
    <t>Beregning av markedsverdien til gjelden</t>
  </si>
  <si>
    <t>Gjennomsnitlilg løpetid for rentebærende gjeld</t>
  </si>
  <si>
    <t>Operating lease liabilities er oppgitt til nåverdi med diskonteringssats på 5,3%. Vi bruker dette som markedsverdi</t>
  </si>
  <si>
    <t>G/EV etter markedsverdi</t>
  </si>
  <si>
    <t>Markedsverdi til gjeld (antall millioner)</t>
  </si>
  <si>
    <t>Markedsverdi av EK per 31.12.2022 (antall millioner)</t>
  </si>
  <si>
    <t>Markedsverdi av gjeld inkudert leasing  (antall milioner)</t>
  </si>
  <si>
    <t>Rentekostnad for tradisjonell gjeld  (antall milioner)</t>
  </si>
  <si>
    <t>Tradisjonell rentebærende gjeld  (antall milioner)</t>
  </si>
  <si>
    <t>Beløp  (antall milioner)</t>
  </si>
  <si>
    <t>(Damodaran, 2023c)</t>
  </si>
  <si>
    <t>(Tesla, 2023)</t>
  </si>
  <si>
    <t>(Damodaran, 2023f)</t>
  </si>
  <si>
    <t>CAPM bokverdi</t>
  </si>
  <si>
    <t>CAPM markedsverdi</t>
  </si>
  <si>
    <t>Cash Flow from investing activities</t>
  </si>
  <si>
    <t xml:space="preserve">Cash Flows from Financing Activities </t>
  </si>
  <si>
    <t>SUM nåverdi</t>
  </si>
  <si>
    <t>Uten F&amp;U</t>
  </si>
  <si>
    <t>Med F&amp;U - ikke relevant</t>
  </si>
  <si>
    <t>Assets</t>
  </si>
  <si>
    <t>For DCF-modell</t>
  </si>
  <si>
    <t>Til bruk i appendix 1</t>
  </si>
  <si>
    <t>Estimert salg (millioner dollar)</t>
  </si>
  <si>
    <t>Til bruk i delkapittel 6.2</t>
  </si>
  <si>
    <t xml:space="preserve">Til bruk i delkapittel 6.1 </t>
  </si>
  <si>
    <t>Til bruk i kapittel 7</t>
  </si>
  <si>
    <t>Til bruk i kapittel 5</t>
  </si>
  <si>
    <t>Fremtidsregnskap ved aktivert F&amp;U</t>
  </si>
  <si>
    <t>Fremtidsregnskap etter U.S. GAAP</t>
  </si>
  <si>
    <t>Til bruk i appendix 9</t>
  </si>
  <si>
    <t>Altså blir 30% av NOPAT investert i terminalåret</t>
  </si>
  <si>
    <t>Til bruk i appendix 8</t>
  </si>
  <si>
    <t xml:space="preserve">Denne aksjeprisen er veriden per aksje dersom man ikke ville behandlet F&amp;U som en immateriell eiendel. Denne beregningen er ikke brukt i oppgaven, men er gjort her for å se utslaget på verdien av se på F&amp;U som en immateriell eiendel. </t>
  </si>
  <si>
    <t>Til bruk i kapittel 8</t>
  </si>
  <si>
    <t>Intervaller ASP</t>
  </si>
  <si>
    <t>Sammendrag; Tesla mot NASDAQ 100</t>
  </si>
  <si>
    <t>Sammendrag; Tesla mot S&amp;P 500</t>
  </si>
  <si>
    <t>NV av fremtidige kontantstrømmer</t>
  </si>
  <si>
    <t>Til bruk i kapittel 6</t>
  </si>
  <si>
    <t>Til bruk i kapittel 5 og 7</t>
  </si>
  <si>
    <t>Hvis det legges inn endring i disse postene skjer den gradvis etter år 5</t>
  </si>
  <si>
    <t>Hvilke verdier skal brukes i WACC?</t>
  </si>
  <si>
    <t>Hvis det legges inn endring i disse postene skjer den gradvis gjennom hele den eksplisitte prognoseperioden</t>
  </si>
  <si>
    <t>Tabellen under er ikke brukt i innlevert dokument, men utregninger er gjort for å se effekten av å regne F&amp;U som en immateriell eiendel</t>
  </si>
  <si>
    <t>Ikke brukt i innlevert dokument,  men utregninger er gjort for å se effekten av å regne F&amp;U som en immateriell eiendel</t>
  </si>
  <si>
    <t xml:space="preserve">151,49  er endelig aksjepris når vi vekter DCF med multippelvurdering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</si>
</sst>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0000"/>
    <numFmt numFmtId="167" formatCode="0.0\ %"/>
    <numFmt numFmtId="168" formatCode="_(* #,##0.0000_);_(* \(#,##0.0000\);_(* &quot;-&quot;??_);_(@_)"/>
    <numFmt numFmtId="169" formatCode="_(* #,##0.0000_);_(* \(#,##0.0000\);_(* &quot;-&quot;????_);_(@_)"/>
    <numFmt numFmtId="170" formatCode="0.000"/>
    <numFmt numFmtId="171" formatCode="0.0000"/>
    <numFmt numFmtId="172" formatCode="[$-409]mmm\ d\,\ yyyy"/>
    <numFmt numFmtId="173" formatCode="#,##0_);\(#,##0\);&quot;—&quot;"/>
    <numFmt numFmtId="174" formatCode="_(* #,##0.000_);_(* \(#,##0.000\);_(* &quot;-&quot;??_);_(@_)"/>
    <numFmt numFmtId="175" formatCode="0.0000\ %"/>
    <numFmt numFmtId="176" formatCode="0.0"/>
    <numFmt numFmtId="178" formatCode="_(* #,##0_);_(* \(#,##0\);_(* &quot;-&quot;????_);_(@_)"/>
  </numFmts>
  <fonts count="4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D3244"/>
      <name val="Helvetica Neue"/>
      <family val="2"/>
    </font>
    <font>
      <b/>
      <sz val="16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8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252525"/>
      <name val="Calibri"/>
      <family val="2"/>
      <scheme val="minor"/>
    </font>
    <font>
      <b/>
      <sz val="11"/>
      <color rgb="FF252525"/>
      <name val="Calibri"/>
      <family val="2"/>
      <scheme val="minor"/>
    </font>
    <font>
      <sz val="9"/>
      <color rgb="FF757575"/>
      <name val="Calibri"/>
      <family val="2"/>
      <scheme val="minor"/>
    </font>
    <font>
      <b/>
      <sz val="11"/>
      <color rgb="FF252525"/>
      <name val="Calibri"/>
      <family val="2"/>
    </font>
    <font>
      <b/>
      <sz val="22"/>
      <color rgb="FF7E261B"/>
      <name val="Calibri"/>
      <family val="2"/>
      <scheme val="minor"/>
    </font>
    <font>
      <b/>
      <sz val="11"/>
      <color rgb="FF252525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.5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6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i/>
      <sz val="12"/>
      <color theme="6"/>
      <name val="Calibri"/>
      <family val="2"/>
      <scheme val="minor"/>
    </font>
    <font>
      <sz val="12"/>
      <name val="Calibri (Brødtekst)"/>
    </font>
    <font>
      <b/>
      <sz val="11"/>
      <name val="Calibri (Brødtekst)"/>
    </font>
    <font>
      <sz val="12"/>
      <color theme="2" tint="-0.249977111117893"/>
      <name val="Calibri"/>
      <family val="2"/>
      <scheme val="minor"/>
    </font>
    <font>
      <sz val="12"/>
      <color theme="0" tint="-0.249977111117893"/>
      <name val="Calibri (Brødtekst)"/>
    </font>
    <font>
      <b/>
      <sz val="11"/>
      <color theme="0" tint="-0.249977111117893"/>
      <name val="Calibri (Brødtekst)"/>
    </font>
    <font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rgb="FF252525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E2E2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</cellStyleXfs>
  <cellXfs count="531">
    <xf numFmtId="0" fontId="0" fillId="0" borderId="0" xfId="0"/>
    <xf numFmtId="9" fontId="0" fillId="0" borderId="0" xfId="1" applyFont="1"/>
    <xf numFmtId="3" fontId="0" fillId="0" borderId="0" xfId="0" applyNumberFormat="1"/>
    <xf numFmtId="9" fontId="0" fillId="0" borderId="0" xfId="0" applyNumberFormat="1"/>
    <xf numFmtId="0" fontId="2" fillId="0" borderId="0" xfId="0" applyFont="1"/>
    <xf numFmtId="10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3" fillId="0" borderId="0" xfId="0" applyFont="1"/>
    <xf numFmtId="2" fontId="0" fillId="0" borderId="0" xfId="0" applyNumberFormat="1"/>
    <xf numFmtId="43" fontId="0" fillId="0" borderId="0" xfId="0" applyNumberFormat="1"/>
    <xf numFmtId="0" fontId="8" fillId="0" borderId="0" xfId="0" applyFont="1"/>
    <xf numFmtId="10" fontId="0" fillId="0" borderId="0" xfId="1" applyNumberFormat="1" applyFont="1"/>
    <xf numFmtId="166" fontId="0" fillId="0" borderId="0" xfId="0" applyNumberFormat="1"/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5" fontId="0" fillId="0" borderId="12" xfId="2" applyNumberFormat="1" applyFont="1" applyBorder="1" applyAlignment="1">
      <alignment vertical="center" wrapText="1"/>
    </xf>
    <xf numFmtId="10" fontId="0" fillId="0" borderId="12" xfId="1" applyNumberFormat="1" applyFont="1" applyBorder="1" applyAlignment="1">
      <alignment vertical="center" wrapText="1"/>
    </xf>
    <xf numFmtId="0" fontId="2" fillId="0" borderId="13" xfId="0" applyFont="1" applyBorder="1"/>
    <xf numFmtId="0" fontId="0" fillId="0" borderId="13" xfId="0" applyBorder="1"/>
    <xf numFmtId="0" fontId="0" fillId="0" borderId="0" xfId="0" applyAlignment="1">
      <alignment vertical="center" wrapText="1"/>
    </xf>
    <xf numFmtId="10" fontId="0" fillId="0" borderId="9" xfId="1" applyNumberFormat="1" applyFont="1" applyBorder="1" applyAlignment="1">
      <alignment vertical="center" wrapText="1"/>
    </xf>
    <xf numFmtId="1" fontId="0" fillId="0" borderId="9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9" fontId="0" fillId="3" borderId="13" xfId="1" applyFont="1" applyFill="1" applyBorder="1"/>
    <xf numFmtId="0" fontId="10" fillId="0" borderId="0" xfId="0" applyFont="1" applyAlignment="1">
      <alignment horizontal="left"/>
    </xf>
    <xf numFmtId="2" fontId="2" fillId="0" borderId="13" xfId="0" applyNumberFormat="1" applyFont="1" applyBorder="1"/>
    <xf numFmtId="10" fontId="0" fillId="0" borderId="13" xfId="1" applyNumberFormat="1" applyFont="1" applyBorder="1"/>
    <xf numFmtId="168" fontId="0" fillId="0" borderId="13" xfId="2" applyNumberFormat="1" applyFont="1" applyBorder="1"/>
    <xf numFmtId="168" fontId="0" fillId="0" borderId="0" xfId="2" applyNumberFormat="1" applyFont="1"/>
    <xf numFmtId="169" fontId="0" fillId="0" borderId="0" xfId="0" applyNumberFormat="1"/>
    <xf numFmtId="168" fontId="2" fillId="0" borderId="0" xfId="2" applyNumberFormat="1" applyFont="1"/>
    <xf numFmtId="2" fontId="0" fillId="0" borderId="13" xfId="0" applyNumberFormat="1" applyBorder="1"/>
    <xf numFmtId="167" fontId="0" fillId="0" borderId="13" xfId="1" applyNumberFormat="1" applyFont="1" applyBorder="1"/>
    <xf numFmtId="167" fontId="2" fillId="0" borderId="13" xfId="1" applyNumberFormat="1" applyFont="1" applyBorder="1"/>
    <xf numFmtId="167" fontId="2" fillId="0" borderId="0" xfId="1" applyNumberFormat="1" applyFont="1"/>
    <xf numFmtId="0" fontId="9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" fontId="0" fillId="0" borderId="13" xfId="0" applyNumberFormat="1" applyBorder="1"/>
    <xf numFmtId="170" fontId="0" fillId="0" borderId="13" xfId="0" applyNumberFormat="1" applyBorder="1"/>
    <xf numFmtId="170" fontId="2" fillId="0" borderId="13" xfId="0" applyNumberFormat="1" applyFont="1" applyBorder="1"/>
    <xf numFmtId="43" fontId="0" fillId="0" borderId="0" xfId="2" applyFont="1"/>
    <xf numFmtId="165" fontId="0" fillId="0" borderId="0" xfId="2" applyNumberFormat="1" applyFont="1"/>
    <xf numFmtId="0" fontId="10" fillId="0" borderId="0" xfId="0" applyFont="1"/>
    <xf numFmtId="170" fontId="2" fillId="0" borderId="0" xfId="0" applyNumberFormat="1" applyFont="1"/>
    <xf numFmtId="0" fontId="6" fillId="0" borderId="0" xfId="0" applyFont="1"/>
    <xf numFmtId="165" fontId="0" fillId="0" borderId="13" xfId="2" applyNumberFormat="1" applyFont="1" applyBorder="1"/>
    <xf numFmtId="2" fontId="0" fillId="0" borderId="13" xfId="3" applyNumberFormat="1" applyFont="1" applyFill="1" applyBorder="1"/>
    <xf numFmtId="0" fontId="0" fillId="0" borderId="13" xfId="3" applyFont="1" applyFill="1" applyBorder="1"/>
    <xf numFmtId="167" fontId="0" fillId="0" borderId="13" xfId="3" applyNumberFormat="1" applyFont="1" applyFill="1" applyBorder="1"/>
    <xf numFmtId="10" fontId="0" fillId="0" borderId="13" xfId="3" applyNumberFormat="1" applyFont="1" applyFill="1" applyBorder="1"/>
    <xf numFmtId="168" fontId="0" fillId="0" borderId="13" xfId="3" applyNumberFormat="1" applyFont="1" applyFill="1" applyBorder="1"/>
    <xf numFmtId="0" fontId="0" fillId="0" borderId="13" xfId="3" applyFont="1" applyFill="1" applyBorder="1" applyAlignment="1">
      <alignment horizontal="center"/>
    </xf>
    <xf numFmtId="2" fontId="0" fillId="0" borderId="13" xfId="3" applyNumberFormat="1" applyFont="1" applyFill="1" applyBorder="1" applyAlignment="1">
      <alignment horizontal="center"/>
    </xf>
    <xf numFmtId="10" fontId="0" fillId="0" borderId="13" xfId="3" applyNumberFormat="1" applyFont="1" applyFill="1" applyBorder="1" applyAlignment="1">
      <alignment horizontal="center"/>
    </xf>
    <xf numFmtId="43" fontId="0" fillId="0" borderId="13" xfId="2" applyFont="1" applyBorder="1"/>
    <xf numFmtId="0" fontId="0" fillId="0" borderId="17" xfId="0" applyBorder="1"/>
    <xf numFmtId="10" fontId="0" fillId="0" borderId="17" xfId="1" applyNumberFormat="1" applyFont="1" applyBorder="1"/>
    <xf numFmtId="10" fontId="0" fillId="0" borderId="13" xfId="0" applyNumberFormat="1" applyBorder="1"/>
    <xf numFmtId="0" fontId="0" fillId="0" borderId="19" xfId="0" applyBorder="1"/>
    <xf numFmtId="10" fontId="0" fillId="0" borderId="19" xfId="1" applyNumberFormat="1" applyFont="1" applyBorder="1"/>
    <xf numFmtId="10" fontId="0" fillId="0" borderId="19" xfId="0" applyNumberFormat="1" applyBorder="1"/>
    <xf numFmtId="10" fontId="0" fillId="0" borderId="8" xfId="1" applyNumberFormat="1" applyFont="1" applyBorder="1"/>
    <xf numFmtId="10" fontId="0" fillId="3" borderId="0" xfId="0" applyNumberFormat="1" applyFill="1"/>
    <xf numFmtId="43" fontId="0" fillId="0" borderId="0" xfId="2" applyFont="1" applyAlignment="1">
      <alignment horizontal="right"/>
    </xf>
    <xf numFmtId="2" fontId="0" fillId="3" borderId="13" xfId="0" applyNumberFormat="1" applyFill="1" applyBorder="1"/>
    <xf numFmtId="0" fontId="0" fillId="3" borderId="13" xfId="0" applyFill="1" applyBorder="1"/>
    <xf numFmtId="10" fontId="0" fillId="3" borderId="13" xfId="0" applyNumberFormat="1" applyFill="1" applyBorder="1"/>
    <xf numFmtId="0" fontId="0" fillId="0" borderId="13" xfId="0" applyBorder="1" applyAlignment="1">
      <alignment wrapText="1"/>
    </xf>
    <xf numFmtId="43" fontId="2" fillId="0" borderId="13" xfId="2" applyFont="1" applyBorder="1"/>
    <xf numFmtId="0" fontId="0" fillId="0" borderId="0" xfId="0" applyAlignment="1">
      <alignment wrapText="1"/>
    </xf>
    <xf numFmtId="10" fontId="3" fillId="0" borderId="0" xfId="0" applyNumberFormat="1" applyFont="1"/>
    <xf numFmtId="1" fontId="2" fillId="0" borderId="13" xfId="0" applyNumberFormat="1" applyFont="1" applyBorder="1"/>
    <xf numFmtId="10" fontId="0" fillId="3" borderId="13" xfId="1" applyNumberFormat="1" applyFont="1" applyFill="1" applyBorder="1"/>
    <xf numFmtId="10" fontId="0" fillId="4" borderId="13" xfId="0" applyNumberFormat="1" applyFill="1" applyBorder="1"/>
    <xf numFmtId="0" fontId="0" fillId="4" borderId="13" xfId="0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3" fillId="0" borderId="0" xfId="2" applyNumberFormat="1" applyFont="1"/>
    <xf numFmtId="165" fontId="12" fillId="0" borderId="0" xfId="2" applyNumberFormat="1" applyFont="1"/>
    <xf numFmtId="0" fontId="13" fillId="0" borderId="0" xfId="0" applyFont="1" applyAlignment="1">
      <alignment horizontal="left"/>
    </xf>
    <xf numFmtId="0" fontId="13" fillId="0" borderId="0" xfId="0" applyFont="1"/>
    <xf numFmtId="165" fontId="0" fillId="0" borderId="0" xfId="0" applyNumberFormat="1"/>
    <xf numFmtId="0" fontId="2" fillId="5" borderId="0" xfId="0" applyFont="1" applyFill="1" applyAlignment="1">
      <alignment horizontal="left" indent="1"/>
    </xf>
    <xf numFmtId="165" fontId="12" fillId="5" borderId="0" xfId="2" applyNumberFormat="1" applyFont="1" applyFill="1"/>
    <xf numFmtId="0" fontId="11" fillId="5" borderId="0" xfId="0" applyFont="1" applyFill="1" applyAlignment="1">
      <alignment horizontal="left" indent="1"/>
    </xf>
    <xf numFmtId="0" fontId="2" fillId="0" borderId="20" xfId="0" applyFont="1" applyBorder="1"/>
    <xf numFmtId="0" fontId="15" fillId="0" borderId="0" xfId="0" applyFont="1"/>
    <xf numFmtId="0" fontId="16" fillId="0" borderId="0" xfId="0" applyFont="1"/>
    <xf numFmtId="9" fontId="17" fillId="0" borderId="0" xfId="1" applyFont="1"/>
    <xf numFmtId="0" fontId="18" fillId="0" borderId="0" xfId="0" applyFont="1"/>
    <xf numFmtId="0" fontId="17" fillId="0" borderId="0" xfId="0" applyFont="1"/>
    <xf numFmtId="165" fontId="15" fillId="0" borderId="0" xfId="2" applyNumberFormat="1" applyFont="1"/>
    <xf numFmtId="165" fontId="2" fillId="0" borderId="20" xfId="2" applyNumberFormat="1" applyFont="1" applyBorder="1"/>
    <xf numFmtId="165" fontId="0" fillId="0" borderId="1" xfId="2" applyNumberFormat="1" applyFont="1" applyBorder="1"/>
    <xf numFmtId="165" fontId="14" fillId="5" borderId="0" xfId="2" applyNumberFormat="1" applyFont="1" applyFill="1"/>
    <xf numFmtId="0" fontId="20" fillId="0" borderId="0" xfId="0" applyFont="1"/>
    <xf numFmtId="0" fontId="0" fillId="0" borderId="0" xfId="0" applyAlignment="1">
      <alignment horizontal="left" wrapText="1" indent="2"/>
    </xf>
    <xf numFmtId="0" fontId="20" fillId="0" borderId="0" xfId="0" applyFont="1" applyAlignment="1">
      <alignment horizontal="left" wrapText="1" indent="2"/>
    </xf>
    <xf numFmtId="173" fontId="0" fillId="0" borderId="0" xfId="0" applyNumberFormat="1" applyAlignment="1">
      <alignment horizontal="right"/>
    </xf>
    <xf numFmtId="173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left" wrapText="1" indent="3"/>
    </xf>
    <xf numFmtId="173" fontId="21" fillId="0" borderId="23" xfId="0" applyNumberFormat="1" applyFont="1" applyBorder="1" applyAlignment="1">
      <alignment horizontal="right"/>
    </xf>
    <xf numFmtId="0" fontId="0" fillId="0" borderId="0" xfId="0" applyAlignment="1">
      <alignment horizontal="left" wrapText="1" indent="1"/>
    </xf>
    <xf numFmtId="0" fontId="20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 indent="2"/>
    </xf>
    <xf numFmtId="0" fontId="21" fillId="0" borderId="0" xfId="0" applyFont="1" applyAlignment="1">
      <alignment horizontal="left" wrapText="1" indent="4"/>
    </xf>
    <xf numFmtId="0" fontId="21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2"/>
    </xf>
    <xf numFmtId="173" fontId="23" fillId="0" borderId="23" xfId="0" applyNumberFormat="1" applyFont="1" applyBorder="1" applyAlignment="1">
      <alignment horizontal="right"/>
    </xf>
    <xf numFmtId="0" fontId="23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4"/>
    </xf>
    <xf numFmtId="0" fontId="23" fillId="0" borderId="0" xfId="0" applyFont="1" applyAlignment="1">
      <alignment horizontal="left" wrapText="1" indent="3"/>
    </xf>
    <xf numFmtId="173" fontId="23" fillId="0" borderId="0" xfId="0" applyNumberFormat="1" applyFont="1" applyAlignment="1">
      <alignment horizontal="right"/>
    </xf>
    <xf numFmtId="0" fontId="24" fillId="0" borderId="0" xfId="0" applyFont="1"/>
    <xf numFmtId="0" fontId="20" fillId="0" borderId="0" xfId="0" applyFont="1" applyAlignment="1">
      <alignment horizontal="left" wrapText="1" indent="3"/>
    </xf>
    <xf numFmtId="173" fontId="0" fillId="0" borderId="0" xfId="0" applyNumberFormat="1"/>
    <xf numFmtId="173" fontId="2" fillId="0" borderId="0" xfId="0" applyNumberFormat="1" applyFont="1"/>
    <xf numFmtId="0" fontId="20" fillId="5" borderId="0" xfId="0" applyFont="1" applyFill="1" applyAlignment="1">
      <alignment horizontal="left" wrapText="1" indent="3"/>
    </xf>
    <xf numFmtId="173" fontId="20" fillId="5" borderId="0" xfId="0" applyNumberFormat="1" applyFont="1" applyFill="1" applyAlignment="1">
      <alignment horizontal="left" indent="1"/>
    </xf>
    <xf numFmtId="0" fontId="2" fillId="0" borderId="6" xfId="0" applyFont="1" applyBorder="1"/>
    <xf numFmtId="165" fontId="20" fillId="0" borderId="0" xfId="2" applyNumberFormat="1" applyFont="1" applyAlignment="1">
      <alignment horizontal="right"/>
    </xf>
    <xf numFmtId="165" fontId="20" fillId="5" borderId="0" xfId="2" applyNumberFormat="1" applyFont="1" applyFill="1" applyAlignment="1">
      <alignment horizontal="right"/>
    </xf>
    <xf numFmtId="165" fontId="2" fillId="0" borderId="0" xfId="2" applyNumberFormat="1" applyFont="1"/>
    <xf numFmtId="165" fontId="21" fillId="0" borderId="23" xfId="2" applyNumberFormat="1" applyFont="1" applyBorder="1" applyAlignment="1">
      <alignment horizontal="right"/>
    </xf>
    <xf numFmtId="10" fontId="2" fillId="5" borderId="0" xfId="1" applyNumberFormat="1" applyFont="1" applyFill="1"/>
    <xf numFmtId="0" fontId="12" fillId="7" borderId="0" xfId="0" applyFont="1" applyFill="1" applyAlignment="1">
      <alignment horizontal="left" indent="1"/>
    </xf>
    <xf numFmtId="0" fontId="14" fillId="7" borderId="0" xfId="0" applyFont="1" applyFill="1" applyAlignment="1">
      <alignment horizontal="left" indent="1"/>
    </xf>
    <xf numFmtId="10" fontId="12" fillId="7" borderId="0" xfId="0" applyNumberFormat="1" applyFont="1" applyFill="1"/>
    <xf numFmtId="0" fontId="21" fillId="6" borderId="13" xfId="0" applyFont="1" applyFill="1" applyBorder="1" applyAlignment="1">
      <alignment horizontal="right" vertical="top"/>
    </xf>
    <xf numFmtId="173" fontId="20" fillId="0" borderId="13" xfId="0" applyNumberFormat="1" applyFont="1" applyBorder="1" applyAlignment="1">
      <alignment horizontal="right"/>
    </xf>
    <xf numFmtId="173" fontId="21" fillId="0" borderId="13" xfId="0" applyNumberFormat="1" applyFont="1" applyBorder="1" applyAlignment="1">
      <alignment horizontal="right"/>
    </xf>
    <xf numFmtId="0" fontId="21" fillId="0" borderId="13" xfId="0" applyFont="1" applyBorder="1" applyAlignment="1">
      <alignment horizontal="left" wrapText="1" indent="2"/>
    </xf>
    <xf numFmtId="10" fontId="3" fillId="0" borderId="13" xfId="0" applyNumberFormat="1" applyFont="1" applyBorder="1"/>
    <xf numFmtId="173" fontId="20" fillId="0" borderId="21" xfId="0" applyNumberFormat="1" applyFont="1" applyBorder="1" applyAlignment="1">
      <alignment horizontal="right"/>
    </xf>
    <xf numFmtId="10" fontId="3" fillId="0" borderId="19" xfId="0" applyNumberFormat="1" applyFont="1" applyBorder="1"/>
    <xf numFmtId="10" fontId="12" fillId="0" borderId="19" xfId="0" applyNumberFormat="1" applyFont="1" applyBorder="1"/>
    <xf numFmtId="165" fontId="3" fillId="0" borderId="13" xfId="2" applyNumberFormat="1" applyFont="1" applyFill="1" applyBorder="1"/>
    <xf numFmtId="173" fontId="20" fillId="0" borderId="17" xfId="0" applyNumberFormat="1" applyFont="1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13" xfId="0" applyBorder="1" applyAlignment="1">
      <alignment horizontal="left" wrapText="1" indent="2"/>
    </xf>
    <xf numFmtId="174" fontId="0" fillId="0" borderId="0" xfId="0" applyNumberFormat="1"/>
    <xf numFmtId="0" fontId="0" fillId="0" borderId="17" xfId="0" applyBorder="1" applyAlignment="1">
      <alignment horizontal="left" wrapText="1" indent="2"/>
    </xf>
    <xf numFmtId="173" fontId="21" fillId="0" borderId="17" xfId="0" applyNumberFormat="1" applyFont="1" applyBorder="1" applyAlignment="1">
      <alignment horizontal="right"/>
    </xf>
    <xf numFmtId="173" fontId="21" fillId="0" borderId="2" xfId="0" applyNumberFormat="1" applyFont="1" applyBorder="1" applyAlignment="1">
      <alignment horizontal="right"/>
    </xf>
    <xf numFmtId="0" fontId="0" fillId="0" borderId="18" xfId="0" applyBorder="1"/>
    <xf numFmtId="173" fontId="21" fillId="0" borderId="21" xfId="0" applyNumberFormat="1" applyFont="1" applyBorder="1" applyAlignment="1">
      <alignment horizontal="right"/>
    </xf>
    <xf numFmtId="10" fontId="3" fillId="0" borderId="21" xfId="0" applyNumberFormat="1" applyFont="1" applyBorder="1"/>
    <xf numFmtId="173" fontId="21" fillId="0" borderId="5" xfId="0" applyNumberFormat="1" applyFont="1" applyBorder="1" applyAlignment="1">
      <alignment horizontal="right"/>
    </xf>
    <xf numFmtId="10" fontId="3" fillId="0" borderId="7" xfId="0" applyNumberFormat="1" applyFont="1" applyBorder="1"/>
    <xf numFmtId="173" fontId="20" fillId="0" borderId="2" xfId="0" applyNumberFormat="1" applyFont="1" applyBorder="1" applyAlignment="1">
      <alignment horizontal="right"/>
    </xf>
    <xf numFmtId="165" fontId="3" fillId="0" borderId="21" xfId="2" applyNumberFormat="1" applyFont="1" applyFill="1" applyBorder="1"/>
    <xf numFmtId="10" fontId="12" fillId="0" borderId="19" xfId="1" applyNumberFormat="1" applyFont="1" applyBorder="1"/>
    <xf numFmtId="10" fontId="3" fillId="0" borderId="8" xfId="0" applyNumberFormat="1" applyFont="1" applyBorder="1"/>
    <xf numFmtId="10" fontId="2" fillId="0" borderId="19" xfId="0" applyNumberFormat="1" applyFont="1" applyBorder="1"/>
    <xf numFmtId="0" fontId="19" fillId="0" borderId="0" xfId="0" applyFont="1"/>
    <xf numFmtId="165" fontId="2" fillId="0" borderId="13" xfId="2" applyNumberFormat="1" applyFont="1" applyBorder="1"/>
    <xf numFmtId="0" fontId="25" fillId="0" borderId="0" xfId="0" applyFont="1" applyAlignment="1">
      <alignment horizontal="left" wrapText="1" indent="3"/>
    </xf>
    <xf numFmtId="173" fontId="25" fillId="0" borderId="23" xfId="0" applyNumberFormat="1" applyFont="1" applyBorder="1" applyAlignment="1">
      <alignment horizontal="right"/>
    </xf>
    <xf numFmtId="165" fontId="0" fillId="0" borderId="19" xfId="2" applyNumberFormat="1" applyFont="1" applyBorder="1"/>
    <xf numFmtId="0" fontId="0" fillId="0" borderId="0" xfId="0" applyAlignment="1">
      <alignment horizontal="left"/>
    </xf>
    <xf numFmtId="10" fontId="0" fillId="0" borderId="1" xfId="0" applyNumberFormat="1" applyBorder="1"/>
    <xf numFmtId="165" fontId="0" fillId="0" borderId="0" xfId="2" applyNumberFormat="1" applyFont="1" applyBorder="1"/>
    <xf numFmtId="0" fontId="0" fillId="0" borderId="20" xfId="0" applyBorder="1"/>
    <xf numFmtId="43" fontId="10" fillId="0" borderId="0" xfId="2" applyFont="1"/>
    <xf numFmtId="10" fontId="10" fillId="0" borderId="0" xfId="0" applyNumberFormat="1" applyFont="1"/>
    <xf numFmtId="4" fontId="0" fillId="0" borderId="0" xfId="0" applyNumberFormat="1"/>
    <xf numFmtId="4" fontId="0" fillId="0" borderId="13" xfId="0" applyNumberFormat="1" applyBorder="1"/>
    <xf numFmtId="2" fontId="0" fillId="0" borderId="13" xfId="0" applyNumberFormat="1" applyBorder="1" applyAlignment="1">
      <alignment horizontal="right"/>
    </xf>
    <xf numFmtId="3" fontId="0" fillId="0" borderId="13" xfId="0" applyNumberFormat="1" applyBorder="1"/>
    <xf numFmtId="4" fontId="0" fillId="0" borderId="13" xfId="2" applyNumberFormat="1" applyFont="1" applyBorder="1"/>
    <xf numFmtId="3" fontId="0" fillId="0" borderId="13" xfId="2" applyNumberFormat="1" applyFont="1" applyBorder="1"/>
    <xf numFmtId="0" fontId="26" fillId="0" borderId="0" xfId="0" applyFont="1"/>
    <xf numFmtId="0" fontId="21" fillId="6" borderId="13" xfId="0" applyFont="1" applyFill="1" applyBorder="1" applyAlignment="1">
      <alignment horizontal="right" vertical="top" wrapText="1"/>
    </xf>
    <xf numFmtId="165" fontId="0" fillId="0" borderId="18" xfId="2" applyNumberFormat="1" applyFont="1" applyFill="1" applyBorder="1"/>
    <xf numFmtId="10" fontId="0" fillId="0" borderId="0" xfId="1" applyNumberFormat="1" applyFont="1" applyFill="1" applyBorder="1"/>
    <xf numFmtId="165" fontId="0" fillId="0" borderId="0" xfId="1" applyNumberFormat="1" applyFont="1"/>
    <xf numFmtId="10" fontId="26" fillId="0" borderId="1" xfId="0" applyNumberFormat="1" applyFont="1" applyBorder="1"/>
    <xf numFmtId="43" fontId="26" fillId="0" borderId="0" xfId="2" applyFont="1"/>
    <xf numFmtId="10" fontId="0" fillId="4" borderId="0" xfId="0" applyNumberFormat="1" applyFill="1"/>
    <xf numFmtId="165" fontId="0" fillId="4" borderId="0" xfId="2" applyNumberFormat="1" applyFont="1" applyFill="1" applyBorder="1"/>
    <xf numFmtId="165" fontId="0" fillId="4" borderId="13" xfId="2" applyNumberFormat="1" applyFont="1" applyFill="1" applyBorder="1"/>
    <xf numFmtId="0" fontId="0" fillId="8" borderId="0" xfId="0" applyFill="1"/>
    <xf numFmtId="0" fontId="13" fillId="8" borderId="0" xfId="0" applyFont="1" applyFill="1"/>
    <xf numFmtId="0" fontId="27" fillId="8" borderId="0" xfId="0" applyFont="1" applyFill="1"/>
    <xf numFmtId="0" fontId="27" fillId="0" borderId="0" xfId="0" applyFont="1"/>
    <xf numFmtId="10" fontId="12" fillId="0" borderId="8" xfId="0" applyNumberFormat="1" applyFont="1" applyBorder="1"/>
    <xf numFmtId="10" fontId="0" fillId="0" borderId="0" xfId="1" applyNumberFormat="1" applyFont="1" applyBorder="1"/>
    <xf numFmtId="10" fontId="2" fillId="0" borderId="13" xfId="1" applyNumberFormat="1" applyFont="1" applyBorder="1"/>
    <xf numFmtId="0" fontId="21" fillId="6" borderId="13" xfId="0" applyFont="1" applyFill="1" applyBorder="1" applyAlignment="1">
      <alignment horizontal="left" vertical="top" wrapText="1"/>
    </xf>
    <xf numFmtId="1" fontId="3" fillId="0" borderId="0" xfId="0" applyNumberFormat="1" applyFont="1"/>
    <xf numFmtId="1" fontId="3" fillId="0" borderId="13" xfId="0" applyNumberFormat="1" applyFont="1" applyBorder="1"/>
    <xf numFmtId="0" fontId="3" fillId="0" borderId="13" xfId="0" applyFont="1" applyBorder="1"/>
    <xf numFmtId="10" fontId="2" fillId="0" borderId="0" xfId="1" applyNumberFormat="1" applyFont="1" applyBorder="1"/>
    <xf numFmtId="175" fontId="0" fillId="0" borderId="0" xfId="1" applyNumberFormat="1" applyFont="1"/>
    <xf numFmtId="0" fontId="0" fillId="0" borderId="22" xfId="0" applyBorder="1"/>
    <xf numFmtId="165" fontId="0" fillId="0" borderId="6" xfId="2" applyNumberFormat="1" applyFont="1" applyBorder="1"/>
    <xf numFmtId="43" fontId="0" fillId="0" borderId="22" xfId="2" applyFont="1" applyBorder="1"/>
    <xf numFmtId="43" fontId="2" fillId="0" borderId="22" xfId="2" applyFont="1" applyBorder="1"/>
    <xf numFmtId="165" fontId="0" fillId="0" borderId="17" xfId="2" applyNumberFormat="1" applyFont="1" applyBorder="1"/>
    <xf numFmtId="165" fontId="0" fillId="0" borderId="18" xfId="2" applyNumberFormat="1" applyFont="1" applyBorder="1"/>
    <xf numFmtId="176" fontId="0" fillId="0" borderId="13" xfId="0" applyNumberFormat="1" applyBorder="1"/>
    <xf numFmtId="10" fontId="0" fillId="0" borderId="6" xfId="1" applyNumberFormat="1" applyFont="1" applyBorder="1"/>
    <xf numFmtId="10" fontId="2" fillId="0" borderId="20" xfId="1" applyNumberFormat="1" applyFont="1" applyBorder="1"/>
    <xf numFmtId="43" fontId="2" fillId="0" borderId="20" xfId="2" applyFont="1" applyBorder="1"/>
    <xf numFmtId="43" fontId="2" fillId="0" borderId="0" xfId="2" applyFont="1" applyBorder="1"/>
    <xf numFmtId="0" fontId="2" fillId="0" borderId="21" xfId="0" applyFont="1" applyBorder="1"/>
    <xf numFmtId="10" fontId="2" fillId="0" borderId="19" xfId="1" applyNumberFormat="1" applyFont="1" applyBorder="1"/>
    <xf numFmtId="43" fontId="2" fillId="0" borderId="19" xfId="2" applyFont="1" applyBorder="1"/>
    <xf numFmtId="0" fontId="2" fillId="10" borderId="21" xfId="4" applyFont="1" applyFill="1" applyBorder="1"/>
    <xf numFmtId="0" fontId="2" fillId="10" borderId="20" xfId="4" applyFont="1" applyFill="1" applyBorder="1"/>
    <xf numFmtId="0" fontId="2" fillId="10" borderId="22" xfId="4" applyFont="1" applyFill="1" applyBorder="1"/>
    <xf numFmtId="9" fontId="0" fillId="3" borderId="13" xfId="0" applyNumberFormat="1" applyFill="1" applyBorder="1"/>
    <xf numFmtId="0" fontId="28" fillId="0" borderId="0" xfId="0" applyFont="1"/>
    <xf numFmtId="10" fontId="28" fillId="0" borderId="0" xfId="0" applyNumberFormat="1" applyFont="1"/>
    <xf numFmtId="9" fontId="28" fillId="0" borderId="0" xfId="0" applyNumberFormat="1" applyFont="1"/>
    <xf numFmtId="4" fontId="28" fillId="0" borderId="0" xfId="0" applyNumberFormat="1" applyFont="1"/>
    <xf numFmtId="0" fontId="1" fillId="10" borderId="13" xfId="3" applyFill="1" applyBorder="1"/>
    <xf numFmtId="0" fontId="2" fillId="10" borderId="13" xfId="3" applyFont="1" applyFill="1" applyBorder="1"/>
    <xf numFmtId="165" fontId="3" fillId="0" borderId="17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78" fontId="2" fillId="0" borderId="20" xfId="0" applyNumberFormat="1" applyFont="1" applyBorder="1"/>
    <xf numFmtId="178" fontId="2" fillId="0" borderId="22" xfId="0" applyNumberFormat="1" applyFont="1" applyBorder="1"/>
    <xf numFmtId="0" fontId="21" fillId="10" borderId="13" xfId="0" applyFont="1" applyFill="1" applyBorder="1" applyAlignment="1">
      <alignment horizontal="right" vertical="top"/>
    </xf>
    <xf numFmtId="165" fontId="0" fillId="0" borderId="21" xfId="2" applyNumberFormat="1" applyFont="1" applyBorder="1"/>
    <xf numFmtId="10" fontId="0" fillId="0" borderId="21" xfId="1" applyNumberFormat="1" applyFont="1" applyBorder="1"/>
    <xf numFmtId="10" fontId="1" fillId="0" borderId="19" xfId="1" applyNumberFormat="1" applyFont="1" applyBorder="1"/>
    <xf numFmtId="0" fontId="21" fillId="10" borderId="13" xfId="0" applyFont="1" applyFill="1" applyBorder="1" applyAlignment="1">
      <alignment horizontal="left" vertical="top" wrapText="1"/>
    </xf>
    <xf numFmtId="0" fontId="21" fillId="10" borderId="21" xfId="0" applyFont="1" applyFill="1" applyBorder="1" applyAlignment="1">
      <alignment horizontal="right" vertical="top"/>
    </xf>
    <xf numFmtId="0" fontId="21" fillId="10" borderId="22" xfId="0" applyFont="1" applyFill="1" applyBorder="1" applyAlignment="1">
      <alignment horizontal="right" vertical="top" wrapText="1"/>
    </xf>
    <xf numFmtId="0" fontId="10" fillId="0" borderId="13" xfId="0" applyFont="1" applyBorder="1"/>
    <xf numFmtId="0" fontId="0" fillId="10" borderId="13" xfId="0" applyFill="1" applyBorder="1"/>
    <xf numFmtId="0" fontId="2" fillId="10" borderId="13" xfId="0" applyFont="1" applyFill="1" applyBorder="1"/>
    <xf numFmtId="10" fontId="2" fillId="10" borderId="13" xfId="0" applyNumberFormat="1" applyFont="1" applyFill="1" applyBorder="1"/>
    <xf numFmtId="2" fontId="10" fillId="0" borderId="13" xfId="0" applyNumberFormat="1" applyFont="1" applyBorder="1"/>
    <xf numFmtId="0" fontId="2" fillId="10" borderId="2" xfId="0" applyFont="1" applyFill="1" applyBorder="1"/>
    <xf numFmtId="14" fontId="2" fillId="10" borderId="3" xfId="0" applyNumberFormat="1" applyFont="1" applyFill="1" applyBorder="1"/>
    <xf numFmtId="0" fontId="2" fillId="10" borderId="4" xfId="0" applyFont="1" applyFill="1" applyBorder="1"/>
    <xf numFmtId="0" fontId="2" fillId="10" borderId="5" xfId="0" applyFont="1" applyFill="1" applyBorder="1"/>
    <xf numFmtId="0" fontId="2" fillId="10" borderId="21" xfId="0" applyFont="1" applyFill="1" applyBorder="1"/>
    <xf numFmtId="0" fontId="2" fillId="10" borderId="0" xfId="0" applyFont="1" applyFill="1"/>
    <xf numFmtId="165" fontId="21" fillId="10" borderId="13" xfId="2" applyNumberFormat="1" applyFont="1" applyFill="1" applyBorder="1" applyAlignment="1">
      <alignment horizontal="right" vertical="top"/>
    </xf>
    <xf numFmtId="0" fontId="21" fillId="10" borderId="20" xfId="0" applyFont="1" applyFill="1" applyBorder="1" applyAlignment="1">
      <alignment horizontal="right" vertical="top"/>
    </xf>
    <xf numFmtId="165" fontId="21" fillId="10" borderId="22" xfId="2" applyNumberFormat="1" applyFont="1" applyFill="1" applyBorder="1" applyAlignment="1">
      <alignment horizontal="right" vertical="top"/>
    </xf>
    <xf numFmtId="0" fontId="21" fillId="10" borderId="2" xfId="0" applyFont="1" applyFill="1" applyBorder="1" applyAlignment="1">
      <alignment horizontal="right" vertical="top"/>
    </xf>
    <xf numFmtId="0" fontId="21" fillId="10" borderId="3" xfId="0" applyFont="1" applyFill="1" applyBorder="1" applyAlignment="1">
      <alignment horizontal="right" vertical="top"/>
    </xf>
    <xf numFmtId="165" fontId="21" fillId="10" borderId="4" xfId="2" applyNumberFormat="1" applyFont="1" applyFill="1" applyBorder="1" applyAlignment="1">
      <alignment horizontal="right" vertical="top"/>
    </xf>
    <xf numFmtId="0" fontId="0" fillId="0" borderId="3" xfId="0" applyBorder="1"/>
    <xf numFmtId="10" fontId="0" fillId="0" borderId="3" xfId="0" applyNumberFormat="1" applyBorder="1"/>
    <xf numFmtId="10" fontId="0" fillId="0" borderId="4" xfId="0" applyNumberFormat="1" applyBorder="1"/>
    <xf numFmtId="0" fontId="0" fillId="0" borderId="7" xfId="0" applyBorder="1" applyAlignment="1">
      <alignment wrapText="1"/>
    </xf>
    <xf numFmtId="165" fontId="0" fillId="0" borderId="8" xfId="2" applyNumberFormat="1" applyFont="1" applyBorder="1"/>
    <xf numFmtId="10" fontId="19" fillId="0" borderId="0" xfId="1" applyNumberFormat="1" applyFont="1" applyBorder="1"/>
    <xf numFmtId="173" fontId="19" fillId="0" borderId="0" xfId="0" applyNumberFormat="1" applyFont="1"/>
    <xf numFmtId="0" fontId="0" fillId="0" borderId="21" xfId="0" applyBorder="1" applyAlignment="1">
      <alignment wrapText="1"/>
    </xf>
    <xf numFmtId="10" fontId="20" fillId="0" borderId="20" xfId="1" applyNumberFormat="1" applyFont="1" applyBorder="1" applyAlignment="1">
      <alignment horizontal="right"/>
    </xf>
    <xf numFmtId="10" fontId="0" fillId="0" borderId="20" xfId="0" applyNumberFormat="1" applyBorder="1"/>
    <xf numFmtId="0" fontId="0" fillId="0" borderId="2" xfId="0" applyBorder="1" applyAlignment="1">
      <alignment wrapText="1"/>
    </xf>
    <xf numFmtId="165" fontId="0" fillId="0" borderId="3" xfId="0" applyNumberFormat="1" applyBorder="1"/>
    <xf numFmtId="165" fontId="0" fillId="0" borderId="4" xfId="0" applyNumberFormat="1" applyBorder="1"/>
    <xf numFmtId="10" fontId="0" fillId="0" borderId="6" xfId="0" applyNumberFormat="1" applyBorder="1"/>
    <xf numFmtId="173" fontId="20" fillId="0" borderId="3" xfId="0" applyNumberFormat="1" applyFont="1" applyBorder="1" applyAlignment="1">
      <alignment horizontal="right"/>
    </xf>
    <xf numFmtId="173" fontId="20" fillId="0" borderId="4" xfId="0" applyNumberFormat="1" applyFont="1" applyBorder="1" applyAlignment="1">
      <alignment horizontal="right"/>
    </xf>
    <xf numFmtId="0" fontId="19" fillId="0" borderId="5" xfId="0" applyFont="1" applyBorder="1"/>
    <xf numFmtId="173" fontId="19" fillId="0" borderId="6" xfId="0" applyNumberFormat="1" applyFont="1" applyBorder="1"/>
    <xf numFmtId="0" fontId="0" fillId="0" borderId="7" xfId="0" applyBorder="1"/>
    <xf numFmtId="173" fontId="0" fillId="0" borderId="3" xfId="0" applyNumberFormat="1" applyBorder="1"/>
    <xf numFmtId="173" fontId="0" fillId="0" borderId="4" xfId="0" applyNumberFormat="1" applyBorder="1"/>
    <xf numFmtId="0" fontId="0" fillId="0" borderId="5" xfId="0" applyBorder="1" applyAlignment="1">
      <alignment wrapText="1"/>
    </xf>
    <xf numFmtId="165" fontId="0" fillId="0" borderId="3" xfId="2" applyNumberFormat="1" applyFont="1" applyBorder="1"/>
    <xf numFmtId="165" fontId="0" fillId="0" borderId="4" xfId="2" applyNumberFormat="1" applyFont="1" applyBorder="1"/>
    <xf numFmtId="173" fontId="0" fillId="0" borderId="1" xfId="0" applyNumberFormat="1" applyBorder="1"/>
    <xf numFmtId="165" fontId="2" fillId="0" borderId="0" xfId="2" applyNumberFormat="1" applyFont="1" applyBorder="1"/>
    <xf numFmtId="0" fontId="21" fillId="10" borderId="22" xfId="0" applyFont="1" applyFill="1" applyBorder="1" applyAlignment="1">
      <alignment horizontal="right" vertical="top"/>
    </xf>
    <xf numFmtId="0" fontId="20" fillId="0" borderId="5" xfId="0" applyFont="1" applyBorder="1" applyAlignment="1">
      <alignment horizontal="left" wrapText="1"/>
    </xf>
    <xf numFmtId="0" fontId="21" fillId="0" borderId="5" xfId="0" applyFont="1" applyBorder="1" applyAlignment="1">
      <alignment horizontal="left" wrapText="1" indent="1"/>
    </xf>
    <xf numFmtId="165" fontId="2" fillId="0" borderId="6" xfId="2" applyNumberFormat="1" applyFont="1" applyBorder="1"/>
    <xf numFmtId="0" fontId="0" fillId="0" borderId="5" xfId="0" applyBorder="1" applyAlignment="1">
      <alignment horizontal="left" wrapText="1"/>
    </xf>
    <xf numFmtId="0" fontId="21" fillId="0" borderId="5" xfId="0" applyFont="1" applyBorder="1" applyAlignment="1">
      <alignment horizontal="left" wrapText="1" indent="2"/>
    </xf>
    <xf numFmtId="165" fontId="2" fillId="0" borderId="6" xfId="0" applyNumberFormat="1" applyFont="1" applyBorder="1"/>
    <xf numFmtId="0" fontId="21" fillId="0" borderId="21" xfId="0" applyFont="1" applyBorder="1" applyAlignment="1">
      <alignment horizontal="left" wrapText="1" indent="1"/>
    </xf>
    <xf numFmtId="165" fontId="2" fillId="0" borderId="22" xfId="2" applyNumberFormat="1" applyFont="1" applyBorder="1"/>
    <xf numFmtId="0" fontId="29" fillId="0" borderId="21" xfId="0" applyFont="1" applyBorder="1"/>
    <xf numFmtId="165" fontId="2" fillId="0" borderId="20" xfId="0" applyNumberFormat="1" applyFont="1" applyBorder="1"/>
    <xf numFmtId="165" fontId="2" fillId="0" borderId="22" xfId="0" applyNumberFormat="1" applyFont="1" applyBorder="1"/>
    <xf numFmtId="165" fontId="0" fillId="4" borderId="6" xfId="2" applyNumberFormat="1" applyFont="1" applyFill="1" applyBorder="1"/>
    <xf numFmtId="168" fontId="0" fillId="0" borderId="0" xfId="2" applyNumberFormat="1" applyFont="1" applyBorder="1"/>
    <xf numFmtId="168" fontId="0" fillId="0" borderId="6" xfId="2" applyNumberFormat="1" applyFont="1" applyBorder="1"/>
    <xf numFmtId="0" fontId="3" fillId="0" borderId="17" xfId="0" applyFont="1" applyBorder="1"/>
    <xf numFmtId="0" fontId="0" fillId="0" borderId="18" xfId="0" applyBorder="1" applyAlignment="1">
      <alignment wrapText="1"/>
    </xf>
    <xf numFmtId="0" fontId="9" fillId="0" borderId="17" xfId="0" applyFont="1" applyBorder="1" applyAlignment="1">
      <alignment horizontal="left" wrapText="1" indent="1"/>
    </xf>
    <xf numFmtId="0" fontId="9" fillId="0" borderId="18" xfId="0" applyFont="1" applyBorder="1" applyAlignment="1">
      <alignment horizontal="left" indent="1"/>
    </xf>
    <xf numFmtId="0" fontId="9" fillId="0" borderId="18" xfId="0" applyFont="1" applyBorder="1" applyAlignment="1">
      <alignment horizontal="left" wrapText="1" indent="1"/>
    </xf>
    <xf numFmtId="0" fontId="9" fillId="0" borderId="19" xfId="0" applyFont="1" applyBorder="1" applyAlignment="1">
      <alignment horizontal="left" indent="1"/>
    </xf>
    <xf numFmtId="0" fontId="0" fillId="0" borderId="18" xfId="0" applyBorder="1" applyAlignment="1">
      <alignment horizontal="left"/>
    </xf>
    <xf numFmtId="0" fontId="9" fillId="0" borderId="18" xfId="0" applyFont="1" applyBorder="1" applyAlignment="1">
      <alignment wrapText="1"/>
    </xf>
    <xf numFmtId="165" fontId="2" fillId="0" borderId="0" xfId="0" applyNumberFormat="1" applyFont="1"/>
    <xf numFmtId="165" fontId="0" fillId="0" borderId="0" xfId="2" applyNumberFormat="1" applyFont="1" applyFill="1" applyBorder="1"/>
    <xf numFmtId="10" fontId="2" fillId="0" borderId="1" xfId="0" applyNumberFormat="1" applyFont="1" applyBorder="1"/>
    <xf numFmtId="167" fontId="2" fillId="0" borderId="1" xfId="1" applyNumberFormat="1" applyFont="1" applyBorder="1"/>
    <xf numFmtId="167" fontId="2" fillId="0" borderId="1" xfId="1" applyNumberFormat="1" applyFont="1" applyFill="1" applyBorder="1"/>
    <xf numFmtId="9" fontId="26" fillId="0" borderId="20" xfId="1" applyFont="1" applyBorder="1"/>
    <xf numFmtId="10" fontId="26" fillId="0" borderId="20" xfId="1" applyNumberFormat="1" applyFont="1" applyBorder="1"/>
    <xf numFmtId="10" fontId="26" fillId="0" borderId="20" xfId="1" applyNumberFormat="1" applyFont="1" applyFill="1" applyBorder="1"/>
    <xf numFmtId="165" fontId="0" fillId="0" borderId="20" xfId="2" applyNumberFormat="1" applyFont="1" applyBorder="1"/>
    <xf numFmtId="165" fontId="0" fillId="0" borderId="20" xfId="0" applyNumberFormat="1" applyBorder="1"/>
    <xf numFmtId="10" fontId="26" fillId="0" borderId="0" xfId="1" applyNumberFormat="1" applyFont="1" applyBorder="1"/>
    <xf numFmtId="10" fontId="26" fillId="0" borderId="0" xfId="1" applyNumberFormat="1" applyFont="1" applyFill="1" applyBorder="1"/>
    <xf numFmtId="10" fontId="26" fillId="0" borderId="6" xfId="1" applyNumberFormat="1" applyFont="1" applyFill="1" applyBorder="1"/>
    <xf numFmtId="165" fontId="0" fillId="0" borderId="6" xfId="2" applyNumberFormat="1" applyFont="1" applyFill="1" applyBorder="1"/>
    <xf numFmtId="10" fontId="26" fillId="0" borderId="8" xfId="0" applyNumberFormat="1" applyFont="1" applyBorder="1"/>
    <xf numFmtId="165" fontId="0" fillId="0" borderId="6" xfId="0" applyNumberFormat="1" applyBorder="1"/>
    <xf numFmtId="10" fontId="2" fillId="0" borderId="8" xfId="0" applyNumberFormat="1" applyFont="1" applyBorder="1"/>
    <xf numFmtId="167" fontId="2" fillId="0" borderId="8" xfId="1" applyNumberFormat="1" applyFont="1" applyFill="1" applyBorder="1"/>
    <xf numFmtId="10" fontId="19" fillId="0" borderId="0" xfId="0" applyNumberFormat="1" applyFont="1"/>
    <xf numFmtId="165" fontId="0" fillId="0" borderId="22" xfId="0" applyNumberFormat="1" applyBorder="1"/>
    <xf numFmtId="10" fontId="26" fillId="0" borderId="22" xfId="1" applyNumberFormat="1" applyFont="1" applyFill="1" applyBorder="1"/>
    <xf numFmtId="10" fontId="19" fillId="0" borderId="6" xfId="0" applyNumberFormat="1" applyFont="1" applyBorder="1"/>
    <xf numFmtId="43" fontId="26" fillId="0" borderId="0" xfId="2" applyFont="1" applyBorder="1"/>
    <xf numFmtId="165" fontId="0" fillId="4" borderId="22" xfId="2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right" vertical="top"/>
    </xf>
    <xf numFmtId="173" fontId="33" fillId="0" borderId="0" xfId="0" applyNumberFormat="1" applyFont="1" applyAlignment="1">
      <alignment horizontal="right"/>
    </xf>
    <xf numFmtId="173" fontId="32" fillId="0" borderId="0" xfId="0" applyNumberFormat="1" applyFont="1" applyAlignment="1">
      <alignment horizontal="right"/>
    </xf>
    <xf numFmtId="165" fontId="34" fillId="0" borderId="0" xfId="2" applyNumberFormat="1" applyFont="1" applyFill="1" applyBorder="1"/>
    <xf numFmtId="165" fontId="35" fillId="0" borderId="0" xfId="2" applyNumberFormat="1" applyFont="1" applyFill="1" applyBorder="1"/>
    <xf numFmtId="0" fontId="21" fillId="10" borderId="20" xfId="0" applyFont="1" applyFill="1" applyBorder="1" applyAlignment="1">
      <alignment horizontal="left" vertical="top" wrapText="1"/>
    </xf>
    <xf numFmtId="0" fontId="32" fillId="0" borderId="0" xfId="2" applyNumberFormat="1" applyFont="1"/>
    <xf numFmtId="165" fontId="33" fillId="0" borderId="0" xfId="2" applyNumberFormat="1" applyFont="1"/>
    <xf numFmtId="0" fontId="2" fillId="0" borderId="19" xfId="0" applyFont="1" applyBorder="1"/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 wrapText="1" indent="1"/>
    </xf>
    <xf numFmtId="0" fontId="0" fillId="0" borderId="17" xfId="0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6" fillId="0" borderId="13" xfId="0" applyFont="1" applyBorder="1"/>
    <xf numFmtId="0" fontId="2" fillId="0" borderId="18" xfId="0" applyFont="1" applyBorder="1"/>
    <xf numFmtId="0" fontId="2" fillId="0" borderId="13" xfId="0" applyFont="1" applyBorder="1" applyAlignment="1">
      <alignment wrapText="1"/>
    </xf>
    <xf numFmtId="10" fontId="0" fillId="4" borderId="6" xfId="0" applyNumberFormat="1" applyFill="1" applyBorder="1"/>
    <xf numFmtId="165" fontId="19" fillId="0" borderId="6" xfId="2" applyNumberFormat="1" applyFont="1" applyBorder="1"/>
    <xf numFmtId="10" fontId="26" fillId="0" borderId="6" xfId="1" applyNumberFormat="1" applyFont="1" applyBorder="1"/>
    <xf numFmtId="10" fontId="26" fillId="0" borderId="0" xfId="0" applyNumberFormat="1" applyFont="1"/>
    <xf numFmtId="10" fontId="26" fillId="4" borderId="0" xfId="0" applyNumberFormat="1" applyFont="1" applyFill="1"/>
    <xf numFmtId="10" fontId="26" fillId="4" borderId="6" xfId="0" applyNumberFormat="1" applyFont="1" applyFill="1" applyBorder="1"/>
    <xf numFmtId="165" fontId="0" fillId="4" borderId="22" xfId="0" applyNumberFormat="1" applyFill="1" applyBorder="1"/>
    <xf numFmtId="0" fontId="2" fillId="10" borderId="21" xfId="3" applyFont="1" applyFill="1" applyBorder="1" applyAlignment="1">
      <alignment horizontal="center"/>
    </xf>
    <xf numFmtId="0" fontId="2" fillId="10" borderId="22" xfId="3" applyFont="1" applyFill="1" applyBorder="1" applyAlignment="1">
      <alignment horizontal="center"/>
    </xf>
    <xf numFmtId="0" fontId="2" fillId="10" borderId="20" xfId="3" applyFont="1" applyFill="1" applyBorder="1" applyAlignment="1">
      <alignment horizontal="center"/>
    </xf>
    <xf numFmtId="165" fontId="19" fillId="0" borderId="19" xfId="2" applyNumberFormat="1" applyFont="1" applyBorder="1"/>
    <xf numFmtId="0" fontId="2" fillId="10" borderId="20" xfId="0" applyFont="1" applyFill="1" applyBorder="1"/>
    <xf numFmtId="0" fontId="2" fillId="10" borderId="22" xfId="0" applyFont="1" applyFill="1" applyBorder="1"/>
    <xf numFmtId="0" fontId="22" fillId="0" borderId="0" xfId="0" applyFont="1" applyBorder="1"/>
    <xf numFmtId="0" fontId="0" fillId="0" borderId="0" xfId="0" applyBorder="1"/>
    <xf numFmtId="0" fontId="36" fillId="0" borderId="0" xfId="0" applyFont="1" applyAlignment="1">
      <alignment horizontal="left" wrapText="1" indent="1"/>
    </xf>
    <xf numFmtId="0" fontId="37" fillId="0" borderId="0" xfId="0" applyFont="1" applyAlignment="1">
      <alignment horizontal="left" wrapText="1" indent="3"/>
    </xf>
    <xf numFmtId="0" fontId="23" fillId="10" borderId="20" xfId="0" applyFont="1" applyFill="1" applyBorder="1" applyAlignment="1">
      <alignment horizontal="right" vertical="top"/>
    </xf>
    <xf numFmtId="0" fontId="23" fillId="10" borderId="20" xfId="0" applyNumberFormat="1" applyFont="1" applyFill="1" applyBorder="1" applyAlignment="1">
      <alignment horizontal="right" vertical="top"/>
    </xf>
    <xf numFmtId="0" fontId="38" fillId="0" borderId="0" xfId="0" applyFont="1"/>
    <xf numFmtId="165" fontId="38" fillId="0" borderId="0" xfId="2" applyNumberFormat="1" applyFont="1"/>
    <xf numFmtId="165" fontId="38" fillId="5" borderId="0" xfId="2" applyNumberFormat="1" applyFont="1" applyFill="1"/>
    <xf numFmtId="0" fontId="39" fillId="0" borderId="0" xfId="0" applyFont="1"/>
    <xf numFmtId="173" fontId="39" fillId="0" borderId="0" xfId="0" applyNumberFormat="1" applyFont="1" applyAlignment="1">
      <alignment horizontal="right"/>
    </xf>
    <xf numFmtId="173" fontId="40" fillId="0" borderId="23" xfId="0" applyNumberFormat="1" applyFont="1" applyBorder="1" applyAlignment="1">
      <alignment horizontal="right"/>
    </xf>
    <xf numFmtId="173" fontId="40" fillId="0" borderId="0" xfId="0" applyNumberFormat="1" applyFont="1" applyAlignment="1">
      <alignment horizontal="right"/>
    </xf>
    <xf numFmtId="173" fontId="39" fillId="0" borderId="0" xfId="0" applyNumberFormat="1" applyFont="1"/>
    <xf numFmtId="0" fontId="21" fillId="0" borderId="0" xfId="0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left" wrapText="1" indent="3"/>
    </xf>
    <xf numFmtId="0" fontId="21" fillId="10" borderId="20" xfId="0" applyNumberFormat="1" applyFont="1" applyFill="1" applyBorder="1" applyAlignment="1">
      <alignment horizontal="right" vertical="top"/>
    </xf>
    <xf numFmtId="0" fontId="42" fillId="0" borderId="0" xfId="0" applyNumberFormat="1" applyFont="1" applyFill="1" applyBorder="1" applyAlignment="1">
      <alignment horizontal="right" vertical="top"/>
    </xf>
    <xf numFmtId="172" fontId="42" fillId="0" borderId="0" xfId="0" applyNumberFormat="1" applyFont="1" applyBorder="1" applyAlignment="1">
      <alignment horizontal="right" vertical="top"/>
    </xf>
    <xf numFmtId="165" fontId="43" fillId="0" borderId="0" xfId="2" applyNumberFormat="1" applyFont="1" applyAlignment="1">
      <alignment horizontal="right"/>
    </xf>
    <xf numFmtId="165" fontId="43" fillId="5" borderId="0" xfId="2" applyNumberFormat="1" applyFont="1" applyFill="1" applyAlignment="1">
      <alignment horizontal="right"/>
    </xf>
    <xf numFmtId="0" fontId="0" fillId="0" borderId="0" xfId="0" applyFont="1"/>
    <xf numFmtId="0" fontId="44" fillId="0" borderId="0" xfId="0" applyFont="1" applyBorder="1" applyAlignment="1">
      <alignment horizontal="left" vertical="top"/>
    </xf>
    <xf numFmtId="0" fontId="44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10" fontId="0" fillId="0" borderId="13" xfId="2" applyNumberFormat="1" applyFont="1" applyBorder="1"/>
    <xf numFmtId="10" fontId="10" fillId="0" borderId="13" xfId="2" applyNumberFormat="1" applyFont="1" applyBorder="1"/>
    <xf numFmtId="0" fontId="0" fillId="0" borderId="21" xfId="0" applyBorder="1"/>
    <xf numFmtId="165" fontId="2" fillId="0" borderId="0" xfId="0" applyNumberFormat="1" applyFont="1" applyBorder="1"/>
    <xf numFmtId="0" fontId="45" fillId="0" borderId="5" xfId="0" applyFont="1" applyBorder="1" applyAlignment="1">
      <alignment horizontal="left" wrapText="1"/>
    </xf>
    <xf numFmtId="0" fontId="45" fillId="0" borderId="5" xfId="0" applyFont="1" applyBorder="1"/>
    <xf numFmtId="0" fontId="0" fillId="0" borderId="0" xfId="0"/>
    <xf numFmtId="0" fontId="0" fillId="10" borderId="22" xfId="0" applyFill="1" applyBorder="1"/>
    <xf numFmtId="0" fontId="2" fillId="0" borderId="0" xfId="0" applyFont="1" applyBorder="1"/>
    <xf numFmtId="0" fontId="0" fillId="10" borderId="4" xfId="0" applyFill="1" applyBorder="1"/>
    <xf numFmtId="0" fontId="2" fillId="0" borderId="7" xfId="0" applyFont="1" applyBorder="1"/>
    <xf numFmtId="0" fontId="2" fillId="10" borderId="17" xfId="0" applyFont="1" applyFill="1" applyBorder="1"/>
    <xf numFmtId="43" fontId="0" fillId="0" borderId="6" xfId="2" applyFont="1" applyBorder="1"/>
    <xf numFmtId="43" fontId="3" fillId="0" borderId="8" xfId="2" applyFont="1" applyBorder="1"/>
    <xf numFmtId="165" fontId="3" fillId="0" borderId="6" xfId="2" applyNumberFormat="1" applyFont="1" applyBorder="1" applyAlignment="1">
      <alignment horizontal="right"/>
    </xf>
    <xf numFmtId="165" fontId="3" fillId="0" borderId="8" xfId="2" applyNumberFormat="1" applyFont="1" applyBorder="1"/>
    <xf numFmtId="174" fontId="2" fillId="0" borderId="19" xfId="2" applyNumberFormat="1" applyFont="1" applyBorder="1"/>
    <xf numFmtId="43" fontId="0" fillId="0" borderId="17" xfId="2" applyFont="1" applyBorder="1"/>
    <xf numFmtId="43" fontId="0" fillId="0" borderId="19" xfId="2" applyFont="1" applyBorder="1"/>
    <xf numFmtId="165" fontId="2" fillId="0" borderId="19" xfId="2" applyNumberFormat="1" applyFont="1" applyBorder="1"/>
    <xf numFmtId="174" fontId="0" fillId="0" borderId="13" xfId="2" applyNumberFormat="1" applyFont="1" applyBorder="1"/>
    <xf numFmtId="174" fontId="2" fillId="0" borderId="13" xfId="2" applyNumberFormat="1" applyFont="1" applyBorder="1"/>
    <xf numFmtId="43" fontId="0" fillId="0" borderId="13" xfId="2" applyNumberFormat="1" applyFont="1" applyBorder="1"/>
    <xf numFmtId="174" fontId="0" fillId="0" borderId="6" xfId="2" applyNumberFormat="1" applyFont="1" applyBorder="1"/>
    <xf numFmtId="168" fontId="1" fillId="0" borderId="0" xfId="2" applyNumberFormat="1" applyFont="1"/>
    <xf numFmtId="2" fontId="0" fillId="0" borderId="0" xfId="0" applyNumberFormat="1" applyFont="1"/>
    <xf numFmtId="43" fontId="0" fillId="0" borderId="13" xfId="2" applyFont="1" applyFill="1" applyBorder="1"/>
    <xf numFmtId="168" fontId="0" fillId="0" borderId="13" xfId="2" applyNumberFormat="1" applyFont="1" applyFill="1" applyBorder="1"/>
    <xf numFmtId="43" fontId="0" fillId="0" borderId="13" xfId="2" applyNumberFormat="1" applyFont="1" applyFill="1" applyBorder="1"/>
    <xf numFmtId="0" fontId="44" fillId="0" borderId="1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right" vertical="top"/>
    </xf>
    <xf numFmtId="0" fontId="0" fillId="0" borderId="0" xfId="0" applyFill="1"/>
    <xf numFmtId="0" fontId="44" fillId="0" borderId="1" xfId="0" applyNumberFormat="1" applyFont="1" applyBorder="1" applyAlignment="1">
      <alignment horizontal="left" vertical="top"/>
    </xf>
    <xf numFmtId="0" fontId="21" fillId="10" borderId="17" xfId="0" applyFont="1" applyFill="1" applyBorder="1" applyAlignment="1">
      <alignment horizontal="center" vertical="top" wrapText="1"/>
    </xf>
    <xf numFmtId="0" fontId="21" fillId="10" borderId="13" xfId="0" applyFont="1" applyFill="1" applyBorder="1" applyAlignment="1">
      <alignment horizontal="center" vertical="top" wrapText="1"/>
    </xf>
    <xf numFmtId="0" fontId="21" fillId="10" borderId="13" xfId="0" applyFont="1" applyFill="1" applyBorder="1" applyAlignment="1">
      <alignment horizontal="right" vertical="top" wrapText="1"/>
    </xf>
    <xf numFmtId="0" fontId="0" fillId="0" borderId="13" xfId="0" applyFill="1" applyBorder="1"/>
    <xf numFmtId="0" fontId="23" fillId="0" borderId="1" xfId="0" applyFont="1" applyBorder="1" applyAlignment="1">
      <alignment horizontal="left" wrapText="1" indent="1"/>
    </xf>
    <xf numFmtId="173" fontId="23" fillId="0" borderId="1" xfId="0" applyNumberFormat="1" applyFont="1" applyBorder="1" applyAlignment="1">
      <alignment horizontal="right"/>
    </xf>
    <xf numFmtId="165" fontId="38" fillId="0" borderId="1" xfId="2" applyNumberFormat="1" applyFont="1" applyBorder="1"/>
    <xf numFmtId="0" fontId="38" fillId="0" borderId="0" xfId="0" applyFont="1" applyFill="1"/>
    <xf numFmtId="0" fontId="23" fillId="0" borderId="20" xfId="0" applyFont="1" applyFill="1" applyBorder="1" applyAlignment="1">
      <alignment horizontal="left" vertical="top"/>
    </xf>
    <xf numFmtId="0" fontId="23" fillId="0" borderId="20" xfId="0" applyNumberFormat="1" applyFont="1" applyFill="1" applyBorder="1" applyAlignment="1">
      <alignment horizontal="right" vertical="top"/>
    </xf>
    <xf numFmtId="165" fontId="2" fillId="10" borderId="13" xfId="2" applyNumberFormat="1" applyFont="1" applyFill="1" applyBorder="1"/>
    <xf numFmtId="167" fontId="2" fillId="10" borderId="13" xfId="1" applyNumberFormat="1" applyFont="1" applyFill="1" applyBorder="1"/>
    <xf numFmtId="43" fontId="2" fillId="10" borderId="13" xfId="2" applyFont="1" applyFill="1" applyBorder="1"/>
    <xf numFmtId="170" fontId="2" fillId="10" borderId="13" xfId="0" applyNumberFormat="1" applyFont="1" applyFill="1" applyBorder="1"/>
    <xf numFmtId="10" fontId="2" fillId="10" borderId="13" xfId="1" applyNumberFormat="1" applyFont="1" applyFill="1" applyBorder="1"/>
    <xf numFmtId="2" fontId="2" fillId="10" borderId="13" xfId="0" applyNumberFormat="1" applyFont="1" applyFill="1" applyBorder="1"/>
    <xf numFmtId="10" fontId="2" fillId="10" borderId="13" xfId="0" applyNumberFormat="1" applyFont="1" applyFill="1" applyBorder="1" applyAlignment="1">
      <alignment horizontal="center" wrapText="1"/>
    </xf>
    <xf numFmtId="2" fontId="2" fillId="10" borderId="13" xfId="0" applyNumberFormat="1" applyFont="1" applyFill="1" applyBorder="1" applyAlignment="1">
      <alignment wrapText="1"/>
    </xf>
    <xf numFmtId="0" fontId="11" fillId="10" borderId="14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0" borderId="16" xfId="0" applyFont="1" applyFill="1" applyBorder="1" applyAlignment="1">
      <alignment horizontal="center"/>
    </xf>
    <xf numFmtId="0" fontId="46" fillId="10" borderId="13" xfId="0" applyFont="1" applyFill="1" applyBorder="1"/>
    <xf numFmtId="0" fontId="46" fillId="10" borderId="13" xfId="0" applyFont="1" applyFill="1" applyBorder="1" applyAlignment="1">
      <alignment horizontal="center"/>
    </xf>
    <xf numFmtId="0" fontId="2" fillId="10" borderId="9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13" fillId="0" borderId="0" xfId="0" applyFont="1" applyBorder="1"/>
    <xf numFmtId="10" fontId="0" fillId="0" borderId="1" xfId="1" applyNumberFormat="1" applyFont="1" applyBorder="1"/>
    <xf numFmtId="43" fontId="0" fillId="4" borderId="4" xfId="0" applyNumberFormat="1" applyFill="1" applyBorder="1"/>
    <xf numFmtId="12" fontId="0" fillId="4" borderId="6" xfId="2" applyNumberFormat="1" applyFont="1" applyFill="1" applyBorder="1"/>
    <xf numFmtId="10" fontId="0" fillId="4" borderId="8" xfId="0" applyNumberFormat="1" applyFill="1" applyBorder="1"/>
    <xf numFmtId="10" fontId="0" fillId="0" borderId="20" xfId="1" applyNumberFormat="1" applyFont="1" applyBorder="1"/>
    <xf numFmtId="10" fontId="0" fillId="0" borderId="22" xfId="1" applyNumberFormat="1" applyFont="1" applyBorder="1"/>
    <xf numFmtId="43" fontId="26" fillId="0" borderId="22" xfId="2" applyFont="1" applyBorder="1"/>
    <xf numFmtId="165" fontId="0" fillId="0" borderId="22" xfId="2" applyNumberFormat="1" applyFont="1" applyBorder="1"/>
    <xf numFmtId="10" fontId="0" fillId="0" borderId="8" xfId="0" applyNumberFormat="1" applyBorder="1"/>
    <xf numFmtId="43" fontId="0" fillId="0" borderId="6" xfId="2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0" fontId="0" fillId="0" borderId="0" xfId="0" applyNumberFormat="1" applyBorder="1"/>
    <xf numFmtId="0" fontId="0" fillId="0" borderId="18" xfId="0" applyFill="1" applyBorder="1"/>
    <xf numFmtId="0" fontId="2" fillId="0" borderId="22" xfId="0" applyFont="1" applyBorder="1"/>
    <xf numFmtId="43" fontId="0" fillId="4" borderId="17" xfId="0" applyNumberFormat="1" applyFill="1" applyBorder="1"/>
    <xf numFmtId="12" fontId="0" fillId="4" borderId="18" xfId="2" applyNumberFormat="1" applyFont="1" applyFill="1" applyBorder="1"/>
    <xf numFmtId="9" fontId="0" fillId="4" borderId="19" xfId="0" applyNumberFormat="1" applyFill="1" applyBorder="1"/>
    <xf numFmtId="9" fontId="0" fillId="0" borderId="20" xfId="1" applyFont="1" applyBorder="1"/>
    <xf numFmtId="9" fontId="0" fillId="0" borderId="22" xfId="1" applyFont="1" applyBorder="1"/>
    <xf numFmtId="0" fontId="26" fillId="0" borderId="21" xfId="0" applyFont="1" applyBorder="1"/>
    <xf numFmtId="4" fontId="2" fillId="0" borderId="13" xfId="0" applyNumberFormat="1" applyFont="1" applyBorder="1"/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10" fontId="0" fillId="4" borderId="22" xfId="0" applyNumberFormat="1" applyFill="1" applyBorder="1"/>
    <xf numFmtId="10" fontId="20" fillId="0" borderId="13" xfId="1" applyNumberFormat="1" applyFont="1" applyFill="1" applyBorder="1" applyAlignment="1">
      <alignment horizontal="right"/>
    </xf>
    <xf numFmtId="0" fontId="6" fillId="10" borderId="13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2" fontId="2" fillId="10" borderId="20" xfId="0" applyNumberFormat="1" applyFont="1" applyFill="1" applyBorder="1"/>
    <xf numFmtId="14" fontId="0" fillId="0" borderId="2" xfId="0" applyNumberFormat="1" applyBorder="1"/>
    <xf numFmtId="2" fontId="0" fillId="0" borderId="3" xfId="0" applyNumberFormat="1" applyBorder="1"/>
    <xf numFmtId="2" fontId="5" fillId="0" borderId="4" xfId="2" applyNumberFormat="1" applyFont="1" applyBorder="1"/>
    <xf numFmtId="14" fontId="3" fillId="0" borderId="5" xfId="0" applyNumberFormat="1" applyFont="1" applyBorder="1"/>
    <xf numFmtId="2" fontId="0" fillId="0" borderId="0" xfId="0" applyNumberFormat="1" applyBorder="1"/>
    <xf numFmtId="2" fontId="7" fillId="0" borderId="0" xfId="0" applyNumberFormat="1" applyFont="1" applyBorder="1"/>
    <xf numFmtId="2" fontId="5" fillId="0" borderId="6" xfId="2" applyNumberFormat="1" applyFont="1" applyBorder="1"/>
    <xf numFmtId="2" fontId="3" fillId="0" borderId="0" xfId="0" applyNumberFormat="1" applyFont="1" applyBorder="1"/>
    <xf numFmtId="14" fontId="3" fillId="0" borderId="7" xfId="0" applyNumberFormat="1" applyFont="1" applyBorder="1"/>
    <xf numFmtId="2" fontId="0" fillId="0" borderId="1" xfId="0" applyNumberFormat="1" applyBorder="1"/>
    <xf numFmtId="2" fontId="3" fillId="0" borderId="1" xfId="0" applyNumberFormat="1" applyFont="1" applyBorder="1"/>
    <xf numFmtId="2" fontId="3" fillId="0" borderId="8" xfId="2" applyNumberFormat="1" applyFont="1" applyBorder="1"/>
    <xf numFmtId="10" fontId="0" fillId="0" borderId="2" xfId="1" applyNumberFormat="1" applyFont="1" applyBorder="1"/>
    <xf numFmtId="10" fontId="0" fillId="0" borderId="3" xfId="1" applyNumberFormat="1" applyFont="1" applyBorder="1"/>
    <xf numFmtId="10" fontId="0" fillId="0" borderId="4" xfId="1" applyNumberFormat="1" applyFont="1" applyBorder="1"/>
    <xf numFmtId="10" fontId="0" fillId="0" borderId="5" xfId="1" applyNumberFormat="1" applyFont="1" applyBorder="1"/>
    <xf numFmtId="10" fontId="0" fillId="0" borderId="7" xfId="1" applyNumberFormat="1" applyFont="1" applyBorder="1"/>
    <xf numFmtId="0" fontId="2" fillId="10" borderId="21" xfId="0" applyFont="1" applyFill="1" applyBorder="1" applyAlignment="1">
      <alignment horizontal="centerContinuous"/>
    </xf>
    <xf numFmtId="0" fontId="2" fillId="10" borderId="22" xfId="0" applyFont="1" applyFill="1" applyBorder="1" applyAlignment="1">
      <alignment horizontal="centerContinuous"/>
    </xf>
    <xf numFmtId="0" fontId="9" fillId="10" borderId="21" xfId="0" applyFont="1" applyFill="1" applyBorder="1" applyAlignment="1">
      <alignment horizontal="center"/>
    </xf>
    <xf numFmtId="0" fontId="9" fillId="10" borderId="20" xfId="0" applyFont="1" applyFill="1" applyBorder="1" applyAlignment="1">
      <alignment horizontal="center"/>
    </xf>
    <xf numFmtId="0" fontId="9" fillId="10" borderId="22" xfId="0" applyFont="1" applyFill="1" applyBorder="1" applyAlignment="1">
      <alignment horizontal="center"/>
    </xf>
    <xf numFmtId="171" fontId="0" fillId="0" borderId="0" xfId="0" applyNumberFormat="1" applyBorder="1"/>
    <xf numFmtId="171" fontId="0" fillId="0" borderId="6" xfId="0" applyNumberFormat="1" applyBorder="1"/>
    <xf numFmtId="171" fontId="0" fillId="0" borderId="1" xfId="0" applyNumberFormat="1" applyBorder="1"/>
    <xf numFmtId="171" fontId="0" fillId="0" borderId="8" xfId="0" applyNumberFormat="1" applyBorder="1"/>
    <xf numFmtId="168" fontId="2" fillId="0" borderId="1" xfId="2" applyNumberFormat="1" applyFont="1" applyBorder="1"/>
    <xf numFmtId="168" fontId="8" fillId="0" borderId="1" xfId="2" applyNumberFormat="1" applyFont="1" applyBorder="1"/>
    <xf numFmtId="168" fontId="0" fillId="0" borderId="1" xfId="2" applyNumberFormat="1" applyFont="1" applyBorder="1"/>
    <xf numFmtId="168" fontId="10" fillId="0" borderId="1" xfId="2" applyNumberFormat="1" applyFont="1" applyBorder="1"/>
    <xf numFmtId="168" fontId="0" fillId="0" borderId="8" xfId="2" applyNumberFormat="1" applyFont="1" applyBorder="1"/>
    <xf numFmtId="1" fontId="0" fillId="0" borderId="8" xfId="0" applyNumberFormat="1" applyBorder="1"/>
    <xf numFmtId="10" fontId="0" fillId="0" borderId="0" xfId="0" applyNumberFormat="1" applyBorder="1" applyAlignment="1">
      <alignment horizontal="right"/>
    </xf>
    <xf numFmtId="43" fontId="0" fillId="0" borderId="3" xfId="2" applyFont="1" applyBorder="1" applyAlignment="1">
      <alignment horizontal="right"/>
    </xf>
    <xf numFmtId="43" fontId="0" fillId="0" borderId="4" xfId="2" applyFon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43" fontId="0" fillId="0" borderId="1" xfId="2" applyFont="1" applyBorder="1" applyAlignment="1">
      <alignment horizontal="right"/>
    </xf>
    <xf numFmtId="43" fontId="0" fillId="0" borderId="8" xfId="2" applyFont="1" applyBorder="1" applyAlignment="1">
      <alignment horizontal="right"/>
    </xf>
    <xf numFmtId="43" fontId="2" fillId="0" borderId="20" xfId="0" applyNumberFormat="1" applyFont="1" applyBorder="1"/>
    <xf numFmtId="43" fontId="2" fillId="0" borderId="22" xfId="0" applyNumberFormat="1" applyFont="1" applyBorder="1"/>
    <xf numFmtId="43" fontId="2" fillId="0" borderId="0" xfId="0" applyNumberFormat="1" applyFont="1" applyBorder="1"/>
    <xf numFmtId="43" fontId="0" fillId="0" borderId="4" xfId="0" applyNumberFormat="1" applyBorder="1"/>
    <xf numFmtId="0" fontId="0" fillId="0" borderId="19" xfId="0" applyBorder="1" applyAlignment="1">
      <alignment wrapText="1"/>
    </xf>
    <xf numFmtId="10" fontId="8" fillId="0" borderId="18" xfId="0" applyNumberFormat="1" applyFont="1" applyBorder="1"/>
    <xf numFmtId="164" fontId="2" fillId="0" borderId="18" xfId="0" applyNumberFormat="1" applyFont="1" applyBorder="1"/>
    <xf numFmtId="10" fontId="0" fillId="3" borderId="17" xfId="0" applyNumberFormat="1" applyFill="1" applyBorder="1"/>
    <xf numFmtId="10" fontId="0" fillId="3" borderId="19" xfId="0" applyNumberFormat="1" applyFill="1" applyBorder="1"/>
    <xf numFmtId="10" fontId="0" fillId="3" borderId="18" xfId="0" applyNumberFormat="1" applyFill="1" applyBorder="1"/>
    <xf numFmtId="167" fontId="0" fillId="3" borderId="13" xfId="0" applyNumberFormat="1" applyFill="1" applyBorder="1"/>
    <xf numFmtId="43" fontId="0" fillId="3" borderId="13" xfId="0" applyNumberFormat="1" applyFill="1" applyBorder="1"/>
    <xf numFmtId="12" fontId="0" fillId="3" borderId="13" xfId="2" applyNumberFormat="1" applyFont="1" applyFill="1" applyBorder="1"/>
    <xf numFmtId="43" fontId="0" fillId="4" borderId="13" xfId="0" applyNumberFormat="1" applyFill="1" applyBorder="1"/>
    <xf numFmtId="0" fontId="2" fillId="3" borderId="13" xfId="0" applyFont="1" applyFill="1" applyBorder="1"/>
    <xf numFmtId="0" fontId="13" fillId="0" borderId="13" xfId="0" applyFont="1" applyBorder="1"/>
  </cellXfs>
  <cellStyles count="5">
    <cellStyle name="40 % – uthevingsfarge 1" xfId="4" builtinId="31"/>
    <cellStyle name="60 % – uthevingsfarge 3" xfId="3" builtinId="40"/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Månendlig avkastning; Tesla mot NASDAQ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339216466263243"/>
                  <c:y val="-0.1648778983272252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</a:t>
                    </a:r>
                    <a:r>
                      <a:rPr lang="en-US" b="1" baseline="0"/>
                      <a:t>1,6284</a:t>
                    </a:r>
                    <a:r>
                      <a:rPr lang="en-US" baseline="0"/>
                      <a:t>x + 0,0321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Regresjonsbeta!$F$7:$F$65</c:f>
              <c:numCache>
                <c:formatCode>0.00%</c:formatCode>
                <c:ptCount val="59"/>
                <c:pt idx="0">
                  <c:v>-1.375109892244445E-2</c:v>
                </c:pt>
                <c:pt idx="1">
                  <c:v>-3.9870623626798468E-2</c:v>
                </c:pt>
                <c:pt idx="2">
                  <c:v>3.7136479601526788E-3</c:v>
                </c:pt>
                <c:pt idx="3">
                  <c:v>5.4826457065779315E-2</c:v>
                </c:pt>
                <c:pt idx="4">
                  <c:v>1.0486916111847133E-2</c:v>
                </c:pt>
                <c:pt idx="5">
                  <c:v>2.7153164413134784E-2</c:v>
                </c:pt>
                <c:pt idx="6">
                  <c:v>5.8430747872643539E-2</c:v>
                </c:pt>
                <c:pt idx="7">
                  <c:v>-3.5142496946261432E-3</c:v>
                </c:pt>
                <c:pt idx="8">
                  <c:v>-8.6599411352120154E-2</c:v>
                </c:pt>
                <c:pt idx="9">
                  <c:v>-2.5964892135896061E-3</c:v>
                </c:pt>
                <c:pt idx="10">
                  <c:v>-8.9084632199406849E-2</c:v>
                </c:pt>
                <c:pt idx="11">
                  <c:v>9.1134857092303914E-2</c:v>
                </c:pt>
                <c:pt idx="12">
                  <c:v>2.76088630980303E-2</c:v>
                </c:pt>
                <c:pt idx="13">
                  <c:v>3.9625052659164627E-2</c:v>
                </c:pt>
                <c:pt idx="14">
                  <c:v>5.4574136339796415E-2</c:v>
                </c:pt>
                <c:pt idx="15">
                  <c:v>-8.3981669249729482E-2</c:v>
                </c:pt>
                <c:pt idx="16">
                  <c:v>7.6194310854718561E-2</c:v>
                </c:pt>
                <c:pt idx="17">
                  <c:v>2.316625972647884E-2</c:v>
                </c:pt>
                <c:pt idx="18">
                  <c:v>-2.0102487265536779E-2</c:v>
                </c:pt>
                <c:pt idx="19">
                  <c:v>7.5997919646339646E-3</c:v>
                </c:pt>
                <c:pt idx="20">
                  <c:v>4.3148868629386619E-2</c:v>
                </c:pt>
                <c:pt idx="21">
                  <c:v>3.9566641059992649E-2</c:v>
                </c:pt>
                <c:pt idx="22">
                  <c:v>-3.16646992746042E-3</c:v>
                </c:pt>
                <c:pt idx="23">
                  <c:v>7.3347841190296914E-2</c:v>
                </c:pt>
                <c:pt idx="24">
                  <c:v>-5.8908904066169117E-2</c:v>
                </c:pt>
                <c:pt idx="25">
                  <c:v>-7.6618178337310008E-2</c:v>
                </c:pt>
                <c:pt idx="26">
                  <c:v>0.15837972739489345</c:v>
                </c:pt>
                <c:pt idx="27">
                  <c:v>5.5741906971605394E-2</c:v>
                </c:pt>
                <c:pt idx="28">
                  <c:v>6.2930117879508377E-2</c:v>
                </c:pt>
                <c:pt idx="29">
                  <c:v>7.3746289449976993E-2</c:v>
                </c:pt>
                <c:pt idx="30">
                  <c:v>0.11047434961690406</c:v>
                </c:pt>
                <c:pt idx="31">
                  <c:v>-5.7192400108994623E-2</c:v>
                </c:pt>
                <c:pt idx="32">
                  <c:v>-3.197653541845101E-2</c:v>
                </c:pt>
                <c:pt idx="33">
                  <c:v>0.10995887975608312</c:v>
                </c:pt>
                <c:pt idx="34">
                  <c:v>5.0533406366968008E-2</c:v>
                </c:pt>
                <c:pt idx="35">
                  <c:v>2.8785842641530558E-3</c:v>
                </c:pt>
                <c:pt idx="36">
                  <c:v>-1.2332326012851221E-3</c:v>
                </c:pt>
                <c:pt idx="37">
                  <c:v>1.4098210301918596E-2</c:v>
                </c:pt>
                <c:pt idx="38">
                  <c:v>5.8765116748042974E-2</c:v>
                </c:pt>
                <c:pt idx="39">
                  <c:v>-1.257146072798317E-2</c:v>
                </c:pt>
                <c:pt idx="40">
                  <c:v>6.3441300959850178E-2</c:v>
                </c:pt>
                <c:pt idx="41">
                  <c:v>0.23395031192458862</c:v>
                </c:pt>
                <c:pt idx="42">
                  <c:v>-0.13237211788484352</c:v>
                </c:pt>
                <c:pt idx="43">
                  <c:v>-5.7300781453052133E-2</c:v>
                </c:pt>
                <c:pt idx="44">
                  <c:v>7.9025189215241681E-2</c:v>
                </c:pt>
                <c:pt idx="45">
                  <c:v>1.800892970366183E-2</c:v>
                </c:pt>
                <c:pt idx="46">
                  <c:v>1.1413046172762375E-2</c:v>
                </c:pt>
                <c:pt idx="47">
                  <c:v>-8.5172989348091477E-2</c:v>
                </c:pt>
                <c:pt idx="48">
                  <c:v>-4.6365551354483059E-2</c:v>
                </c:pt>
                <c:pt idx="49">
                  <c:v>4.21890726172073E-2</c:v>
                </c:pt>
                <c:pt idx="50">
                  <c:v>-0.13368543564742777</c:v>
                </c:pt>
                <c:pt idx="51">
                  <c:v>-1.6546348445716692E-2</c:v>
                </c:pt>
                <c:pt idx="52">
                  <c:v>-9.0046748562343362E-2</c:v>
                </c:pt>
                <c:pt idx="53">
                  <c:v>0.12554634500839729</c:v>
                </c:pt>
                <c:pt idx="54">
                  <c:v>-5.2204322376403309E-2</c:v>
                </c:pt>
                <c:pt idx="55">
                  <c:v>-0.10599794817972261</c:v>
                </c:pt>
                <c:pt idx="56">
                  <c:v>3.9589945329689895E-2</c:v>
                </c:pt>
                <c:pt idx="57">
                  <c:v>5.4753072402343748E-2</c:v>
                </c:pt>
                <c:pt idx="58">
                  <c:v>-9.0631301922018626E-2</c:v>
                </c:pt>
              </c:numCache>
            </c:numRef>
          </c:xVal>
          <c:yVal>
            <c:numRef>
              <c:f>Regresjonsbeta!$G$7:$G$65</c:f>
              <c:numCache>
                <c:formatCode>0.00%</c:formatCode>
                <c:ptCount val="59"/>
                <c:pt idx="0">
                  <c:v>-3.1751810911615663E-2</c:v>
                </c:pt>
                <c:pt idx="1">
                  <c:v>-0.22424761813149569</c:v>
                </c:pt>
                <c:pt idx="2">
                  <c:v>0.10434562056137968</c:v>
                </c:pt>
                <c:pt idx="3">
                  <c:v>-3.1199440625111645E-2</c:v>
                </c:pt>
                <c:pt idx="4">
                  <c:v>0.20447265830787059</c:v>
                </c:pt>
                <c:pt idx="5">
                  <c:v>-0.13065917868374197</c:v>
                </c:pt>
                <c:pt idx="6">
                  <c:v>1.1808210907627296E-2</c:v>
                </c:pt>
                <c:pt idx="7">
                  <c:v>-0.12229310764916199</c:v>
                </c:pt>
                <c:pt idx="8">
                  <c:v>0.27401381201384606</c:v>
                </c:pt>
                <c:pt idx="9">
                  <c:v>3.9011917467093642E-2</c:v>
                </c:pt>
                <c:pt idx="10">
                  <c:v>-5.0442322589481108E-2</c:v>
                </c:pt>
                <c:pt idx="11">
                  <c:v>-7.7465328327331176E-2</c:v>
                </c:pt>
                <c:pt idx="12">
                  <c:v>4.1884893492280563E-2</c:v>
                </c:pt>
                <c:pt idx="13">
                  <c:v>-0.12510961158811362</c:v>
                </c:pt>
                <c:pt idx="14">
                  <c:v>-0.14710595852561734</c:v>
                </c:pt>
                <c:pt idx="15">
                  <c:v>-0.2242674090506325</c:v>
                </c:pt>
                <c:pt idx="16">
                  <c:v>0.2068454309786131</c:v>
                </c:pt>
                <c:pt idx="17">
                  <c:v>8.122277191168864E-2</c:v>
                </c:pt>
                <c:pt idx="18">
                  <c:v>-6.6218422702749649E-2</c:v>
                </c:pt>
                <c:pt idx="19">
                  <c:v>6.763647968512107E-2</c:v>
                </c:pt>
                <c:pt idx="20">
                  <c:v>0.30742931871964141</c:v>
                </c:pt>
                <c:pt idx="21">
                  <c:v>4.7692989182984126E-2</c:v>
                </c:pt>
                <c:pt idx="22">
                  <c:v>0.26789870885615574</c:v>
                </c:pt>
                <c:pt idx="23">
                  <c:v>0.55516033375524854</c:v>
                </c:pt>
                <c:pt idx="24">
                  <c:v>2.677570933841188E-2</c:v>
                </c:pt>
                <c:pt idx="25">
                  <c:v>-0.21555620925746699</c:v>
                </c:pt>
                <c:pt idx="26">
                  <c:v>0.49213646538842487</c:v>
                </c:pt>
                <c:pt idx="27">
                  <c:v>6.7938087765273741E-2</c:v>
                </c:pt>
                <c:pt idx="28">
                  <c:v>0.29318605198439995</c:v>
                </c:pt>
                <c:pt idx="29">
                  <c:v>0.32500965446730967</c:v>
                </c:pt>
                <c:pt idx="30">
                  <c:v>0.74145244485448281</c:v>
                </c:pt>
                <c:pt idx="31">
                  <c:v>-0.13908770687756722</c:v>
                </c:pt>
                <c:pt idx="32">
                  <c:v>-9.5498495489264923E-2</c:v>
                </c:pt>
                <c:pt idx="33">
                  <c:v>0.46273542347814045</c:v>
                </c:pt>
                <c:pt idx="34">
                  <c:v>0.24325211416490491</c:v>
                </c:pt>
                <c:pt idx="35">
                  <c:v>0.12450594817775279</c:v>
                </c:pt>
                <c:pt idx="36">
                  <c:v>-0.14874069033306872</c:v>
                </c:pt>
                <c:pt idx="37">
                  <c:v>-1.1206368973018101E-2</c:v>
                </c:pt>
                <c:pt idx="38">
                  <c:v>6.2147390018024253E-2</c:v>
                </c:pt>
                <c:pt idx="39">
                  <c:v>-0.1187136332882273</c:v>
                </c:pt>
                <c:pt idx="40">
                  <c:v>8.7137355534805505E-2</c:v>
                </c:pt>
                <c:pt idx="41">
                  <c:v>1.1034283076146264E-2</c:v>
                </c:pt>
                <c:pt idx="42">
                  <c:v>7.0605666648913532E-2</c:v>
                </c:pt>
                <c:pt idx="43">
                  <c:v>5.4042162779318087E-2</c:v>
                </c:pt>
                <c:pt idx="44">
                  <c:v>0.4365296895509479</c:v>
                </c:pt>
                <c:pt idx="45">
                  <c:v>2.7612120970567325E-2</c:v>
                </c:pt>
                <c:pt idx="46">
                  <c:v>-7.6854375913619571E-2</c:v>
                </c:pt>
                <c:pt idx="47">
                  <c:v>-0.11360926588315444</c:v>
                </c:pt>
                <c:pt idx="48">
                  <c:v>-7.0768319241609007E-2</c:v>
                </c:pt>
                <c:pt idx="49">
                  <c:v>0.23800894247773419</c:v>
                </c:pt>
                <c:pt idx="50">
                  <c:v>-0.19194515590200437</c:v>
                </c:pt>
                <c:pt idx="51">
                  <c:v>-0.12919749749615259</c:v>
                </c:pt>
                <c:pt idx="52">
                  <c:v>-0.1118877577463875</c:v>
                </c:pt>
                <c:pt idx="53">
                  <c:v>0.32376545451062549</c:v>
                </c:pt>
                <c:pt idx="54">
                  <c:v>-7.2488642099949402E-2</c:v>
                </c:pt>
                <c:pt idx="55">
                  <c:v>-3.7589347266064416E-2</c:v>
                </c:pt>
                <c:pt idx="56">
                  <c:v>-0.14216776625824698</c:v>
                </c:pt>
                <c:pt idx="57">
                  <c:v>-0.14432627230377079</c:v>
                </c:pt>
                <c:pt idx="58">
                  <c:v>-0.36733436055469948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B1-394C-976A-0C04D80B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650111"/>
        <c:axId val="776774399"/>
      </c:scatterChart>
      <c:valAx>
        <c:axId val="543650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76774399"/>
        <c:crosses val="autoZero"/>
        <c:crossBetween val="midCat"/>
      </c:valAx>
      <c:valAx>
        <c:axId val="77677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36501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Månedlig</a:t>
            </a:r>
            <a:r>
              <a:rPr lang="nb-NO" baseline="0"/>
              <a:t> avkastning; </a:t>
            </a:r>
            <a:r>
              <a:rPr lang="nb-NO"/>
              <a:t>Tesla</a:t>
            </a:r>
            <a:r>
              <a:rPr lang="nb-NO" baseline="0"/>
              <a:t> mot S&amp;P 500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2045185381662356E-2"/>
                  <c:y val="-0.1913822146294524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</a:t>
                    </a:r>
                    <a:r>
                      <a:rPr lang="en-US" b="1" baseline="0"/>
                      <a:t>2,209</a:t>
                    </a:r>
                    <a:r>
                      <a:rPr lang="en-US" baseline="0"/>
                      <a:t>x + 0,0337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</c:trendlineLbl>
          </c:trendline>
          <c:xVal>
            <c:numRef>
              <c:f>Regresjonsbeta!$E$7:$E$65</c:f>
              <c:numCache>
                <c:formatCode>0.00%</c:formatCode>
                <c:ptCount val="59"/>
                <c:pt idx="0">
                  <c:v>-3.033909240805804E-2</c:v>
                </c:pt>
                <c:pt idx="1">
                  <c:v>-8.8349672477778499E-4</c:v>
                </c:pt>
                <c:pt idx="2">
                  <c:v>-1.818134728445257E-2</c:v>
                </c:pt>
                <c:pt idx="3">
                  <c:v>1.8035671890956791E-2</c:v>
                </c:pt>
                <c:pt idx="4">
                  <c:v>1.956697970379314E-2</c:v>
                </c:pt>
                <c:pt idx="5">
                  <c:v>1.4264708551926939E-2</c:v>
                </c:pt>
                <c:pt idx="6">
                  <c:v>2.2973611488953584E-2</c:v>
                </c:pt>
                <c:pt idx="7">
                  <c:v>1.5284377602508148E-2</c:v>
                </c:pt>
                <c:pt idx="8">
                  <c:v>-3.9993107013613638E-2</c:v>
                </c:pt>
                <c:pt idx="9">
                  <c:v>-2.2341013692531941E-2</c:v>
                </c:pt>
                <c:pt idx="10">
                  <c:v>-5.7255538459843665E-2</c:v>
                </c:pt>
                <c:pt idx="11">
                  <c:v>1.5611671360295379E-2</c:v>
                </c:pt>
                <c:pt idx="12">
                  <c:v>5.6558474182995359E-2</c:v>
                </c:pt>
                <c:pt idx="13">
                  <c:v>1.7830307166244341E-2</c:v>
                </c:pt>
                <c:pt idx="14">
                  <c:v>3.5599397998559247E-2</c:v>
                </c:pt>
                <c:pt idx="15">
                  <c:v>-5.2248777464012755E-2</c:v>
                </c:pt>
                <c:pt idx="16">
                  <c:v>5.017659370367146E-2</c:v>
                </c:pt>
                <c:pt idx="17">
                  <c:v>3.6655283253234257E-2</c:v>
                </c:pt>
                <c:pt idx="18">
                  <c:v>-3.2912676770879612E-2</c:v>
                </c:pt>
                <c:pt idx="19">
                  <c:v>2.9218291630716084E-2</c:v>
                </c:pt>
                <c:pt idx="20">
                  <c:v>-1.5022668133165284E-3</c:v>
                </c:pt>
                <c:pt idx="21">
                  <c:v>4.2724537223610415E-2</c:v>
                </c:pt>
                <c:pt idx="22">
                  <c:v>4.0477954201423499E-2</c:v>
                </c:pt>
                <c:pt idx="23">
                  <c:v>-1.714862346699343E-3</c:v>
                </c:pt>
                <c:pt idx="24">
                  <c:v>-8.3791208791208799E-2</c:v>
                </c:pt>
                <c:pt idx="25">
                  <c:v>-0.12529401213614405</c:v>
                </c:pt>
                <c:pt idx="26">
                  <c:v>0.12684410293315368</c:v>
                </c:pt>
                <c:pt idx="27">
                  <c:v>2.4652953032348558E-3</c:v>
                </c:pt>
                <c:pt idx="28">
                  <c:v>6.1884977788129181E-2</c:v>
                </c:pt>
                <c:pt idx="29">
                  <c:v>5.5101296975444213E-2</c:v>
                </c:pt>
                <c:pt idx="30">
                  <c:v>7.0064687324219249E-2</c:v>
                </c:pt>
                <c:pt idx="31">
                  <c:v>-3.9227954095494386E-2</c:v>
                </c:pt>
                <c:pt idx="32">
                  <c:v>1.6562592922985377E-2</c:v>
                </c:pt>
                <c:pt idx="33">
                  <c:v>5.9358820604323369E-2</c:v>
                </c:pt>
                <c:pt idx="34">
                  <c:v>3.7121406659432372E-2</c:v>
                </c:pt>
                <c:pt idx="35">
                  <c:v>1.0031761921369899E-2</c:v>
                </c:pt>
                <c:pt idx="36">
                  <c:v>2.3638879736408522E-2</c:v>
                </c:pt>
                <c:pt idx="37">
                  <c:v>2.3036336434543701E-2</c:v>
                </c:pt>
                <c:pt idx="38">
                  <c:v>5.2425312555847307E-2</c:v>
                </c:pt>
                <c:pt idx="39">
                  <c:v>-3.1857111765366416E-3</c:v>
                </c:pt>
                <c:pt idx="40">
                  <c:v>3.1107165564979455E-2</c:v>
                </c:pt>
                <c:pt idx="41">
                  <c:v>1.5406631762652714E-2</c:v>
                </c:pt>
                <c:pt idx="42">
                  <c:v>3.6430010243577199E-2</c:v>
                </c:pt>
                <c:pt idx="43">
                  <c:v>-4.7569140421166278E-2</c:v>
                </c:pt>
                <c:pt idx="44">
                  <c:v>3.5558578678317569E-2</c:v>
                </c:pt>
                <c:pt idx="45">
                  <c:v>2.3828045311172427E-2</c:v>
                </c:pt>
                <c:pt idx="46">
                  <c:v>4.3612874972629799E-2</c:v>
                </c:pt>
                <c:pt idx="47">
                  <c:v>-5.2585089106999758E-2</c:v>
                </c:pt>
                <c:pt idx="48">
                  <c:v>-3.136052086678269E-2</c:v>
                </c:pt>
                <c:pt idx="49">
                  <c:v>3.5773238773279988E-2</c:v>
                </c:pt>
                <c:pt idx="50">
                  <c:v>-3.0705830156652417E-2</c:v>
                </c:pt>
                <c:pt idx="51">
                  <c:v>-5.9014414865757411E-2</c:v>
                </c:pt>
                <c:pt idx="52">
                  <c:v>-8.391999322386641E-2</c:v>
                </c:pt>
                <c:pt idx="53">
                  <c:v>3.3378419075495699E-2</c:v>
                </c:pt>
                <c:pt idx="54">
                  <c:v>1.1061601899926627E-2</c:v>
                </c:pt>
                <c:pt idx="55">
                  <c:v>-9.3395701643489287E-2</c:v>
                </c:pt>
                <c:pt idx="56">
                  <c:v>7.9863454576893297E-2</c:v>
                </c:pt>
                <c:pt idx="57">
                  <c:v>5.375286029369989E-2</c:v>
                </c:pt>
                <c:pt idx="58">
                  <c:v>-4.1109185781755889E-2</c:v>
                </c:pt>
              </c:numCache>
            </c:numRef>
          </c:xVal>
          <c:yVal>
            <c:numRef>
              <c:f>Regresjonsbeta!$G$7:$G$65</c:f>
              <c:numCache>
                <c:formatCode>0.00%</c:formatCode>
                <c:ptCount val="59"/>
                <c:pt idx="0">
                  <c:v>-3.1751810911615663E-2</c:v>
                </c:pt>
                <c:pt idx="1">
                  <c:v>-0.22424761813149569</c:v>
                </c:pt>
                <c:pt idx="2">
                  <c:v>0.10434562056137968</c:v>
                </c:pt>
                <c:pt idx="3">
                  <c:v>-3.1199440625111645E-2</c:v>
                </c:pt>
                <c:pt idx="4">
                  <c:v>0.20447265830787059</c:v>
                </c:pt>
                <c:pt idx="5">
                  <c:v>-0.13065917868374197</c:v>
                </c:pt>
                <c:pt idx="6">
                  <c:v>1.1808210907627296E-2</c:v>
                </c:pt>
                <c:pt idx="7">
                  <c:v>-0.12229310764916199</c:v>
                </c:pt>
                <c:pt idx="8">
                  <c:v>0.27401381201384606</c:v>
                </c:pt>
                <c:pt idx="9">
                  <c:v>3.9011917467093642E-2</c:v>
                </c:pt>
                <c:pt idx="10">
                  <c:v>-5.0442322589481108E-2</c:v>
                </c:pt>
                <c:pt idx="11">
                  <c:v>-7.7465328327331176E-2</c:v>
                </c:pt>
                <c:pt idx="12">
                  <c:v>4.1884893492280563E-2</c:v>
                </c:pt>
                <c:pt idx="13">
                  <c:v>-0.12510961158811362</c:v>
                </c:pt>
                <c:pt idx="14">
                  <c:v>-0.14710595852561734</c:v>
                </c:pt>
                <c:pt idx="15">
                  <c:v>-0.2242674090506325</c:v>
                </c:pt>
                <c:pt idx="16">
                  <c:v>0.2068454309786131</c:v>
                </c:pt>
                <c:pt idx="17">
                  <c:v>8.122277191168864E-2</c:v>
                </c:pt>
                <c:pt idx="18">
                  <c:v>-6.6218422702749649E-2</c:v>
                </c:pt>
                <c:pt idx="19">
                  <c:v>6.763647968512107E-2</c:v>
                </c:pt>
                <c:pt idx="20">
                  <c:v>0.30742931871964141</c:v>
                </c:pt>
                <c:pt idx="21">
                  <c:v>4.7692989182984126E-2</c:v>
                </c:pt>
                <c:pt idx="22">
                  <c:v>0.26789870885615574</c:v>
                </c:pt>
                <c:pt idx="23">
                  <c:v>0.55516033375524854</c:v>
                </c:pt>
                <c:pt idx="24">
                  <c:v>2.677570933841188E-2</c:v>
                </c:pt>
                <c:pt idx="25">
                  <c:v>-0.21555620925746699</c:v>
                </c:pt>
                <c:pt idx="26">
                  <c:v>0.49213646538842487</c:v>
                </c:pt>
                <c:pt idx="27">
                  <c:v>6.7938087765273741E-2</c:v>
                </c:pt>
                <c:pt idx="28">
                  <c:v>0.29318605198439995</c:v>
                </c:pt>
                <c:pt idx="29">
                  <c:v>0.32500965446730967</c:v>
                </c:pt>
                <c:pt idx="30">
                  <c:v>0.74145244485448281</c:v>
                </c:pt>
                <c:pt idx="31">
                  <c:v>-0.13908770687756722</c:v>
                </c:pt>
                <c:pt idx="32">
                  <c:v>-9.5498495489264923E-2</c:v>
                </c:pt>
                <c:pt idx="33">
                  <c:v>0.46273542347814045</c:v>
                </c:pt>
                <c:pt idx="34">
                  <c:v>0.24325211416490491</c:v>
                </c:pt>
                <c:pt idx="35">
                  <c:v>0.12450594817775279</c:v>
                </c:pt>
                <c:pt idx="36">
                  <c:v>-0.14874069033306872</c:v>
                </c:pt>
                <c:pt idx="37">
                  <c:v>-1.1206368973018101E-2</c:v>
                </c:pt>
                <c:pt idx="38">
                  <c:v>6.2147390018024253E-2</c:v>
                </c:pt>
                <c:pt idx="39">
                  <c:v>-0.1187136332882273</c:v>
                </c:pt>
                <c:pt idx="40">
                  <c:v>8.7137355534805505E-2</c:v>
                </c:pt>
                <c:pt idx="41">
                  <c:v>1.1034283076146264E-2</c:v>
                </c:pt>
                <c:pt idx="42">
                  <c:v>7.0605666648913532E-2</c:v>
                </c:pt>
                <c:pt idx="43">
                  <c:v>5.4042162779318087E-2</c:v>
                </c:pt>
                <c:pt idx="44">
                  <c:v>0.4365296895509479</c:v>
                </c:pt>
                <c:pt idx="45">
                  <c:v>2.7612120970567325E-2</c:v>
                </c:pt>
                <c:pt idx="46">
                  <c:v>-7.6854375913619571E-2</c:v>
                </c:pt>
                <c:pt idx="47">
                  <c:v>-0.11360926588315444</c:v>
                </c:pt>
                <c:pt idx="48">
                  <c:v>-7.0768319241609007E-2</c:v>
                </c:pt>
                <c:pt idx="49">
                  <c:v>0.23800894247773419</c:v>
                </c:pt>
                <c:pt idx="50">
                  <c:v>-0.19194515590200437</c:v>
                </c:pt>
                <c:pt idx="51">
                  <c:v>-0.12919749749615259</c:v>
                </c:pt>
                <c:pt idx="52">
                  <c:v>-0.1118877577463875</c:v>
                </c:pt>
                <c:pt idx="53">
                  <c:v>0.32376545451062549</c:v>
                </c:pt>
                <c:pt idx="54">
                  <c:v>-7.2488642099949402E-2</c:v>
                </c:pt>
                <c:pt idx="55">
                  <c:v>-3.7589347266064416E-2</c:v>
                </c:pt>
                <c:pt idx="56">
                  <c:v>-0.14216776625824698</c:v>
                </c:pt>
                <c:pt idx="57">
                  <c:v>-0.14432627230377079</c:v>
                </c:pt>
                <c:pt idx="58">
                  <c:v>-0.36733436055469948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46-4F4F-BBFA-66143249D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958255"/>
        <c:axId val="538755391"/>
      </c:scatterChart>
      <c:valAx>
        <c:axId val="709958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S&amp;P 500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38755391"/>
        <c:crosses val="autoZero"/>
        <c:crossBetween val="midCat"/>
      </c:valAx>
      <c:valAx>
        <c:axId val="53875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Tesla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99582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825499</xdr:colOff>
      <xdr:row>6</xdr:row>
      <xdr:rowOff>977</xdr:rowOff>
    </xdr:from>
    <xdr:to>
      <xdr:col>13</xdr:col>
      <xdr:colOff>737576</xdr:colOff>
      <xdr:row>19</xdr:row>
      <xdr:rowOff>77177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48DAAA79-3F84-4422-7378-C2C0D48ED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24423</xdr:colOff>
      <xdr:row>28</xdr:row>
      <xdr:rowOff>137746</xdr:rowOff>
    </xdr:from>
    <xdr:to>
      <xdr:col>13</xdr:col>
      <xdr:colOff>766885</xdr:colOff>
      <xdr:row>42</xdr:row>
      <xdr:rowOff>8792</xdr:rowOff>
    </xdr:to>
    <xdr:graphicFrame macro="">
      <xdr:nvGraphicFramePr>
        <xdr:cNvPr id="2" name="Diagram 7">
          <a:extLst>
            <a:ext uri="{FF2B5EF4-FFF2-40B4-BE49-F238E27FC236}">
              <a16:creationId xmlns:a16="http://schemas.microsoft.com/office/drawing/2014/main" id="{9AB17E7F-86E0-3680-2497-E62952F31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enrik Grønhaug" id="{5DA6F69F-F4F8-3344-AE09-668B430C6AB0}" userId="S::672704@stud.hvl.no::db983e13-4eb9-452f-b3ce-f7b6ffb7be7a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3-04-24T20:13:21.77" personId="{5DA6F69F-F4F8-3344-AE09-668B430C6AB0}" id="{D80A88C1-2F73-434E-9793-FB9813AD3766}">
    <text>Cellen er satt til å endre seg når ASP endres i «input»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5F413-1880-9D4D-AF89-BE73C02F4A74}">
  <dimension ref="A4:E33"/>
  <sheetViews>
    <sheetView zoomScale="82" workbookViewId="0">
      <selection activeCell="I16" sqref="I16"/>
    </sheetView>
  </sheetViews>
  <sheetFormatPr baseColWidth="10" defaultRowHeight="16" x14ac:dyDescent="0.2"/>
  <cols>
    <col min="1" max="1" width="32.6640625" bestFit="1" customWidth="1"/>
    <col min="2" max="2" width="13.6640625" bestFit="1" customWidth="1"/>
  </cols>
  <sheetData>
    <row r="4" spans="1:3" ht="19" x14ac:dyDescent="0.25">
      <c r="A4" s="530" t="s">
        <v>412</v>
      </c>
      <c r="B4" s="529" t="s">
        <v>403</v>
      </c>
    </row>
    <row r="6" spans="1:3" x14ac:dyDescent="0.2">
      <c r="A6" s="20"/>
      <c r="B6" s="20" t="s">
        <v>407</v>
      </c>
      <c r="C6" s="20" t="s">
        <v>150</v>
      </c>
    </row>
    <row r="7" spans="1:3" x14ac:dyDescent="0.2">
      <c r="A7" s="20" t="s">
        <v>404</v>
      </c>
      <c r="B7" s="71">
        <v>0.4</v>
      </c>
      <c r="C7" s="71">
        <v>0.03</v>
      </c>
    </row>
    <row r="8" spans="1:3" x14ac:dyDescent="0.2">
      <c r="A8" s="20" t="s">
        <v>406</v>
      </c>
      <c r="B8" s="218">
        <v>0.18</v>
      </c>
      <c r="C8" s="218">
        <v>0.16</v>
      </c>
    </row>
    <row r="10" spans="1:3" x14ac:dyDescent="0.2">
      <c r="A10" s="20"/>
      <c r="B10" s="20" t="s">
        <v>556</v>
      </c>
      <c r="C10" s="20">
        <v>2022</v>
      </c>
    </row>
    <row r="11" spans="1:3" x14ac:dyDescent="0.2">
      <c r="A11" s="20" t="s">
        <v>405</v>
      </c>
      <c r="B11" s="70">
        <v>54319</v>
      </c>
      <c r="C11" s="70">
        <v>54319</v>
      </c>
    </row>
    <row r="14" spans="1:3" ht="19" x14ac:dyDescent="0.25">
      <c r="A14" s="85" t="s">
        <v>401</v>
      </c>
    </row>
    <row r="15" spans="1:3" x14ac:dyDescent="0.2">
      <c r="A15" s="20"/>
      <c r="B15" s="20" t="s">
        <v>150</v>
      </c>
    </row>
    <row r="16" spans="1:3" x14ac:dyDescent="0.2">
      <c r="A16" s="20" t="s">
        <v>363</v>
      </c>
      <c r="B16" s="71">
        <v>0.03</v>
      </c>
    </row>
    <row r="17" spans="1:5" x14ac:dyDescent="0.2">
      <c r="A17" s="20" t="s">
        <v>413</v>
      </c>
      <c r="B17" s="71">
        <f>'CAPM og WACC'!B23</f>
        <v>0.10038877212975061</v>
      </c>
    </row>
    <row r="18" spans="1:5" x14ac:dyDescent="0.2">
      <c r="D18" s="20" t="s">
        <v>402</v>
      </c>
    </row>
    <row r="19" spans="1:5" x14ac:dyDescent="0.2">
      <c r="A19" s="20" t="s">
        <v>398</v>
      </c>
      <c r="B19" s="525">
        <v>0.25</v>
      </c>
      <c r="D19" s="78">
        <f ca="1">'Vekst for fremtidsregnskap'!N35</f>
        <v>0.28482270297500767</v>
      </c>
      <c r="E19" t="s">
        <v>578</v>
      </c>
    </row>
    <row r="20" spans="1:5" x14ac:dyDescent="0.2">
      <c r="A20" s="20" t="s">
        <v>399</v>
      </c>
      <c r="B20" s="71">
        <f>D20</f>
        <v>7.3676132003069883E-2</v>
      </c>
      <c r="D20" s="78">
        <f>'Vekst for fremtidsregnskap'!N51</f>
        <v>7.3676132003069883E-2</v>
      </c>
    </row>
    <row r="21" spans="1:5" x14ac:dyDescent="0.2">
      <c r="A21" s="20" t="s">
        <v>400</v>
      </c>
      <c r="B21" s="71">
        <f>D21</f>
        <v>3.464127401083561E-2</v>
      </c>
      <c r="D21" s="78">
        <f>'Vekst for fremtidsregnskap'!N66</f>
        <v>3.464127401083561E-2</v>
      </c>
    </row>
    <row r="23" spans="1:5" x14ac:dyDescent="0.2">
      <c r="A23" s="143" t="s">
        <v>365</v>
      </c>
      <c r="B23" s="522">
        <f>D23</f>
        <v>3.7747661486337188E-2</v>
      </c>
      <c r="D23" s="78">
        <f>'Vekst for fremtidsregnskap'!F89</f>
        <v>3.7747661486337188E-2</v>
      </c>
      <c r="E23" t="s">
        <v>576</v>
      </c>
    </row>
    <row r="24" spans="1:5" x14ac:dyDescent="0.2">
      <c r="A24" s="145" t="s">
        <v>367</v>
      </c>
      <c r="B24" s="524">
        <f>D24</f>
        <v>4.8439763325231394E-2</v>
      </c>
      <c r="D24" s="78">
        <f>'Vekst for fremtidsregnskap'!F103</f>
        <v>4.8439763325231394E-2</v>
      </c>
    </row>
    <row r="25" spans="1:5" x14ac:dyDescent="0.2">
      <c r="A25" s="272" t="s">
        <v>337</v>
      </c>
      <c r="B25" s="523">
        <v>0.10580000000000001</v>
      </c>
      <c r="D25" s="78">
        <f>'Vekst for fremtidsregnskap'!B121</f>
        <v>8.2513302718857054E-2</v>
      </c>
    </row>
    <row r="27" spans="1:5" ht="19" x14ac:dyDescent="0.25">
      <c r="A27" s="85" t="s">
        <v>288</v>
      </c>
    </row>
    <row r="28" spans="1:5" x14ac:dyDescent="0.2">
      <c r="A28" s="20" t="s">
        <v>408</v>
      </c>
      <c r="B28" s="526">
        <f>D28</f>
        <v>5.4024628616106334</v>
      </c>
      <c r="D28" s="528">
        <f>'Vekst for fremtidsregnskap'!F157</f>
        <v>5.4024628616106334</v>
      </c>
    </row>
    <row r="29" spans="1:5" x14ac:dyDescent="0.2">
      <c r="A29" s="20" t="s">
        <v>409</v>
      </c>
      <c r="B29" s="527">
        <v>0.66666666666666663</v>
      </c>
    </row>
    <row r="31" spans="1:5" ht="19" x14ac:dyDescent="0.25">
      <c r="A31" s="85" t="s">
        <v>410</v>
      </c>
    </row>
    <row r="32" spans="1:5" x14ac:dyDescent="0.2">
      <c r="A32" s="20" t="s">
        <v>577</v>
      </c>
      <c r="B32" s="529" t="s">
        <v>45</v>
      </c>
    </row>
    <row r="33" spans="1:2" x14ac:dyDescent="0.2">
      <c r="A33" s="20" t="s">
        <v>411</v>
      </c>
      <c r="B33" s="71"/>
    </row>
  </sheetData>
  <dataValidations count="2">
    <dataValidation type="list" allowBlank="1" showInputMessage="1" showErrorMessage="1" sqref="B32" xr:uid="{65B5FD9C-3BA9-9D4E-8178-4C63361D71BC}">
      <formula1>"Markedsverdi,Bokverdi,Egendefinert"</formula1>
    </dataValidation>
    <dataValidation type="list" allowBlank="1" showInputMessage="1" showErrorMessage="1" sqref="B4" xr:uid="{0FC54065-C979-6D45-917F-108149320148}">
      <formula1>"Nei,Ja"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51C6-6559-BC4F-9322-7AA031090238}">
  <dimension ref="A2:X65"/>
  <sheetViews>
    <sheetView topLeftCell="B1" workbookViewId="0">
      <selection activeCell="M4" sqref="M4"/>
    </sheetView>
  </sheetViews>
  <sheetFormatPr baseColWidth="10" defaultRowHeight="16" x14ac:dyDescent="0.2"/>
  <cols>
    <col min="3" max="3" width="12" bestFit="1" customWidth="1"/>
    <col min="6" max="6" width="12.1640625" bestFit="1" customWidth="1"/>
    <col min="11" max="11" width="17.5" bestFit="1" customWidth="1"/>
    <col min="16" max="16" width="33.1640625" customWidth="1"/>
    <col min="21" max="21" width="13.33203125" bestFit="1" customWidth="1"/>
    <col min="22" max="22" width="13.5" bestFit="1" customWidth="1"/>
    <col min="23" max="23" width="14" bestFit="1" customWidth="1"/>
    <col min="24" max="24" width="13.83203125" bestFit="1" customWidth="1"/>
    <col min="27" max="27" width="10.83203125" bestFit="1" customWidth="1"/>
  </cols>
  <sheetData>
    <row r="2" spans="1:17" ht="19" x14ac:dyDescent="0.25">
      <c r="A2" s="85" t="s">
        <v>560</v>
      </c>
    </row>
    <row r="4" spans="1:17" ht="21" x14ac:dyDescent="0.25">
      <c r="A4" s="472" t="s">
        <v>33</v>
      </c>
      <c r="B4" s="472"/>
      <c r="C4" s="472"/>
      <c r="D4" s="472"/>
      <c r="E4" s="473" t="s">
        <v>35</v>
      </c>
      <c r="F4" s="474"/>
      <c r="G4" s="475"/>
    </row>
    <row r="5" spans="1:17" x14ac:dyDescent="0.2">
      <c r="A5" s="246" t="s">
        <v>2</v>
      </c>
      <c r="B5" s="358" t="s">
        <v>5</v>
      </c>
      <c r="C5" s="476" t="s">
        <v>7</v>
      </c>
      <c r="D5" s="359" t="s">
        <v>6</v>
      </c>
      <c r="E5" s="246" t="s">
        <v>5</v>
      </c>
      <c r="F5" s="476" t="s">
        <v>7</v>
      </c>
      <c r="G5" s="359" t="s">
        <v>6</v>
      </c>
    </row>
    <row r="6" spans="1:17" x14ac:dyDescent="0.2">
      <c r="A6" s="477">
        <v>43131</v>
      </c>
      <c r="B6" s="478">
        <v>2789.8</v>
      </c>
      <c r="C6" s="478">
        <v>6949.99</v>
      </c>
      <c r="D6" s="479">
        <v>23.620699999999999</v>
      </c>
      <c r="E6" s="489"/>
      <c r="F6" s="490"/>
      <c r="G6" s="491"/>
    </row>
    <row r="7" spans="1:17" x14ac:dyDescent="0.2">
      <c r="A7" s="480">
        <v>43159</v>
      </c>
      <c r="B7" s="481">
        <v>2705.16</v>
      </c>
      <c r="C7" s="482">
        <v>6854.42</v>
      </c>
      <c r="D7" s="483">
        <v>22.870699999999999</v>
      </c>
      <c r="E7" s="492">
        <f>(B7-B6)/B6</f>
        <v>-3.033909240805804E-2</v>
      </c>
      <c r="F7" s="193">
        <f>(C7-C6)/C6</f>
        <v>-1.375109892244445E-2</v>
      </c>
      <c r="G7" s="208">
        <f>(D7-D6)/D6</f>
        <v>-3.1751810911615663E-2</v>
      </c>
      <c r="P7" t="s">
        <v>571</v>
      </c>
    </row>
    <row r="8" spans="1:17" x14ac:dyDescent="0.2">
      <c r="A8" s="480">
        <v>43190</v>
      </c>
      <c r="B8" s="481">
        <v>2702.77</v>
      </c>
      <c r="C8" s="481">
        <v>6581.13</v>
      </c>
      <c r="D8" s="483">
        <v>17.742000000000001</v>
      </c>
      <c r="E8" s="492">
        <f>(B8-B7)/B7</f>
        <v>-8.8349672477778499E-4</v>
      </c>
      <c r="F8" s="193">
        <f>(C8-C7)/C7</f>
        <v>-3.9870623626798468E-2</v>
      </c>
      <c r="G8" s="208">
        <f>(D8-D7)/D7</f>
        <v>-0.22424761813149569</v>
      </c>
    </row>
    <row r="9" spans="1:17" x14ac:dyDescent="0.2">
      <c r="A9" s="480">
        <v>43220</v>
      </c>
      <c r="B9" s="481">
        <v>2653.63</v>
      </c>
      <c r="C9" s="481">
        <v>6605.57</v>
      </c>
      <c r="D9" s="483">
        <v>19.593299999999999</v>
      </c>
      <c r="E9" s="492">
        <f>(B9-B8)/B8</f>
        <v>-1.818134728445257E-2</v>
      </c>
      <c r="F9" s="193">
        <f>(C9-C8)/C8</f>
        <v>3.7136479601526788E-3</v>
      </c>
      <c r="G9" s="208">
        <f>(D9-D8)/D8</f>
        <v>0.10434562056137968</v>
      </c>
      <c r="P9" s="494" t="s">
        <v>10</v>
      </c>
      <c r="Q9" s="495"/>
    </row>
    <row r="10" spans="1:17" x14ac:dyDescent="0.2">
      <c r="A10" s="480">
        <v>43251</v>
      </c>
      <c r="B10" s="481">
        <v>2701.49</v>
      </c>
      <c r="C10" s="484">
        <v>6967.73</v>
      </c>
      <c r="D10" s="483">
        <v>18.981999999999999</v>
      </c>
      <c r="E10" s="492">
        <f>(B10-B9)/B9</f>
        <v>1.8035671890956791E-2</v>
      </c>
      <c r="F10" s="193">
        <f>(C10-C9)/C9</f>
        <v>5.4826457065779315E-2</v>
      </c>
      <c r="G10" s="208">
        <f>(D10-D9)/D9</f>
        <v>-3.1199440625111645E-2</v>
      </c>
      <c r="P10" s="145" t="s">
        <v>34</v>
      </c>
      <c r="Q10" s="500">
        <v>0.54125806749478922</v>
      </c>
    </row>
    <row r="11" spans="1:17" x14ac:dyDescent="0.2">
      <c r="A11" s="480">
        <v>43281</v>
      </c>
      <c r="B11" s="481">
        <v>2754.35</v>
      </c>
      <c r="C11" s="484">
        <v>7040.8</v>
      </c>
      <c r="D11" s="483">
        <v>22.863299999999999</v>
      </c>
      <c r="E11" s="492">
        <f>(B11-B10)/B10</f>
        <v>1.956697970379314E-2</v>
      </c>
      <c r="F11" s="193">
        <f>(C11-C10)/C10</f>
        <v>1.0486916111847133E-2</v>
      </c>
      <c r="G11" s="208">
        <f>(D11-D10)/D10</f>
        <v>0.20447265830787059</v>
      </c>
      <c r="P11" s="145" t="s">
        <v>11</v>
      </c>
      <c r="Q11" s="500">
        <v>0.29296029562819381</v>
      </c>
    </row>
    <row r="12" spans="1:17" x14ac:dyDescent="0.2">
      <c r="A12" s="480">
        <v>43312</v>
      </c>
      <c r="B12" s="481">
        <v>2793.64</v>
      </c>
      <c r="C12" s="484">
        <v>7231.98</v>
      </c>
      <c r="D12" s="483">
        <v>19.876000000000001</v>
      </c>
      <c r="E12" s="492">
        <f>(B12-B11)/B11</f>
        <v>1.4264708551926939E-2</v>
      </c>
      <c r="F12" s="193">
        <f>(C12-C11)/C11</f>
        <v>2.7153164413134784E-2</v>
      </c>
      <c r="G12" s="208">
        <f>(D12-D11)/D11</f>
        <v>-0.13065917868374197</v>
      </c>
      <c r="P12" s="145" t="s">
        <v>12</v>
      </c>
      <c r="Q12" s="500">
        <v>0.28055609028833761</v>
      </c>
    </row>
    <row r="13" spans="1:17" x14ac:dyDescent="0.2">
      <c r="A13" s="480">
        <v>43343</v>
      </c>
      <c r="B13" s="481">
        <v>2857.82</v>
      </c>
      <c r="C13" s="484">
        <v>7654.55</v>
      </c>
      <c r="D13" s="483">
        <v>20.110700000000001</v>
      </c>
      <c r="E13" s="492">
        <f>(B13-B12)/B12</f>
        <v>2.2973611488953584E-2</v>
      </c>
      <c r="F13" s="193">
        <f>(C13-C12)/C12</f>
        <v>5.8430747872643539E-2</v>
      </c>
      <c r="G13" s="208">
        <f>(D13-D12)/D12</f>
        <v>1.1808210907627296E-2</v>
      </c>
      <c r="P13" s="145" t="s">
        <v>13</v>
      </c>
      <c r="Q13" s="500">
        <v>0.18435448782880307</v>
      </c>
    </row>
    <row r="14" spans="1:17" x14ac:dyDescent="0.2">
      <c r="A14" s="480">
        <v>43373</v>
      </c>
      <c r="B14" s="481">
        <v>2901.5</v>
      </c>
      <c r="C14" s="484">
        <v>7627.65</v>
      </c>
      <c r="D14" s="483">
        <v>17.651299999999999</v>
      </c>
      <c r="E14" s="492">
        <f>(B14-B13)/B13</f>
        <v>1.5284377602508148E-2</v>
      </c>
      <c r="F14" s="193">
        <f>(C14-C13)/C13</f>
        <v>-3.5142496946261432E-3</v>
      </c>
      <c r="G14" s="208">
        <f>(D14-D13)/D13</f>
        <v>-0.12229310764916199</v>
      </c>
      <c r="P14" s="272" t="s">
        <v>14</v>
      </c>
      <c r="Q14" s="8">
        <v>59</v>
      </c>
    </row>
    <row r="15" spans="1:17" x14ac:dyDescent="0.2">
      <c r="A15" s="480">
        <v>43404</v>
      </c>
      <c r="B15" s="481">
        <v>2785.46</v>
      </c>
      <c r="C15" s="484">
        <v>6967.1</v>
      </c>
      <c r="D15" s="483">
        <v>22.488</v>
      </c>
      <c r="E15" s="492">
        <f>(B15-B14)/B14</f>
        <v>-3.9993107013613638E-2</v>
      </c>
      <c r="F15" s="193">
        <f>(C15-C14)/C14</f>
        <v>-8.6599411352120154E-2</v>
      </c>
      <c r="G15" s="208">
        <f>(D15-D14)/D14</f>
        <v>0.27401381201384606</v>
      </c>
    </row>
    <row r="16" spans="1:17" x14ac:dyDescent="0.2">
      <c r="A16" s="480">
        <v>43434</v>
      </c>
      <c r="B16" s="481">
        <v>2723.23</v>
      </c>
      <c r="C16" s="484">
        <v>6949.01</v>
      </c>
      <c r="D16" s="483">
        <v>23.365300000000001</v>
      </c>
      <c r="E16" s="492">
        <f>(B16-B15)/B15</f>
        <v>-2.2341013692531941E-2</v>
      </c>
      <c r="F16" s="193">
        <f>(C16-C15)/C15</f>
        <v>-2.5964892135896061E-3</v>
      </c>
      <c r="G16" s="208">
        <f>(D16-D15)/D15</f>
        <v>3.9011917467093642E-2</v>
      </c>
      <c r="P16" t="s">
        <v>15</v>
      </c>
    </row>
    <row r="17" spans="1:24" x14ac:dyDescent="0.2">
      <c r="A17" s="480">
        <v>43465</v>
      </c>
      <c r="B17" s="481">
        <v>2567.31</v>
      </c>
      <c r="C17" s="484">
        <v>6329.96</v>
      </c>
      <c r="D17" s="483">
        <v>22.186699999999998</v>
      </c>
      <c r="E17" s="492">
        <f>(B17-B16)/B16</f>
        <v>-5.7255538459843665E-2</v>
      </c>
      <c r="F17" s="193">
        <f>(C17-C16)/C16</f>
        <v>-8.9084632199406849E-2</v>
      </c>
      <c r="G17" s="208">
        <f>(D17-D16)/D16</f>
        <v>-5.0442322589481108E-2</v>
      </c>
      <c r="P17" s="496"/>
      <c r="Q17" s="497" t="s">
        <v>20</v>
      </c>
      <c r="R17" s="497" t="s">
        <v>21</v>
      </c>
      <c r="S17" s="497" t="s">
        <v>22</v>
      </c>
      <c r="T17" s="497" t="s">
        <v>23</v>
      </c>
      <c r="U17" s="498" t="s">
        <v>24</v>
      </c>
    </row>
    <row r="18" spans="1:24" x14ac:dyDescent="0.2">
      <c r="A18" s="480">
        <v>43496</v>
      </c>
      <c r="B18" s="481">
        <v>2607.39</v>
      </c>
      <c r="C18" s="484">
        <v>6906.84</v>
      </c>
      <c r="D18" s="483">
        <v>20.468</v>
      </c>
      <c r="E18" s="492">
        <f>(B18-B17)/B17</f>
        <v>1.5611671360295379E-2</v>
      </c>
      <c r="F18" s="193">
        <f>(C18-C17)/C17</f>
        <v>9.1134857092303914E-2</v>
      </c>
      <c r="G18" s="208">
        <f>(D18-D17)/D17</f>
        <v>-7.7465328327331176E-2</v>
      </c>
      <c r="P18" s="145" t="s">
        <v>16</v>
      </c>
      <c r="Q18" s="361">
        <v>1</v>
      </c>
      <c r="R18" s="499">
        <v>0.80268888058622356</v>
      </c>
      <c r="S18" s="499">
        <v>0.80268888058622356</v>
      </c>
      <c r="T18" s="499">
        <v>23.617820537594302</v>
      </c>
      <c r="U18" s="500">
        <v>9.5842967574486453E-6</v>
      </c>
    </row>
    <row r="19" spans="1:24" x14ac:dyDescent="0.2">
      <c r="A19" s="480">
        <v>43524</v>
      </c>
      <c r="B19" s="481">
        <v>2754.86</v>
      </c>
      <c r="C19" s="484">
        <v>7097.53</v>
      </c>
      <c r="D19" s="483">
        <v>21.325299999999999</v>
      </c>
      <c r="E19" s="492">
        <f>(B19-B18)/B18</f>
        <v>5.6558474182995359E-2</v>
      </c>
      <c r="F19" s="193">
        <f>(C19-C18)/C18</f>
        <v>2.76088630980303E-2</v>
      </c>
      <c r="G19" s="208">
        <f>(D19-D18)/D18</f>
        <v>4.1884893492280563E-2</v>
      </c>
      <c r="P19" s="145" t="s">
        <v>17</v>
      </c>
      <c r="Q19" s="361">
        <v>57</v>
      </c>
      <c r="R19" s="499">
        <v>1.9372348994093571</v>
      </c>
      <c r="S19" s="499">
        <v>3.3986577182620298E-2</v>
      </c>
      <c r="T19" s="499"/>
      <c r="U19" s="500"/>
    </row>
    <row r="20" spans="1:24" x14ac:dyDescent="0.2">
      <c r="A20" s="480">
        <v>43555</v>
      </c>
      <c r="B20" s="481">
        <v>2803.98</v>
      </c>
      <c r="C20" s="484">
        <v>7378.77</v>
      </c>
      <c r="D20" s="483">
        <v>18.657299999999999</v>
      </c>
      <c r="E20" s="492">
        <f>(B20-B19)/B19</f>
        <v>1.7830307166244341E-2</v>
      </c>
      <c r="F20" s="193">
        <f>(C20-C19)/C19</f>
        <v>3.9625052659164627E-2</v>
      </c>
      <c r="G20" s="208">
        <f>(D20-D19)/D19</f>
        <v>-0.12510961158811362</v>
      </c>
      <c r="P20" s="272" t="s">
        <v>18</v>
      </c>
      <c r="Q20" s="6">
        <v>58</v>
      </c>
      <c r="R20" s="501">
        <v>2.7399237799955807</v>
      </c>
      <c r="S20" s="501"/>
      <c r="T20" s="501"/>
      <c r="U20" s="502"/>
    </row>
    <row r="21" spans="1:24" x14ac:dyDescent="0.2">
      <c r="A21" s="480">
        <v>43585</v>
      </c>
      <c r="B21" s="481">
        <v>2903.8</v>
      </c>
      <c r="C21" s="484">
        <v>7781.46</v>
      </c>
      <c r="D21" s="483">
        <v>15.912699999999999</v>
      </c>
      <c r="E21" s="492">
        <f>(B21-B20)/B20</f>
        <v>3.5599397998559247E-2</v>
      </c>
      <c r="F21" s="193">
        <f>(C21-C20)/C20</f>
        <v>5.4574136339796415E-2</v>
      </c>
      <c r="G21" s="208">
        <f>(D21-D20)/D20</f>
        <v>-0.14710595852561734</v>
      </c>
    </row>
    <row r="22" spans="1:24" x14ac:dyDescent="0.2">
      <c r="A22" s="480">
        <v>43616</v>
      </c>
      <c r="B22" s="481">
        <v>2752.08</v>
      </c>
      <c r="C22" s="484">
        <v>7127.96</v>
      </c>
      <c r="D22" s="483">
        <v>12.343999999999999</v>
      </c>
      <c r="E22" s="492">
        <f>(B22-B21)/B21</f>
        <v>-5.2248777464012755E-2</v>
      </c>
      <c r="F22" s="193">
        <f>(C22-C21)/C21</f>
        <v>-8.3981669249729482E-2</v>
      </c>
      <c r="G22" s="208">
        <f>(D22-D21)/D21</f>
        <v>-0.2242674090506325</v>
      </c>
      <c r="P22" s="496"/>
      <c r="Q22" s="497" t="s">
        <v>25</v>
      </c>
      <c r="R22" s="497" t="s">
        <v>13</v>
      </c>
      <c r="S22" s="497" t="s">
        <v>26</v>
      </c>
      <c r="T22" s="497" t="s">
        <v>27</v>
      </c>
      <c r="U22" s="497" t="s">
        <v>28</v>
      </c>
      <c r="V22" s="497" t="s">
        <v>29</v>
      </c>
      <c r="W22" s="497" t="s">
        <v>30</v>
      </c>
      <c r="X22" s="498" t="s">
        <v>31</v>
      </c>
    </row>
    <row r="23" spans="1:24" x14ac:dyDescent="0.2">
      <c r="A23" s="480">
        <v>43646</v>
      </c>
      <c r="B23" s="481">
        <v>2890.17</v>
      </c>
      <c r="C23" s="484">
        <v>7671.07</v>
      </c>
      <c r="D23" s="483">
        <v>14.8973</v>
      </c>
      <c r="E23" s="492">
        <f>(B23-B22)/B22</f>
        <v>5.017659370367146E-2</v>
      </c>
      <c r="F23" s="193">
        <f>(C23-C22)/C22</f>
        <v>7.6194310854718561E-2</v>
      </c>
      <c r="G23" s="208">
        <f>(D23-D22)/D22</f>
        <v>0.2068454309786131</v>
      </c>
      <c r="P23" s="145" t="s">
        <v>19</v>
      </c>
      <c r="Q23" s="293">
        <v>3.2121695063646892E-2</v>
      </c>
      <c r="R23" s="293">
        <v>2.4245210665832177E-2</v>
      </c>
      <c r="S23" s="293">
        <v>1.3248676411343678</v>
      </c>
      <c r="T23" s="293">
        <v>0.19050201090907426</v>
      </c>
      <c r="U23" s="293">
        <v>-1.6428501847915951E-2</v>
      </c>
      <c r="V23" s="293">
        <v>8.0671891975209742E-2</v>
      </c>
      <c r="W23" s="293">
        <v>-1.6428501847915951E-2</v>
      </c>
      <c r="X23" s="294">
        <v>8.0671891975209742E-2</v>
      </c>
    </row>
    <row r="24" spans="1:24" x14ac:dyDescent="0.2">
      <c r="A24" s="480">
        <v>43677</v>
      </c>
      <c r="B24" s="481">
        <v>2996.11</v>
      </c>
      <c r="C24" s="484">
        <v>7848.78</v>
      </c>
      <c r="D24" s="483">
        <v>16.107299999999999</v>
      </c>
      <c r="E24" s="492">
        <f>(B24-B23)/B23</f>
        <v>3.6655283253234257E-2</v>
      </c>
      <c r="F24" s="193">
        <f>(C24-C23)/C23</f>
        <v>2.316625972647884E-2</v>
      </c>
      <c r="G24" s="208">
        <f>(D24-D23)/D23</f>
        <v>8.122277191168864E-2</v>
      </c>
      <c r="P24" s="272" t="s">
        <v>32</v>
      </c>
      <c r="Q24" s="503">
        <v>1.6284032969988849</v>
      </c>
      <c r="R24" s="504">
        <v>0.33507502903260467</v>
      </c>
      <c r="S24" s="505">
        <v>4.85981692428782</v>
      </c>
      <c r="T24" s="505">
        <v>9.5842967574485199E-6</v>
      </c>
      <c r="U24" s="505">
        <v>0.95742712509016281</v>
      </c>
      <c r="V24" s="506">
        <v>2.299379468907607</v>
      </c>
      <c r="W24" s="506">
        <v>0.95742712509016281</v>
      </c>
      <c r="X24" s="507">
        <v>2.299379468907607</v>
      </c>
    </row>
    <row r="25" spans="1:24" x14ac:dyDescent="0.2">
      <c r="A25" s="480">
        <v>43708</v>
      </c>
      <c r="B25" s="481">
        <v>2897.5</v>
      </c>
      <c r="C25" s="484">
        <v>7691</v>
      </c>
      <c r="D25" s="483">
        <v>15.040699999999999</v>
      </c>
      <c r="E25" s="492">
        <f>(B25-B24)/B24</f>
        <v>-3.2912676770879612E-2</v>
      </c>
      <c r="F25" s="193">
        <f>(C25-C24)/C24</f>
        <v>-2.0102487265536779E-2</v>
      </c>
      <c r="G25" s="208">
        <f>(D25-D24)/D24</f>
        <v>-6.6218422702749649E-2</v>
      </c>
    </row>
    <row r="26" spans="1:24" x14ac:dyDescent="0.2">
      <c r="A26" s="480">
        <v>43738</v>
      </c>
      <c r="B26" s="481">
        <v>2982.16</v>
      </c>
      <c r="C26" s="484">
        <v>7749.45</v>
      </c>
      <c r="D26" s="483">
        <v>16.058</v>
      </c>
      <c r="E26" s="492">
        <f>(B26-B25)/B25</f>
        <v>2.9218291630716084E-2</v>
      </c>
      <c r="F26" s="193">
        <f>(C26-C25)/C25</f>
        <v>7.5997919646339646E-3</v>
      </c>
      <c r="G26" s="208">
        <f>(D26-D25)/D25</f>
        <v>6.763647968512107E-2</v>
      </c>
    </row>
    <row r="27" spans="1:24" x14ac:dyDescent="0.2">
      <c r="A27" s="480">
        <v>43769</v>
      </c>
      <c r="B27" s="481">
        <v>2977.68</v>
      </c>
      <c r="C27" s="484">
        <v>8083.83</v>
      </c>
      <c r="D27" s="483">
        <v>20.994700000000002</v>
      </c>
      <c r="E27" s="492">
        <f>(B27-B26)/B26</f>
        <v>-1.5022668133165284E-3</v>
      </c>
      <c r="F27" s="193">
        <f>(C27-C26)/C26</f>
        <v>4.3148868629386619E-2</v>
      </c>
      <c r="G27" s="208">
        <f>(D27-D26)/D26</f>
        <v>0.30742931871964141</v>
      </c>
      <c r="U27" s="14">
        <f>V24-Q24</f>
        <v>0.67097617190872216</v>
      </c>
    </row>
    <row r="28" spans="1:24" x14ac:dyDescent="0.2">
      <c r="A28" s="480">
        <v>43799</v>
      </c>
      <c r="B28" s="481">
        <v>3104.9</v>
      </c>
      <c r="C28" s="484">
        <v>8403.68</v>
      </c>
      <c r="D28" s="483">
        <v>21.995999999999999</v>
      </c>
      <c r="E28" s="492">
        <f>(B28-B27)/B27</f>
        <v>4.2724537223610415E-2</v>
      </c>
      <c r="F28" s="193">
        <f>(C28-C27)/C27</f>
        <v>3.9566641059992649E-2</v>
      </c>
      <c r="G28" s="208">
        <f>(D28-D27)/D27</f>
        <v>4.7692989182984126E-2</v>
      </c>
      <c r="U28" s="14">
        <f>U27/R24</f>
        <v>2.0024654592910069</v>
      </c>
    </row>
    <row r="29" spans="1:24" x14ac:dyDescent="0.2">
      <c r="A29" s="480">
        <v>43830</v>
      </c>
      <c r="B29" s="481">
        <v>3230.58</v>
      </c>
      <c r="C29" s="484">
        <v>8377.07</v>
      </c>
      <c r="D29" s="483">
        <v>27.8887</v>
      </c>
      <c r="E29" s="492">
        <f>(B29-B28)/B28</f>
        <v>4.0477954201423499E-2</v>
      </c>
      <c r="F29" s="193">
        <f>(C29-C28)/C28</f>
        <v>-3.16646992746042E-3</v>
      </c>
      <c r="G29" s="208">
        <f>(D29-D28)/D28</f>
        <v>0.26789870885615574</v>
      </c>
    </row>
    <row r="30" spans="1:24" x14ac:dyDescent="0.2">
      <c r="A30" s="480">
        <v>43861</v>
      </c>
      <c r="B30" s="481">
        <v>3225.04</v>
      </c>
      <c r="C30" s="484">
        <v>8991.51</v>
      </c>
      <c r="D30" s="483">
        <v>43.371400000000001</v>
      </c>
      <c r="E30" s="492">
        <f>(B30-B29)/B29</f>
        <v>-1.714862346699343E-3</v>
      </c>
      <c r="F30" s="193">
        <f>(C30-C29)/C29</f>
        <v>7.3347841190296914E-2</v>
      </c>
      <c r="G30" s="208">
        <f>(D30-D29)/D29</f>
        <v>0.55516033375524854</v>
      </c>
      <c r="P30" t="s">
        <v>572</v>
      </c>
    </row>
    <row r="31" spans="1:24" x14ac:dyDescent="0.2">
      <c r="A31" s="480">
        <v>43890</v>
      </c>
      <c r="B31" s="481">
        <v>2954.81</v>
      </c>
      <c r="C31" s="484">
        <v>8461.83</v>
      </c>
      <c r="D31" s="483">
        <v>44.532699999999998</v>
      </c>
      <c r="E31" s="492">
        <f>(B31-B30)/B30</f>
        <v>-8.3791208791208799E-2</v>
      </c>
      <c r="F31" s="193">
        <f>(C31-C30)/C30</f>
        <v>-5.8908904066169117E-2</v>
      </c>
      <c r="G31" s="208">
        <f>(D31-D30)/D30</f>
        <v>2.677570933841188E-2</v>
      </c>
    </row>
    <row r="32" spans="1:24" x14ac:dyDescent="0.2">
      <c r="A32" s="480">
        <v>43921</v>
      </c>
      <c r="B32" s="481">
        <v>2584.59</v>
      </c>
      <c r="C32" s="484">
        <v>7813.5</v>
      </c>
      <c r="D32" s="483">
        <v>34.933399999999999</v>
      </c>
      <c r="E32" s="492">
        <f>(B32-B31)/B31</f>
        <v>-0.12529401213614405</v>
      </c>
      <c r="F32" s="193">
        <f>(C32-C31)/C31</f>
        <v>-7.6618178337310008E-2</v>
      </c>
      <c r="G32" s="208">
        <f>(D32-D31)/D31</f>
        <v>-0.21555620925746699</v>
      </c>
      <c r="P32" s="494" t="s">
        <v>10</v>
      </c>
      <c r="Q32" s="495"/>
    </row>
    <row r="33" spans="1:24" x14ac:dyDescent="0.2">
      <c r="A33" s="480">
        <v>43951</v>
      </c>
      <c r="B33" s="481">
        <v>2912.43</v>
      </c>
      <c r="C33" s="484">
        <v>9051</v>
      </c>
      <c r="D33" s="483">
        <v>52.125399999999999</v>
      </c>
      <c r="E33" s="492">
        <f>(B33-B32)/B32</f>
        <v>0.12684410293315368</v>
      </c>
      <c r="F33" s="193">
        <f>(C33-C32)/C32</f>
        <v>0.15837972739489345</v>
      </c>
      <c r="G33" s="208">
        <f>(D33-D32)/D32</f>
        <v>0.49213646538842487</v>
      </c>
      <c r="P33" s="145" t="s">
        <v>34</v>
      </c>
      <c r="Q33" s="500">
        <v>0.48069338911191123</v>
      </c>
    </row>
    <row r="34" spans="1:24" x14ac:dyDescent="0.2">
      <c r="A34" s="480">
        <v>43982</v>
      </c>
      <c r="B34" s="481">
        <v>2919.61</v>
      </c>
      <c r="C34" s="484">
        <v>9555.52</v>
      </c>
      <c r="D34" s="483">
        <v>55.666699999999999</v>
      </c>
      <c r="E34" s="492">
        <f>(B34-B33)/B33</f>
        <v>2.4652953032348558E-3</v>
      </c>
      <c r="F34" s="193">
        <f>(C34-C33)/C33</f>
        <v>5.5741906971605394E-2</v>
      </c>
      <c r="G34" s="208">
        <f>(D34-D33)/D33</f>
        <v>6.7938087765273741E-2</v>
      </c>
      <c r="P34" s="145" t="s">
        <v>11</v>
      </c>
      <c r="Q34" s="500">
        <v>0.23106613433589532</v>
      </c>
    </row>
    <row r="35" spans="1:24" x14ac:dyDescent="0.2">
      <c r="A35" s="480">
        <v>44012</v>
      </c>
      <c r="B35" s="481">
        <v>3100.29</v>
      </c>
      <c r="C35" s="484">
        <v>10156.85</v>
      </c>
      <c r="D35" s="483">
        <v>71.987399999999994</v>
      </c>
      <c r="E35" s="492">
        <f>(B35-B34)/B34</f>
        <v>6.1884977788129181E-2</v>
      </c>
      <c r="F35" s="193">
        <f>(C35-C34)/C34</f>
        <v>6.2930117879508377E-2</v>
      </c>
      <c r="G35" s="208">
        <f>(D35-D34)/D34</f>
        <v>0.29318605198439995</v>
      </c>
      <c r="P35" s="145" t="s">
        <v>12</v>
      </c>
      <c r="Q35" s="500">
        <v>0.21757606651722683</v>
      </c>
    </row>
    <row r="36" spans="1:24" x14ac:dyDescent="0.2">
      <c r="A36" s="480">
        <v>44043</v>
      </c>
      <c r="B36" s="481">
        <v>3271.12</v>
      </c>
      <c r="C36" s="484">
        <v>10905.88</v>
      </c>
      <c r="D36" s="483">
        <v>95.384</v>
      </c>
      <c r="E36" s="492">
        <f>(B36-B35)/B35</f>
        <v>5.5101296975444213E-2</v>
      </c>
      <c r="F36" s="193">
        <f>(C36-C35)/C35</f>
        <v>7.3746289449976993E-2</v>
      </c>
      <c r="G36" s="208">
        <f>(D36-D35)/D35</f>
        <v>0.32500965446730967</v>
      </c>
      <c r="P36" s="145" t="s">
        <v>13</v>
      </c>
      <c r="Q36" s="500">
        <v>0.19225440855835516</v>
      </c>
    </row>
    <row r="37" spans="1:24" x14ac:dyDescent="0.2">
      <c r="A37" s="480">
        <v>44074</v>
      </c>
      <c r="B37" s="481">
        <v>3500.31</v>
      </c>
      <c r="C37" s="484">
        <v>12110.7</v>
      </c>
      <c r="D37" s="483">
        <v>166.10669999999999</v>
      </c>
      <c r="E37" s="492">
        <f>(B37-B36)/B36</f>
        <v>7.0064687324219249E-2</v>
      </c>
      <c r="F37" s="193">
        <f>(C37-C36)/C36</f>
        <v>0.11047434961690406</v>
      </c>
      <c r="G37" s="208">
        <f>(D37-D36)/D36</f>
        <v>0.74145244485448281</v>
      </c>
      <c r="P37" s="272" t="s">
        <v>14</v>
      </c>
      <c r="Q37" s="508">
        <v>59</v>
      </c>
    </row>
    <row r="38" spans="1:24" x14ac:dyDescent="0.2">
      <c r="A38" s="480">
        <v>44104</v>
      </c>
      <c r="B38" s="481">
        <v>3363</v>
      </c>
      <c r="C38" s="484">
        <v>11418.06</v>
      </c>
      <c r="D38" s="483">
        <v>143.0033</v>
      </c>
      <c r="E38" s="492">
        <f>(B38-B37)/B37</f>
        <v>-3.9227954095494386E-2</v>
      </c>
      <c r="F38" s="193">
        <f>(C38-C37)/C37</f>
        <v>-5.7192400108994623E-2</v>
      </c>
      <c r="G38" s="208">
        <f>(D38-D37)/D37</f>
        <v>-0.13908770687756722</v>
      </c>
    </row>
    <row r="39" spans="1:24" x14ac:dyDescent="0.2">
      <c r="A39" s="480">
        <v>44135</v>
      </c>
      <c r="B39" s="481">
        <v>3418.7</v>
      </c>
      <c r="C39" s="484">
        <v>11052.95</v>
      </c>
      <c r="D39" s="483">
        <v>129.3467</v>
      </c>
      <c r="E39" s="492">
        <f>(B39-B38)/B38</f>
        <v>1.6562592922985377E-2</v>
      </c>
      <c r="F39" s="193">
        <f>(C39-C38)/C38</f>
        <v>-3.197653541845101E-2</v>
      </c>
      <c r="G39" s="208">
        <f>(D39-D38)/D38</f>
        <v>-9.5498495489264923E-2</v>
      </c>
      <c r="P39" t="s">
        <v>15</v>
      </c>
    </row>
    <row r="40" spans="1:24" x14ac:dyDescent="0.2">
      <c r="A40" s="480">
        <v>44165</v>
      </c>
      <c r="B40" s="481">
        <v>3621.63</v>
      </c>
      <c r="C40" s="484">
        <v>12268.32</v>
      </c>
      <c r="D40" s="483">
        <v>189.2</v>
      </c>
      <c r="E40" s="492">
        <f>(B40-B39)/B39</f>
        <v>5.9358820604323369E-2</v>
      </c>
      <c r="F40" s="193">
        <f>(C40-C39)/C39</f>
        <v>0.10995887975608312</v>
      </c>
      <c r="G40" s="208">
        <f>(D40-D39)/D39</f>
        <v>0.46273542347814045</v>
      </c>
      <c r="P40" s="496"/>
      <c r="Q40" s="497" t="s">
        <v>20</v>
      </c>
      <c r="R40" s="497" t="s">
        <v>21</v>
      </c>
      <c r="S40" s="497" t="s">
        <v>22</v>
      </c>
      <c r="T40" s="497" t="s">
        <v>23</v>
      </c>
      <c r="U40" s="498" t="s">
        <v>24</v>
      </c>
    </row>
    <row r="41" spans="1:24" x14ac:dyDescent="0.2">
      <c r="A41" s="480">
        <v>44196</v>
      </c>
      <c r="B41" s="481">
        <v>3756.07</v>
      </c>
      <c r="C41" s="484">
        <v>12888.28</v>
      </c>
      <c r="D41" s="483">
        <v>235.22329999999999</v>
      </c>
      <c r="E41" s="492">
        <f>(B41-B40)/B40</f>
        <v>3.7121406659432372E-2</v>
      </c>
      <c r="F41" s="193">
        <f>(C41-C40)/C40</f>
        <v>5.0533406366968008E-2</v>
      </c>
      <c r="G41" s="208">
        <f>(D41-D40)/D40</f>
        <v>0.24325211416490491</v>
      </c>
      <c r="P41" s="145" t="s">
        <v>16</v>
      </c>
      <c r="Q41" s="361">
        <v>1</v>
      </c>
      <c r="R41" s="361">
        <v>0.63310359621857293</v>
      </c>
      <c r="S41" s="361">
        <v>0.63310359621857293</v>
      </c>
      <c r="T41" s="361">
        <v>17.128611763992009</v>
      </c>
      <c r="U41" s="7">
        <v>1.1647921100858428E-4</v>
      </c>
    </row>
    <row r="42" spans="1:24" x14ac:dyDescent="0.2">
      <c r="A42" s="480">
        <v>44227</v>
      </c>
      <c r="B42" s="481">
        <v>3793.75</v>
      </c>
      <c r="C42" s="484">
        <v>12925.38</v>
      </c>
      <c r="D42" s="483">
        <v>264.51</v>
      </c>
      <c r="E42" s="492">
        <f>(B42-B41)/B41</f>
        <v>1.0031761921369899E-2</v>
      </c>
      <c r="F42" s="193">
        <f>(C42-C41)/C41</f>
        <v>2.8785842641530558E-3</v>
      </c>
      <c r="G42" s="208">
        <f>(D42-D41)/D41</f>
        <v>0.12450594817775279</v>
      </c>
      <c r="P42" s="145" t="s">
        <v>17</v>
      </c>
      <c r="Q42" s="361">
        <v>57</v>
      </c>
      <c r="R42" s="361">
        <v>2.1068201837770077</v>
      </c>
      <c r="S42" s="361">
        <v>3.6961757610122943E-2</v>
      </c>
      <c r="T42" s="361"/>
      <c r="U42" s="7"/>
    </row>
    <row r="43" spans="1:24" x14ac:dyDescent="0.2">
      <c r="A43" s="480">
        <v>44255</v>
      </c>
      <c r="B43" s="481">
        <v>3883.43</v>
      </c>
      <c r="C43" s="484">
        <v>12909.44</v>
      </c>
      <c r="D43" s="483">
        <v>225.16659999999999</v>
      </c>
      <c r="E43" s="492">
        <f>(B43-B42)/B42</f>
        <v>2.3638879736408522E-2</v>
      </c>
      <c r="F43" s="193">
        <f>(C43-C42)/C42</f>
        <v>-1.2332326012851221E-3</v>
      </c>
      <c r="G43" s="208">
        <f>(D43-D42)/D42</f>
        <v>-0.14874069033306872</v>
      </c>
      <c r="P43" s="272" t="s">
        <v>18</v>
      </c>
      <c r="Q43" s="6">
        <v>58</v>
      </c>
      <c r="R43" s="6">
        <v>2.7399237799955807</v>
      </c>
      <c r="S43" s="6"/>
      <c r="T43" s="6"/>
      <c r="U43" s="8"/>
    </row>
    <row r="44" spans="1:24" x14ac:dyDescent="0.2">
      <c r="A44" s="480">
        <v>44286</v>
      </c>
      <c r="B44" s="481">
        <v>3972.89</v>
      </c>
      <c r="C44" s="484">
        <v>13091.44</v>
      </c>
      <c r="D44" s="483">
        <v>222.64330000000001</v>
      </c>
      <c r="E44" s="492">
        <f>(B44-B43)/B43</f>
        <v>2.3036336434543701E-2</v>
      </c>
      <c r="F44" s="193">
        <f>(C44-C43)/C43</f>
        <v>1.4098210301918596E-2</v>
      </c>
      <c r="G44" s="208">
        <f>(D44-D43)/D43</f>
        <v>-1.1206368973018101E-2</v>
      </c>
    </row>
    <row r="45" spans="1:24" x14ac:dyDescent="0.2">
      <c r="A45" s="480">
        <v>44316</v>
      </c>
      <c r="B45" s="481">
        <v>4181.17</v>
      </c>
      <c r="C45" s="484">
        <v>13860.76</v>
      </c>
      <c r="D45" s="483">
        <v>236.48</v>
      </c>
      <c r="E45" s="492">
        <f>(B45-B44)/B44</f>
        <v>5.2425312555847307E-2</v>
      </c>
      <c r="F45" s="193">
        <f>(C45-C44)/C44</f>
        <v>5.8765116748042974E-2</v>
      </c>
      <c r="G45" s="208">
        <f>(D45-D44)/D44</f>
        <v>6.2147390018024253E-2</v>
      </c>
      <c r="P45" s="496"/>
      <c r="Q45" s="497" t="s">
        <v>25</v>
      </c>
      <c r="R45" s="497" t="s">
        <v>13</v>
      </c>
      <c r="S45" s="497" t="s">
        <v>26</v>
      </c>
      <c r="T45" s="497" t="s">
        <v>27</v>
      </c>
      <c r="U45" s="497" t="s">
        <v>28</v>
      </c>
      <c r="V45" s="497" t="s">
        <v>29</v>
      </c>
      <c r="W45" s="497" t="s">
        <v>30</v>
      </c>
      <c r="X45" s="498" t="s">
        <v>31</v>
      </c>
    </row>
    <row r="46" spans="1:24" x14ac:dyDescent="0.2">
      <c r="A46" s="480">
        <v>44347</v>
      </c>
      <c r="B46" s="481">
        <v>4167.8500000000004</v>
      </c>
      <c r="C46" s="484">
        <v>13686.51</v>
      </c>
      <c r="D46" s="483">
        <v>208.4066</v>
      </c>
      <c r="E46" s="492">
        <f>(B46-B45)/B45</f>
        <v>-3.1857111765366416E-3</v>
      </c>
      <c r="F46" s="193">
        <f>(C46-C45)/C45</f>
        <v>-1.257146072798317E-2</v>
      </c>
      <c r="G46" s="208">
        <f>(D46-D45)/D45</f>
        <v>-0.1187136332882273</v>
      </c>
      <c r="P46" s="145" t="s">
        <v>19</v>
      </c>
      <c r="Q46" s="293">
        <v>3.3652063752921804E-2</v>
      </c>
      <c r="R46" s="293">
        <v>2.5295804801916857E-2</v>
      </c>
      <c r="S46" s="293">
        <v>1.330341691693151</v>
      </c>
      <c r="T46" s="293">
        <v>0.18870396645663307</v>
      </c>
      <c r="U46" s="293">
        <v>-1.7001911627884281E-2</v>
      </c>
      <c r="V46" s="293">
        <v>8.4306039133727889E-2</v>
      </c>
      <c r="W46" s="293">
        <v>-1.7001911627884281E-2</v>
      </c>
      <c r="X46" s="294">
        <v>8.4306039133727889E-2</v>
      </c>
    </row>
    <row r="47" spans="1:24" x14ac:dyDescent="0.2">
      <c r="A47" s="480">
        <v>44377</v>
      </c>
      <c r="B47" s="481">
        <v>4297.5</v>
      </c>
      <c r="C47" s="484">
        <v>14554.8</v>
      </c>
      <c r="D47" s="483">
        <v>226.56659999999999</v>
      </c>
      <c r="E47" s="492">
        <f>(B47-B46)/B46</f>
        <v>3.1107165564979455E-2</v>
      </c>
      <c r="F47" s="193">
        <f>(C47-C46)/C46</f>
        <v>6.3441300959850178E-2</v>
      </c>
      <c r="G47" s="208">
        <f>(D47-D46)/D46</f>
        <v>8.7137355534805505E-2</v>
      </c>
      <c r="P47" s="272" t="s">
        <v>32</v>
      </c>
      <c r="Q47" s="503">
        <v>2.2089750027624504</v>
      </c>
      <c r="R47" s="504">
        <v>0.53373995962016485</v>
      </c>
      <c r="S47" s="505">
        <v>4.1386727055895607</v>
      </c>
      <c r="T47" s="505">
        <v>1.1647921100858428E-4</v>
      </c>
      <c r="U47" s="505">
        <v>1.1401791693796937</v>
      </c>
      <c r="V47" s="506">
        <v>3.2777708361452098</v>
      </c>
      <c r="W47" s="506">
        <v>1.1401791693796937</v>
      </c>
      <c r="X47" s="507">
        <v>3.2777708361452071</v>
      </c>
    </row>
    <row r="48" spans="1:24" x14ac:dyDescent="0.2">
      <c r="A48" s="480">
        <v>44408</v>
      </c>
      <c r="B48" s="481">
        <v>4363.71</v>
      </c>
      <c r="C48" s="484">
        <v>17959.900000000001</v>
      </c>
      <c r="D48" s="483">
        <v>229.06659999999999</v>
      </c>
      <c r="E48" s="492">
        <f>(B48-B47)/B47</f>
        <v>1.5406631762652714E-2</v>
      </c>
      <c r="F48" s="193">
        <f>(C48-C47)/C47</f>
        <v>0.23395031192458862</v>
      </c>
      <c r="G48" s="208">
        <f>(D48-D47)/D47</f>
        <v>1.1034283076146264E-2</v>
      </c>
    </row>
    <row r="49" spans="1:21" x14ac:dyDescent="0.2">
      <c r="A49" s="480">
        <v>44439</v>
      </c>
      <c r="B49" s="481">
        <v>4522.68</v>
      </c>
      <c r="C49" s="484">
        <v>15582.51</v>
      </c>
      <c r="D49" s="483">
        <v>245.24</v>
      </c>
      <c r="E49" s="492">
        <f>(B49-B48)/B48</f>
        <v>3.6430010243577199E-2</v>
      </c>
      <c r="F49" s="193">
        <f>(C49-C48)/C48</f>
        <v>-0.13237211788484352</v>
      </c>
      <c r="G49" s="208">
        <f>(D49-D48)/D48</f>
        <v>7.0605666648913532E-2</v>
      </c>
    </row>
    <row r="50" spans="1:21" x14ac:dyDescent="0.2">
      <c r="A50" s="480">
        <v>44469</v>
      </c>
      <c r="B50" s="481">
        <v>4307.54</v>
      </c>
      <c r="C50" s="484">
        <v>14689.62</v>
      </c>
      <c r="D50" s="483">
        <v>258.49329999999998</v>
      </c>
      <c r="E50" s="492">
        <f>(B50-B49)/B49</f>
        <v>-4.7569140421166278E-2</v>
      </c>
      <c r="F50" s="193">
        <f>(C50-C49)/C49</f>
        <v>-5.7300781453052133E-2</v>
      </c>
      <c r="G50" s="208">
        <f>(D50-D49)/D49</f>
        <v>5.4042162779318087E-2</v>
      </c>
      <c r="U50" s="14"/>
    </row>
    <row r="51" spans="1:21" x14ac:dyDescent="0.2">
      <c r="A51" s="480">
        <v>44500</v>
      </c>
      <c r="B51" s="481">
        <v>4460.71</v>
      </c>
      <c r="C51" s="484">
        <v>15850.47</v>
      </c>
      <c r="D51" s="483">
        <v>371.33330000000001</v>
      </c>
      <c r="E51" s="492">
        <f>(B51-B50)/B50</f>
        <v>3.5558578678317569E-2</v>
      </c>
      <c r="F51" s="193">
        <f>(C51-C50)/C50</f>
        <v>7.9025189215241681E-2</v>
      </c>
      <c r="G51" s="208">
        <f>(D51-D50)/D50</f>
        <v>0.4365296895509479</v>
      </c>
      <c r="U51" s="14"/>
    </row>
    <row r="52" spans="1:21" x14ac:dyDescent="0.2">
      <c r="A52" s="480">
        <v>44530</v>
      </c>
      <c r="B52" s="481">
        <v>4567</v>
      </c>
      <c r="C52" s="484">
        <v>16135.92</v>
      </c>
      <c r="D52" s="483">
        <v>381.58659999999998</v>
      </c>
      <c r="E52" s="492">
        <f>(B52-B51)/B51</f>
        <v>2.3828045311172427E-2</v>
      </c>
      <c r="F52" s="193">
        <f>(C52-C51)/C51</f>
        <v>1.800892970366183E-2</v>
      </c>
      <c r="G52" s="208">
        <f>(D52-D51)/D51</f>
        <v>2.7612120970567325E-2</v>
      </c>
    </row>
    <row r="53" spans="1:21" x14ac:dyDescent="0.2">
      <c r="A53" s="480">
        <v>44561</v>
      </c>
      <c r="B53" s="481">
        <v>4766.18</v>
      </c>
      <c r="C53" s="484">
        <v>16320.08</v>
      </c>
      <c r="D53" s="483">
        <v>352.26</v>
      </c>
      <c r="E53" s="492">
        <f>(B53-B52)/B52</f>
        <v>4.3612874972629799E-2</v>
      </c>
      <c r="F53" s="193">
        <f>(C53-C52)/C52</f>
        <v>1.1413046172762375E-2</v>
      </c>
      <c r="G53" s="208">
        <f>(D53-D52)/D52</f>
        <v>-7.6854375913619571E-2</v>
      </c>
    </row>
    <row r="54" spans="1:21" x14ac:dyDescent="0.2">
      <c r="A54" s="480">
        <v>44592</v>
      </c>
      <c r="B54" s="481">
        <v>4515.55</v>
      </c>
      <c r="C54" s="484">
        <v>14930.05</v>
      </c>
      <c r="D54" s="483">
        <v>312.24</v>
      </c>
      <c r="E54" s="492">
        <f>(B54-B53)/B53</f>
        <v>-5.2585089106999758E-2</v>
      </c>
      <c r="F54" s="193">
        <f>(C54-C53)/C53</f>
        <v>-8.5172989348091477E-2</v>
      </c>
      <c r="G54" s="208">
        <f>(D54-D53)/D53</f>
        <v>-0.11360926588315444</v>
      </c>
    </row>
    <row r="55" spans="1:21" x14ac:dyDescent="0.2">
      <c r="A55" s="480">
        <v>44620</v>
      </c>
      <c r="B55" s="481">
        <v>4373.9399999999996</v>
      </c>
      <c r="C55" s="484">
        <v>14237.81</v>
      </c>
      <c r="D55" s="483">
        <v>290.14330000000001</v>
      </c>
      <c r="E55" s="492">
        <f>(B55-B54)/B54</f>
        <v>-3.136052086678269E-2</v>
      </c>
      <c r="F55" s="193">
        <f>(C55-C54)/C54</f>
        <v>-4.6365551354483059E-2</v>
      </c>
      <c r="G55" s="208">
        <f>(D55-D54)/D54</f>
        <v>-7.0768319241609007E-2</v>
      </c>
    </row>
    <row r="56" spans="1:21" x14ac:dyDescent="0.2">
      <c r="A56" s="480">
        <v>44651</v>
      </c>
      <c r="B56" s="481">
        <v>4530.41</v>
      </c>
      <c r="C56" s="484">
        <v>14838.49</v>
      </c>
      <c r="D56" s="483">
        <v>359.2</v>
      </c>
      <c r="E56" s="492">
        <f>(B56-B55)/B55</f>
        <v>3.5773238773279988E-2</v>
      </c>
      <c r="F56" s="193">
        <f>(C56-C55)/C55</f>
        <v>4.21890726172073E-2</v>
      </c>
      <c r="G56" s="208">
        <f>(D56-D55)/D55</f>
        <v>0.23800894247773419</v>
      </c>
    </row>
    <row r="57" spans="1:21" x14ac:dyDescent="0.2">
      <c r="A57" s="480">
        <v>44681</v>
      </c>
      <c r="B57" s="481">
        <v>4391.3</v>
      </c>
      <c r="C57" s="484">
        <v>12854.8</v>
      </c>
      <c r="D57" s="483">
        <v>290.25330000000002</v>
      </c>
      <c r="E57" s="492">
        <f>(B57-B56)/B56</f>
        <v>-3.0705830156652417E-2</v>
      </c>
      <c r="F57" s="193">
        <f>(C57-C56)/C56</f>
        <v>-0.13368543564742777</v>
      </c>
      <c r="G57" s="208">
        <f>(D57-D56)/D56</f>
        <v>-0.19194515590200437</v>
      </c>
    </row>
    <row r="58" spans="1:21" x14ac:dyDescent="0.2">
      <c r="A58" s="480">
        <v>44712</v>
      </c>
      <c r="B58" s="481">
        <v>4132.1499999999996</v>
      </c>
      <c r="C58" s="484">
        <v>12642.1</v>
      </c>
      <c r="D58" s="483">
        <v>252.7533</v>
      </c>
      <c r="E58" s="492">
        <f>(B58-B57)/B57</f>
        <v>-5.9014414865757411E-2</v>
      </c>
      <c r="F58" s="193">
        <f>(C58-C57)/C57</f>
        <v>-1.6546348445716692E-2</v>
      </c>
      <c r="G58" s="208">
        <f>(D58-D57)/D57</f>
        <v>-0.12919749749615259</v>
      </c>
    </row>
    <row r="59" spans="1:21" x14ac:dyDescent="0.2">
      <c r="A59" s="480">
        <v>44742</v>
      </c>
      <c r="B59" s="481">
        <v>3785.38</v>
      </c>
      <c r="C59" s="484">
        <v>11503.72</v>
      </c>
      <c r="D59" s="483">
        <v>224.47329999999999</v>
      </c>
      <c r="E59" s="492">
        <f>(B59-B58)/B58</f>
        <v>-8.391999322386641E-2</v>
      </c>
      <c r="F59" s="193">
        <f>(C59-C58)/C58</f>
        <v>-9.0046748562343362E-2</v>
      </c>
      <c r="G59" s="208">
        <f>(D59-D58)/D58</f>
        <v>-0.1118877577463875</v>
      </c>
    </row>
    <row r="60" spans="1:21" x14ac:dyDescent="0.2">
      <c r="A60" s="480">
        <v>44773</v>
      </c>
      <c r="B60" s="481">
        <v>3911.73</v>
      </c>
      <c r="C60" s="484">
        <v>12947.97</v>
      </c>
      <c r="D60" s="483">
        <v>297.14999999999998</v>
      </c>
      <c r="E60" s="492">
        <f>(B60-B59)/B59</f>
        <v>3.3378419075495699E-2</v>
      </c>
      <c r="F60" s="193">
        <f>(C60-C59)/C59</f>
        <v>0.12554634500839729</v>
      </c>
      <c r="G60" s="208">
        <f>(D60-D59)/D59</f>
        <v>0.32376545451062549</v>
      </c>
    </row>
    <row r="61" spans="1:21" x14ac:dyDescent="0.2">
      <c r="A61" s="480">
        <v>44804</v>
      </c>
      <c r="B61" s="481">
        <v>3955</v>
      </c>
      <c r="C61" s="484">
        <v>12272.03</v>
      </c>
      <c r="D61" s="483">
        <v>275.61</v>
      </c>
      <c r="E61" s="492">
        <f>(B61-B60)/B60</f>
        <v>1.1061601899926627E-2</v>
      </c>
      <c r="F61" s="193">
        <f>(C61-C60)/C60</f>
        <v>-5.2204322376403309E-2</v>
      </c>
      <c r="G61" s="208">
        <f>(D61-D60)/D60</f>
        <v>-7.2488642099949402E-2</v>
      </c>
    </row>
    <row r="62" spans="1:21" x14ac:dyDescent="0.2">
      <c r="A62" s="480">
        <v>44834</v>
      </c>
      <c r="B62" s="481">
        <v>3585.62</v>
      </c>
      <c r="C62" s="484">
        <v>10971.22</v>
      </c>
      <c r="D62" s="483">
        <v>265.25</v>
      </c>
      <c r="E62" s="492">
        <f>(B62-B61)/B61</f>
        <v>-9.3395701643489287E-2</v>
      </c>
      <c r="F62" s="193">
        <f>(C62-C61)/C61</f>
        <v>-0.10599794817972261</v>
      </c>
      <c r="G62" s="208">
        <f>(D62-D61)/D61</f>
        <v>-3.7589347266064416E-2</v>
      </c>
    </row>
    <row r="63" spans="1:21" x14ac:dyDescent="0.2">
      <c r="A63" s="480">
        <v>44865</v>
      </c>
      <c r="B63" s="481">
        <v>3871.98</v>
      </c>
      <c r="C63" s="484">
        <v>11405.57</v>
      </c>
      <c r="D63" s="483">
        <v>227.54</v>
      </c>
      <c r="E63" s="492">
        <f>(B63-B62)/B62</f>
        <v>7.9863454576893297E-2</v>
      </c>
      <c r="F63" s="193">
        <f>(C63-C62)/C62</f>
        <v>3.9589945329689895E-2</v>
      </c>
      <c r="G63" s="208">
        <f>(D63-D62)/D62</f>
        <v>-0.14216776625824698</v>
      </c>
    </row>
    <row r="64" spans="1:21" x14ac:dyDescent="0.2">
      <c r="A64" s="480">
        <v>44895</v>
      </c>
      <c r="B64" s="481">
        <v>4080.11</v>
      </c>
      <c r="C64" s="484">
        <v>12030.06</v>
      </c>
      <c r="D64" s="483">
        <v>194.7</v>
      </c>
      <c r="E64" s="492">
        <f>(B64-B63)/B63</f>
        <v>5.375286029369989E-2</v>
      </c>
      <c r="F64" s="193">
        <f>(C64-C63)/C63</f>
        <v>5.4753072402343748E-2</v>
      </c>
      <c r="G64" s="208">
        <f>(D64-D63)/D63</f>
        <v>-0.14432627230377079</v>
      </c>
    </row>
    <row r="65" spans="1:7" x14ac:dyDescent="0.2">
      <c r="A65" s="485">
        <v>44926</v>
      </c>
      <c r="B65" s="486">
        <v>3912.38</v>
      </c>
      <c r="C65" s="487">
        <v>10939.76</v>
      </c>
      <c r="D65" s="488">
        <v>123.18</v>
      </c>
      <c r="E65" s="493">
        <f>(B65-B64)/B64</f>
        <v>-4.1109185781755889E-2</v>
      </c>
      <c r="F65" s="444">
        <f>(C65-C64)/C64</f>
        <v>-9.0631301922018626E-2</v>
      </c>
      <c r="G65" s="66">
        <f>(D65-D64)/D64</f>
        <v>-0.36733436055469948</v>
      </c>
    </row>
  </sheetData>
  <sortState xmlns:xlrd2="http://schemas.microsoft.com/office/spreadsheetml/2017/richdata2" ref="L61:L120">
    <sortCondition ref="L61"/>
  </sortState>
  <mergeCells count="2">
    <mergeCell ref="A4:D4"/>
    <mergeCell ref="E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409D-00FD-434F-AD4F-8F01FCD3FD5C}">
  <dimension ref="A2:I65"/>
  <sheetViews>
    <sheetView zoomScale="91" workbookViewId="0">
      <selection activeCell="J19" sqref="J19"/>
    </sheetView>
  </sheetViews>
  <sheetFormatPr baseColWidth="10" defaultRowHeight="16" x14ac:dyDescent="0.2"/>
  <cols>
    <col min="1" max="1" width="31.33203125" bestFit="1" customWidth="1"/>
    <col min="2" max="2" width="15.6640625" customWidth="1"/>
    <col min="3" max="7" width="8.33203125" bestFit="1" customWidth="1"/>
    <col min="8" max="8" width="10.5" bestFit="1" customWidth="1"/>
    <col min="9" max="9" width="18.6640625" bestFit="1" customWidth="1"/>
    <col min="10" max="10" width="11" bestFit="1" customWidth="1"/>
    <col min="11" max="11" width="7.83203125" bestFit="1" customWidth="1"/>
  </cols>
  <sheetData>
    <row r="2" spans="1:2" ht="19" x14ac:dyDescent="0.25">
      <c r="A2" s="85" t="s">
        <v>559</v>
      </c>
    </row>
    <row r="5" spans="1:2" x14ac:dyDescent="0.2">
      <c r="A5" s="20" t="s">
        <v>156</v>
      </c>
      <c r="B5" s="71">
        <v>3.8800000000000001E-2</v>
      </c>
    </row>
    <row r="7" spans="1:2" x14ac:dyDescent="0.2">
      <c r="A7" s="19" t="s">
        <v>144</v>
      </c>
      <c r="B7" s="20"/>
    </row>
    <row r="8" spans="1:2" x14ac:dyDescent="0.2">
      <c r="A8" s="20" t="s">
        <v>145</v>
      </c>
      <c r="B8" s="69">
        <f>B10-B9</f>
        <v>65.535000000000011</v>
      </c>
    </row>
    <row r="9" spans="1:2" x14ac:dyDescent="0.2">
      <c r="A9" s="20" t="s">
        <v>146</v>
      </c>
      <c r="B9" s="69">
        <v>116.455</v>
      </c>
    </row>
    <row r="10" spans="1:2" x14ac:dyDescent="0.2">
      <c r="A10" s="20" t="s">
        <v>147</v>
      </c>
      <c r="B10" s="69">
        <v>181.99</v>
      </c>
    </row>
    <row r="11" spans="1:2" x14ac:dyDescent="0.2">
      <c r="A11" s="20" t="s">
        <v>154</v>
      </c>
      <c r="B11" s="29">
        <f>B10/B14</f>
        <v>0.82914939177183467</v>
      </c>
    </row>
    <row r="14" spans="1:2" x14ac:dyDescent="0.2">
      <c r="A14" s="20" t="s">
        <v>152</v>
      </c>
      <c r="B14" s="70">
        <v>219.49</v>
      </c>
    </row>
    <row r="15" spans="1:2" x14ac:dyDescent="0.2">
      <c r="A15" s="20" t="s">
        <v>153</v>
      </c>
      <c r="B15" s="71">
        <v>6.4100000000000004E-2</v>
      </c>
    </row>
    <row r="17" spans="1:8" x14ac:dyDescent="0.2">
      <c r="A17" s="20" t="s">
        <v>157</v>
      </c>
      <c r="B17" s="70">
        <v>3839.5</v>
      </c>
    </row>
    <row r="19" spans="1:8" x14ac:dyDescent="0.2">
      <c r="A19" s="396" t="s">
        <v>127</v>
      </c>
      <c r="B19" s="396" t="s">
        <v>149</v>
      </c>
      <c r="C19" s="244">
        <v>1</v>
      </c>
      <c r="D19" s="396">
        <v>2</v>
      </c>
      <c r="E19" s="396">
        <v>3</v>
      </c>
      <c r="F19" s="396">
        <v>4</v>
      </c>
      <c r="G19" s="396">
        <v>5</v>
      </c>
      <c r="H19" s="396" t="s">
        <v>150</v>
      </c>
    </row>
    <row r="20" spans="1:8" x14ac:dyDescent="0.2">
      <c r="A20" s="60" t="s">
        <v>148</v>
      </c>
      <c r="B20" s="60">
        <v>219.49</v>
      </c>
      <c r="C20" s="510">
        <f>$B20*(1+$B15)^C19</f>
        <v>233.55930900000001</v>
      </c>
      <c r="D20" s="510">
        <f>$B20*(1+$B15)^D19</f>
        <v>248.53046070690002</v>
      </c>
      <c r="E20" s="510">
        <f>$B20*(1+$B15)^E19</f>
        <v>264.46126323821233</v>
      </c>
      <c r="F20" s="510">
        <f>$B20*(1+$B15)^F19</f>
        <v>281.41323021178175</v>
      </c>
      <c r="G20" s="510">
        <f>$B20*(1+$B15)^G19</f>
        <v>299.45181826835699</v>
      </c>
      <c r="H20" s="511">
        <f>G20*(1+B5)</f>
        <v>311.0705488171692</v>
      </c>
    </row>
    <row r="21" spans="1:8" x14ac:dyDescent="0.2">
      <c r="A21" s="151" t="s">
        <v>151</v>
      </c>
      <c r="B21" s="520">
        <f>B22/B20</f>
        <v>0.82914939177183467</v>
      </c>
      <c r="C21" s="509">
        <v>0.89780000000000004</v>
      </c>
      <c r="D21" s="509">
        <v>0.89780000000000004</v>
      </c>
      <c r="E21" s="509">
        <v>0.89780000000000004</v>
      </c>
      <c r="F21" s="509">
        <v>0.89780000000000004</v>
      </c>
      <c r="G21" s="509">
        <v>0.89780000000000004</v>
      </c>
      <c r="H21" s="512">
        <v>0.89780000000000004</v>
      </c>
    </row>
    <row r="22" spans="1:8" x14ac:dyDescent="0.2">
      <c r="A22" s="63" t="s">
        <v>147</v>
      </c>
      <c r="B22" s="63">
        <v>181.99</v>
      </c>
      <c r="C22" s="513">
        <f t="shared" ref="C22:H22" si="0">C20*C21</f>
        <v>209.68954762020002</v>
      </c>
      <c r="D22" s="513">
        <f t="shared" si="0"/>
        <v>223.13064762265483</v>
      </c>
      <c r="E22" s="513">
        <f t="shared" si="0"/>
        <v>237.43332213526705</v>
      </c>
      <c r="F22" s="513">
        <f t="shared" si="0"/>
        <v>252.65279808413766</v>
      </c>
      <c r="G22" s="513">
        <f t="shared" si="0"/>
        <v>268.8478424413309</v>
      </c>
      <c r="H22" s="514">
        <f t="shared" si="0"/>
        <v>279.27913872805453</v>
      </c>
    </row>
    <row r="23" spans="1:8" x14ac:dyDescent="0.2">
      <c r="A23" s="19" t="s">
        <v>573</v>
      </c>
      <c r="B23" s="19"/>
      <c r="C23" s="515">
        <f>C22/(1+$B$26)^C19</f>
        <v>190.93640470298328</v>
      </c>
      <c r="D23" s="515">
        <f>D22/(1+$B$26)^D19</f>
        <v>185.00486186964378</v>
      </c>
      <c r="E23" s="515">
        <f>E22/(1+$B$26)^E19</f>
        <v>179.25758562725889</v>
      </c>
      <c r="F23" s="515">
        <f>F22/(1+$B$26)^F19</f>
        <v>173.68885163437201</v>
      </c>
      <c r="G23" s="515">
        <f>G22/(1+$B$26)^G19</f>
        <v>168.29311337929462</v>
      </c>
      <c r="H23" s="516">
        <f>H22/((B26-B5)*(1+B26)^G19)</f>
        <v>2942.3191861656901</v>
      </c>
    </row>
    <row r="24" spans="1:8" x14ac:dyDescent="0.2">
      <c r="A24" s="393"/>
      <c r="B24" s="393"/>
      <c r="C24" s="517"/>
      <c r="D24" s="517"/>
      <c r="E24" s="517"/>
      <c r="F24" s="517"/>
      <c r="G24" s="517"/>
      <c r="H24" s="517"/>
    </row>
    <row r="25" spans="1:8" x14ac:dyDescent="0.2">
      <c r="A25" s="60" t="s">
        <v>157</v>
      </c>
      <c r="B25" s="518">
        <f>SUM(C23:H23)</f>
        <v>3839.5000033792426</v>
      </c>
    </row>
    <row r="26" spans="1:8" ht="34" x14ac:dyDescent="0.2">
      <c r="A26" s="519" t="s">
        <v>534</v>
      </c>
      <c r="B26" s="452">
        <v>9.821669652986674E-2</v>
      </c>
    </row>
    <row r="28" spans="1:8" x14ac:dyDescent="0.2">
      <c r="A28" t="s">
        <v>155</v>
      </c>
    </row>
    <row r="49" spans="3:9" x14ac:dyDescent="0.2">
      <c r="C49" s="68"/>
      <c r="D49" s="5"/>
      <c r="F49" s="5"/>
      <c r="G49" s="5"/>
    </row>
    <row r="50" spans="3:9" x14ac:dyDescent="0.2">
      <c r="C50" s="68"/>
      <c r="D50" s="5"/>
      <c r="F50" s="5"/>
      <c r="G50" s="5"/>
    </row>
    <row r="51" spans="3:9" x14ac:dyDescent="0.2">
      <c r="C51" s="68"/>
      <c r="D51" s="5"/>
      <c r="F51" s="5"/>
      <c r="G51" s="5"/>
    </row>
    <row r="52" spans="3:9" x14ac:dyDescent="0.2">
      <c r="C52" s="68"/>
      <c r="D52" s="5"/>
      <c r="F52" s="5"/>
      <c r="G52" s="5"/>
    </row>
    <row r="53" spans="3:9" x14ac:dyDescent="0.2">
      <c r="C53" s="68"/>
      <c r="D53" s="5"/>
      <c r="F53" s="5"/>
      <c r="G53" s="5"/>
    </row>
    <row r="54" spans="3:9" x14ac:dyDescent="0.2">
      <c r="C54" s="68"/>
      <c r="D54" s="5"/>
      <c r="F54" s="5"/>
      <c r="G54" s="5"/>
    </row>
    <row r="55" spans="3:9" x14ac:dyDescent="0.2">
      <c r="C55" s="68"/>
      <c r="D55" s="5"/>
      <c r="F55" s="5"/>
      <c r="G55" s="5"/>
    </row>
    <row r="56" spans="3:9" x14ac:dyDescent="0.2">
      <c r="C56" s="68"/>
      <c r="D56" s="5"/>
      <c r="F56" s="5"/>
      <c r="G56" s="5"/>
    </row>
    <row r="57" spans="3:9" x14ac:dyDescent="0.2">
      <c r="C57" s="68"/>
      <c r="D57" s="5"/>
      <c r="F57" s="5"/>
      <c r="G57" s="5"/>
    </row>
    <row r="58" spans="3:9" x14ac:dyDescent="0.2">
      <c r="C58" s="68"/>
      <c r="D58" s="5"/>
      <c r="F58" s="5"/>
      <c r="G58" s="5"/>
    </row>
    <row r="59" spans="3:9" x14ac:dyDescent="0.2">
      <c r="C59" s="68"/>
      <c r="D59" s="5"/>
      <c r="F59" s="5"/>
      <c r="G59" s="5"/>
    </row>
    <row r="60" spans="3:9" x14ac:dyDescent="0.2">
      <c r="C60" s="68"/>
      <c r="D60" s="5"/>
      <c r="F60" s="5"/>
      <c r="G60" s="5"/>
    </row>
    <row r="61" spans="3:9" x14ac:dyDescent="0.2">
      <c r="C61" s="68"/>
      <c r="D61" s="5"/>
      <c r="F61" s="5"/>
      <c r="G61" s="5"/>
    </row>
    <row r="62" spans="3:9" x14ac:dyDescent="0.2">
      <c r="C62" s="68"/>
      <c r="D62" s="5"/>
      <c r="F62" s="5"/>
      <c r="G62" s="5"/>
    </row>
    <row r="63" spans="3:9" x14ac:dyDescent="0.2">
      <c r="G63" s="13"/>
      <c r="I63" s="13"/>
    </row>
    <row r="65" spans="6:6" x14ac:dyDescent="0.2">
      <c r="F65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F227-5373-E442-B759-F652C48E05FC}">
  <dimension ref="A2:J31"/>
  <sheetViews>
    <sheetView zoomScale="81" workbookViewId="0">
      <selection activeCell="A2" sqref="A2"/>
    </sheetView>
  </sheetViews>
  <sheetFormatPr baseColWidth="10" defaultRowHeight="16" x14ac:dyDescent="0.2"/>
  <cols>
    <col min="1" max="1" width="15.33203125" bestFit="1" customWidth="1"/>
    <col min="2" max="2" width="16.6640625" bestFit="1" customWidth="1"/>
    <col min="3" max="3" width="13.33203125" bestFit="1" customWidth="1"/>
    <col min="4" max="4" width="15.1640625" customWidth="1"/>
    <col min="7" max="7" width="23.1640625" bestFit="1" customWidth="1"/>
    <col min="8" max="8" width="8.1640625" bestFit="1" customWidth="1"/>
    <col min="9" max="9" width="15.5" bestFit="1" customWidth="1"/>
    <col min="10" max="10" width="15.6640625" bestFit="1" customWidth="1"/>
  </cols>
  <sheetData>
    <row r="2" spans="1:10" ht="19" x14ac:dyDescent="0.25">
      <c r="A2" s="85" t="s">
        <v>559</v>
      </c>
    </row>
    <row r="4" spans="1:10" ht="17" thickBot="1" x14ac:dyDescent="0.25">
      <c r="A4" t="s">
        <v>58</v>
      </c>
    </row>
    <row r="5" spans="1:10" ht="35" thickBot="1" x14ac:dyDescent="0.25">
      <c r="A5" s="441"/>
      <c r="B5" s="442" t="s">
        <v>37</v>
      </c>
      <c r="C5" s="442" t="s">
        <v>38</v>
      </c>
      <c r="G5" s="239" t="s">
        <v>158</v>
      </c>
      <c r="H5" s="239" t="s">
        <v>162</v>
      </c>
      <c r="I5" s="239" t="s">
        <v>159</v>
      </c>
      <c r="J5" s="239" t="s">
        <v>160</v>
      </c>
    </row>
    <row r="6" spans="1:10" ht="18" thickBot="1" x14ac:dyDescent="0.25">
      <c r="A6" s="16" t="s">
        <v>39</v>
      </c>
      <c r="B6" s="17">
        <v>40553</v>
      </c>
      <c r="C6" s="18">
        <f>B6/$B$9</f>
        <v>0.49781493211558764</v>
      </c>
      <c r="G6" s="20">
        <v>2018</v>
      </c>
      <c r="H6" s="29">
        <v>0.14605000000000001</v>
      </c>
      <c r="I6" s="29">
        <v>8.3699999999999997E-2</v>
      </c>
      <c r="J6" s="59">
        <f t="shared" ref="J6:J11" si="0">H6/I6</f>
        <v>1.7449223416965354</v>
      </c>
    </row>
    <row r="7" spans="1:10" ht="18" thickBot="1" x14ac:dyDescent="0.25">
      <c r="A7" s="16" t="s">
        <v>40</v>
      </c>
      <c r="B7" s="17">
        <v>18145</v>
      </c>
      <c r="C7" s="18">
        <f>B7/$B$9</f>
        <v>0.22274189192506935</v>
      </c>
      <c r="G7" s="20">
        <v>2019</v>
      </c>
      <c r="H7" s="29">
        <v>0.10680000000000001</v>
      </c>
      <c r="I7" s="29">
        <v>8.9800000000000005E-2</v>
      </c>
      <c r="J7" s="59">
        <f t="shared" si="0"/>
        <v>1.1893095768374164</v>
      </c>
    </row>
    <row r="8" spans="1:10" ht="18" thickBot="1" x14ac:dyDescent="0.25">
      <c r="A8" s="16" t="s">
        <v>41</v>
      </c>
      <c r="B8" s="17">
        <v>22764</v>
      </c>
      <c r="C8" s="18">
        <f>B8/$B$9</f>
        <v>0.27944317595934298</v>
      </c>
      <c r="G8" s="20">
        <v>2020</v>
      </c>
      <c r="H8" s="29">
        <v>0.22919999999999999</v>
      </c>
      <c r="I8" s="29">
        <v>0.17249999999999999</v>
      </c>
      <c r="J8" s="59">
        <f t="shared" si="0"/>
        <v>1.3286956521739131</v>
      </c>
    </row>
    <row r="9" spans="1:10" ht="18" thickBot="1" x14ac:dyDescent="0.25">
      <c r="A9" s="16" t="s">
        <v>42</v>
      </c>
      <c r="B9" s="17">
        <v>81462</v>
      </c>
      <c r="C9" s="18">
        <f>B9/$B$9</f>
        <v>1</v>
      </c>
      <c r="G9" s="20">
        <v>2021</v>
      </c>
      <c r="H9" s="29">
        <v>0.1429</v>
      </c>
      <c r="I9" s="29">
        <v>4.1700000000000001E-2</v>
      </c>
      <c r="J9" s="59">
        <f t="shared" si="0"/>
        <v>3.4268585131894485</v>
      </c>
    </row>
    <row r="10" spans="1:10" x14ac:dyDescent="0.2">
      <c r="G10" s="20">
        <v>2022</v>
      </c>
      <c r="H10" s="29">
        <v>0.1867</v>
      </c>
      <c r="I10" s="29">
        <v>0.18759999999999999</v>
      </c>
      <c r="J10" s="59">
        <f t="shared" si="0"/>
        <v>0.99520255863539453</v>
      </c>
    </row>
    <row r="11" spans="1:10" ht="18" thickBot="1" x14ac:dyDescent="0.25">
      <c r="A11" s="21" t="s">
        <v>59</v>
      </c>
      <c r="G11" s="20" t="s">
        <v>161</v>
      </c>
      <c r="H11" s="62">
        <f>AVERAGE(H6:H10)</f>
        <v>0.16233</v>
      </c>
      <c r="I11" s="29">
        <f>AVERAGE(I6:I10)</f>
        <v>0.11505999999999998</v>
      </c>
      <c r="J11" s="73">
        <f t="shared" si="0"/>
        <v>1.4108291326264559</v>
      </c>
    </row>
    <row r="12" spans="1:10" ht="35" thickBot="1" x14ac:dyDescent="0.25">
      <c r="A12" s="441"/>
      <c r="B12" s="441" t="s">
        <v>60</v>
      </c>
      <c r="C12" s="441" t="s">
        <v>38</v>
      </c>
    </row>
    <row r="13" spans="1:10" ht="18" thickBot="1" x14ac:dyDescent="0.25">
      <c r="A13" s="15" t="s">
        <v>39</v>
      </c>
      <c r="B13" s="15">
        <v>466</v>
      </c>
      <c r="C13" s="22">
        <f>B13/$B$17</f>
        <v>9.5121453357828123E-2</v>
      </c>
    </row>
    <row r="14" spans="1:10" ht="18" thickBot="1" x14ac:dyDescent="0.25">
      <c r="A14" s="15" t="s">
        <v>40</v>
      </c>
      <c r="B14" s="15">
        <v>2734</v>
      </c>
      <c r="C14" s="22">
        <f>B14/$B$17</f>
        <v>0.55807307613798729</v>
      </c>
    </row>
    <row r="15" spans="1:10" ht="18" thickBot="1" x14ac:dyDescent="0.25">
      <c r="A15" s="15" t="s">
        <v>61</v>
      </c>
      <c r="B15" s="15">
        <v>1231</v>
      </c>
      <c r="C15" s="22">
        <f>B15/$B$17</f>
        <v>0.2512757705654215</v>
      </c>
    </row>
    <row r="16" spans="1:10" ht="18" thickBot="1" x14ac:dyDescent="0.25">
      <c r="A16" s="15" t="s">
        <v>41</v>
      </c>
      <c r="B16" s="15">
        <v>468</v>
      </c>
      <c r="C16" s="22">
        <f>B16/$B$17</f>
        <v>9.5529699938763007E-2</v>
      </c>
    </row>
    <row r="17" spans="1:5" ht="18" thickBot="1" x14ac:dyDescent="0.25">
      <c r="A17" s="15" t="s">
        <v>42</v>
      </c>
      <c r="B17" s="15">
        <f>SUM(B13:B16)</f>
        <v>4899</v>
      </c>
      <c r="C17" s="22">
        <f>B17/$B$17</f>
        <v>1</v>
      </c>
    </row>
    <row r="19" spans="1:5" ht="35" thickBot="1" x14ac:dyDescent="0.25">
      <c r="A19" s="21" t="s">
        <v>62</v>
      </c>
    </row>
    <row r="20" spans="1:5" ht="35" thickBot="1" x14ac:dyDescent="0.25">
      <c r="A20" s="441"/>
      <c r="B20" s="441" t="s">
        <v>63</v>
      </c>
      <c r="C20" s="441" t="s">
        <v>64</v>
      </c>
      <c r="D20" s="441" t="s">
        <v>558</v>
      </c>
    </row>
    <row r="21" spans="1:5" ht="18" thickBot="1" x14ac:dyDescent="0.25">
      <c r="A21" s="15" t="s">
        <v>61</v>
      </c>
      <c r="B21" s="15">
        <v>1231</v>
      </c>
      <c r="C21" s="22">
        <f>B21/$B$23</f>
        <v>0.72454384932313121</v>
      </c>
      <c r="D21" s="23">
        <f>$D$23*C21</f>
        <v>16493.516185991757</v>
      </c>
    </row>
    <row r="22" spans="1:5" ht="18" thickBot="1" x14ac:dyDescent="0.25">
      <c r="A22" s="15" t="s">
        <v>41</v>
      </c>
      <c r="B22" s="15">
        <v>468</v>
      </c>
      <c r="C22" s="22">
        <f>B22/$B$23</f>
        <v>0.27545615067686874</v>
      </c>
      <c r="D22" s="23">
        <f>$D$23*C22</f>
        <v>6270.4838140082402</v>
      </c>
    </row>
    <row r="23" spans="1:5" ht="18" thickBot="1" x14ac:dyDescent="0.25">
      <c r="A23" s="15" t="s">
        <v>42</v>
      </c>
      <c r="B23" s="15">
        <f>SUM(B21:B22)</f>
        <v>1699</v>
      </c>
      <c r="C23" s="22">
        <f>B23/$B$23</f>
        <v>1</v>
      </c>
      <c r="D23" s="24">
        <f>B8</f>
        <v>22764</v>
      </c>
    </row>
    <row r="25" spans="1:5" ht="35" thickBot="1" x14ac:dyDescent="0.25">
      <c r="A25" s="21" t="s">
        <v>65</v>
      </c>
    </row>
    <row r="26" spans="1:5" ht="35" thickBot="1" x14ac:dyDescent="0.25">
      <c r="A26" s="441"/>
      <c r="B26" s="441" t="s">
        <v>66</v>
      </c>
      <c r="C26" s="441" t="s">
        <v>36</v>
      </c>
      <c r="D26" s="441" t="s">
        <v>67</v>
      </c>
      <c r="E26" s="441" t="s">
        <v>68</v>
      </c>
    </row>
    <row r="27" spans="1:5" ht="18" thickBot="1" x14ac:dyDescent="0.25">
      <c r="A27" s="15" t="s">
        <v>39</v>
      </c>
      <c r="B27" s="15">
        <f>B6</f>
        <v>40553</v>
      </c>
      <c r="C27" s="22">
        <f>B27/SUM($B$27:$B$30)</f>
        <v>0.49781493211558764</v>
      </c>
      <c r="D27" s="22">
        <v>5.9400000000000001E-2</v>
      </c>
      <c r="E27" s="22">
        <f>C27*D27</f>
        <v>2.9570206967665907E-2</v>
      </c>
    </row>
    <row r="28" spans="1:5" ht="18" thickBot="1" x14ac:dyDescent="0.25">
      <c r="A28" s="15" t="s">
        <v>40</v>
      </c>
      <c r="B28" s="15">
        <f>B7</f>
        <v>18145</v>
      </c>
      <c r="C28" s="22">
        <f>B28/SUM($B$27:$B$30)</f>
        <v>0.22274189192506935</v>
      </c>
      <c r="D28" s="22">
        <v>7.1599999999999997E-2</v>
      </c>
      <c r="E28" s="22">
        <f>C28*D28</f>
        <v>1.5948319461834965E-2</v>
      </c>
    </row>
    <row r="29" spans="1:5" ht="18" thickBot="1" x14ac:dyDescent="0.25">
      <c r="A29" s="15" t="s">
        <v>61</v>
      </c>
      <c r="B29" s="23">
        <f>D21</f>
        <v>16493.516185991757</v>
      </c>
      <c r="C29" s="22">
        <f>B29/SUM($B$27:$B$30)</f>
        <v>0.20246883437666344</v>
      </c>
      <c r="D29" s="22">
        <v>7.4499999999999997E-2</v>
      </c>
      <c r="E29" s="22">
        <f>C29*D29</f>
        <v>1.5083928161061425E-2</v>
      </c>
    </row>
    <row r="30" spans="1:5" ht="18" thickBot="1" x14ac:dyDescent="0.25">
      <c r="A30" s="15" t="s">
        <v>41</v>
      </c>
      <c r="B30" s="23">
        <f>D22</f>
        <v>6270.4838140082402</v>
      </c>
      <c r="C30" s="22">
        <f>B30/SUM($B$27:$B$30)</f>
        <v>7.6974341582679531E-2</v>
      </c>
      <c r="D30" s="22">
        <v>0.1026</v>
      </c>
      <c r="E30" s="22">
        <f>C30*D30</f>
        <v>7.8975674463829196E-3</v>
      </c>
    </row>
    <row r="31" spans="1:5" ht="35" thickBot="1" x14ac:dyDescent="0.25">
      <c r="D31" s="25" t="s">
        <v>69</v>
      </c>
      <c r="E31" s="22">
        <f>SUM(E27:E30)</f>
        <v>6.8500022036945218E-2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02CD-CC1D-3149-8C89-B919652E7FB4}">
  <dimension ref="A2:K46"/>
  <sheetViews>
    <sheetView topLeftCell="A5" zoomScale="75" workbookViewId="0">
      <selection activeCell="A2" sqref="A2"/>
    </sheetView>
  </sheetViews>
  <sheetFormatPr baseColWidth="10" defaultRowHeight="16" x14ac:dyDescent="0.2"/>
  <cols>
    <col min="1" max="1" width="66.83203125" bestFit="1" customWidth="1"/>
    <col min="2" max="2" width="23.1640625" bestFit="1" customWidth="1"/>
    <col min="3" max="3" width="33.33203125" bestFit="1" customWidth="1"/>
    <col min="4" max="4" width="20.6640625" bestFit="1" customWidth="1"/>
    <col min="5" max="5" width="37.1640625" customWidth="1"/>
    <col min="6" max="6" width="16" customWidth="1"/>
    <col min="8" max="8" width="12.1640625" bestFit="1" customWidth="1"/>
    <col min="13" max="13" width="31.6640625" bestFit="1" customWidth="1"/>
    <col min="14" max="14" width="29" customWidth="1"/>
  </cols>
  <sheetData>
    <row r="2" spans="1:11" ht="19" x14ac:dyDescent="0.25">
      <c r="A2" s="85" t="s">
        <v>557</v>
      </c>
    </row>
    <row r="3" spans="1:11" x14ac:dyDescent="0.2">
      <c r="E3" s="4"/>
      <c r="F3" s="48"/>
    </row>
    <row r="4" spans="1:11" ht="19" x14ac:dyDescent="0.25">
      <c r="A4" s="85" t="s">
        <v>535</v>
      </c>
      <c r="E4" s="4"/>
      <c r="F4" s="48"/>
    </row>
    <row r="5" spans="1:11" ht="24" x14ac:dyDescent="0.3">
      <c r="A5" s="92"/>
    </row>
    <row r="6" spans="1:11" ht="31" x14ac:dyDescent="0.35">
      <c r="A6" s="4" t="s">
        <v>536</v>
      </c>
      <c r="H6" s="93"/>
      <c r="I6" s="94"/>
      <c r="J6" s="95"/>
      <c r="K6" s="95"/>
    </row>
    <row r="7" spans="1:11" x14ac:dyDescent="0.2">
      <c r="A7" s="239" t="s">
        <v>114</v>
      </c>
      <c r="B7" s="239" t="s">
        <v>544</v>
      </c>
      <c r="C7" s="239" t="s">
        <v>36</v>
      </c>
      <c r="D7" s="239" t="s">
        <v>117</v>
      </c>
      <c r="E7" s="239" t="s">
        <v>118</v>
      </c>
      <c r="F7" s="239" t="s">
        <v>129</v>
      </c>
    </row>
    <row r="8" spans="1:11" x14ac:dyDescent="0.2">
      <c r="A8" s="20" t="s">
        <v>115</v>
      </c>
      <c r="B8" s="50">
        <v>44</v>
      </c>
      <c r="C8" s="405">
        <f>B8/$B$13</f>
        <v>2.1276595744680851E-2</v>
      </c>
      <c r="D8" s="20" t="s">
        <v>119</v>
      </c>
      <c r="E8" s="34">
        <f>29/12</f>
        <v>2.4166666666666665</v>
      </c>
      <c r="F8" s="405">
        <f>C8*E8</f>
        <v>5.1418439716312055E-2</v>
      </c>
    </row>
    <row r="9" spans="1:11" x14ac:dyDescent="0.2">
      <c r="A9" s="20" t="s">
        <v>116</v>
      </c>
      <c r="B9" s="50">
        <v>7</v>
      </c>
      <c r="C9" s="405">
        <f>B9/$B$13</f>
        <v>3.3849129593810446E-3</v>
      </c>
      <c r="D9" s="20" t="s">
        <v>120</v>
      </c>
      <c r="E9" s="34">
        <f>((39/12)+(109/12))/2</f>
        <v>6.166666666666667</v>
      </c>
      <c r="F9" s="405">
        <f>C9*E9</f>
        <v>2.087362991618311E-2</v>
      </c>
    </row>
    <row r="10" spans="1:11" x14ac:dyDescent="0.2">
      <c r="A10" s="20" t="s">
        <v>122</v>
      </c>
      <c r="B10" s="50">
        <v>1603</v>
      </c>
      <c r="C10" s="405">
        <f>B10/$B$13</f>
        <v>0.77514506769825919</v>
      </c>
      <c r="D10" s="20" t="s">
        <v>125</v>
      </c>
      <c r="E10" s="34">
        <f>(1+(45/12))/2</f>
        <v>2.375</v>
      </c>
      <c r="F10" s="405">
        <f>C10*E10</f>
        <v>1.8409695357833655</v>
      </c>
    </row>
    <row r="11" spans="1:11" x14ac:dyDescent="0.2">
      <c r="A11" s="20" t="s">
        <v>123</v>
      </c>
      <c r="B11" s="50">
        <v>17</v>
      </c>
      <c r="C11" s="405">
        <f>B11/$B$13</f>
        <v>8.2205029013539647E-3</v>
      </c>
      <c r="D11" s="20" t="s">
        <v>126</v>
      </c>
      <c r="E11" s="34">
        <f>4</f>
        <v>4</v>
      </c>
      <c r="F11" s="405">
        <f>C11*E11</f>
        <v>3.2882011605415859E-2</v>
      </c>
    </row>
    <row r="12" spans="1:11" x14ac:dyDescent="0.2">
      <c r="A12" s="20" t="s">
        <v>124</v>
      </c>
      <c r="B12" s="50">
        <v>397</v>
      </c>
      <c r="C12" s="405">
        <f>B12/$B$13</f>
        <v>0.19197292069632496</v>
      </c>
      <c r="D12" s="20" t="s">
        <v>281</v>
      </c>
      <c r="E12" s="34">
        <f>((138/12)+(157/12))/2</f>
        <v>12.291666666666668</v>
      </c>
      <c r="F12" s="405">
        <f>C12*E12</f>
        <v>2.3596671502256612</v>
      </c>
    </row>
    <row r="13" spans="1:11" x14ac:dyDescent="0.2">
      <c r="A13" s="19" t="s">
        <v>49</v>
      </c>
      <c r="B13" s="50">
        <f>SUM(B8:B12)</f>
        <v>2068</v>
      </c>
      <c r="C13" s="207">
        <f>SUM(C8:C12)</f>
        <v>1</v>
      </c>
      <c r="D13" s="20"/>
      <c r="E13" s="19" t="s">
        <v>121</v>
      </c>
      <c r="F13" s="406">
        <f>SUM(F8:F12)</f>
        <v>4.3058107672469372</v>
      </c>
    </row>
    <row r="16" spans="1:11" x14ac:dyDescent="0.2">
      <c r="A16" s="242" t="s">
        <v>543</v>
      </c>
      <c r="B16" s="394"/>
    </row>
    <row r="17" spans="1:4" x14ac:dyDescent="0.2">
      <c r="A17" s="60" t="s">
        <v>43</v>
      </c>
      <c r="B17" s="205">
        <v>1502</v>
      </c>
    </row>
    <row r="18" spans="1:4" x14ac:dyDescent="0.2">
      <c r="A18" s="151" t="s">
        <v>44</v>
      </c>
      <c r="B18" s="206">
        <v>1597</v>
      </c>
      <c r="D18" s="5"/>
    </row>
    <row r="19" spans="1:4" x14ac:dyDescent="0.2">
      <c r="A19" s="19" t="s">
        <v>165</v>
      </c>
      <c r="B19" s="162">
        <f>B17+B18</f>
        <v>3099</v>
      </c>
    </row>
    <row r="20" spans="1:4" x14ac:dyDescent="0.2">
      <c r="A20" s="393"/>
      <c r="B20" s="393"/>
    </row>
    <row r="21" spans="1:4" x14ac:dyDescent="0.2">
      <c r="A21" s="393"/>
      <c r="B21" s="393"/>
    </row>
    <row r="22" spans="1:4" x14ac:dyDescent="0.2">
      <c r="A22" s="242" t="s">
        <v>542</v>
      </c>
      <c r="B22" s="394"/>
    </row>
    <row r="23" spans="1:4" x14ac:dyDescent="0.2">
      <c r="A23" s="143" t="s">
        <v>130</v>
      </c>
      <c r="B23" s="402">
        <v>234</v>
      </c>
    </row>
    <row r="24" spans="1:4" x14ac:dyDescent="0.2">
      <c r="A24" s="272" t="s">
        <v>174</v>
      </c>
      <c r="B24" s="403">
        <f>3146*5.3%</f>
        <v>166.738</v>
      </c>
    </row>
    <row r="25" spans="1:4" x14ac:dyDescent="0.2">
      <c r="A25" s="337" t="s">
        <v>163</v>
      </c>
      <c r="B25" s="214">
        <f>ROUND(B23-B24,1)</f>
        <v>67.3</v>
      </c>
    </row>
    <row r="27" spans="1:4" x14ac:dyDescent="0.2">
      <c r="A27" s="239" t="s">
        <v>164</v>
      </c>
      <c r="B27" s="392"/>
    </row>
    <row r="28" spans="1:4" x14ac:dyDescent="0.2">
      <c r="A28" s="151" t="s">
        <v>112</v>
      </c>
      <c r="B28" s="208">
        <v>5.8799999999999998E-2</v>
      </c>
    </row>
    <row r="29" spans="1:4" x14ac:dyDescent="0.2">
      <c r="A29" s="151" t="s">
        <v>128</v>
      </c>
      <c r="B29" s="408">
        <f>F13</f>
        <v>4.3058107672469372</v>
      </c>
    </row>
    <row r="30" spans="1:4" x14ac:dyDescent="0.2">
      <c r="A30" s="151" t="s">
        <v>111</v>
      </c>
      <c r="B30" s="399">
        <f>B19</f>
        <v>3099</v>
      </c>
    </row>
    <row r="31" spans="1:4" x14ac:dyDescent="0.2">
      <c r="A31" s="63" t="s">
        <v>113</v>
      </c>
      <c r="B31" s="398">
        <f>B25</f>
        <v>67.3</v>
      </c>
      <c r="C31" s="13"/>
    </row>
    <row r="32" spans="1:4" x14ac:dyDescent="0.2">
      <c r="A32" s="337" t="s">
        <v>45</v>
      </c>
      <c r="B32" s="404">
        <f>B31*((1-(1/((1+B28)^B29)))/B28)+(B30/((1+B28)^B29))</f>
        <v>2672.752659294229</v>
      </c>
    </row>
    <row r="33" spans="1:4" x14ac:dyDescent="0.2">
      <c r="A33" s="393"/>
      <c r="B33" s="393"/>
    </row>
    <row r="34" spans="1:4" x14ac:dyDescent="0.2">
      <c r="A34" s="242" t="s">
        <v>541</v>
      </c>
      <c r="B34" s="394"/>
    </row>
    <row r="35" spans="1:4" x14ac:dyDescent="0.2">
      <c r="A35" s="60" t="s">
        <v>166</v>
      </c>
      <c r="B35" s="205">
        <v>2649</v>
      </c>
    </row>
    <row r="36" spans="1:4" x14ac:dyDescent="0.2">
      <c r="A36" s="63" t="s">
        <v>164</v>
      </c>
      <c r="B36" s="165">
        <f>B32</f>
        <v>2672.752659294229</v>
      </c>
    </row>
    <row r="37" spans="1:4" x14ac:dyDescent="0.2">
      <c r="A37" s="395" t="s">
        <v>167</v>
      </c>
      <c r="B37" s="404">
        <f>B35+B36</f>
        <v>5321.7526592942286</v>
      </c>
    </row>
    <row r="39" spans="1:4" ht="34" x14ac:dyDescent="0.2">
      <c r="A39" s="74" t="s">
        <v>537</v>
      </c>
    </row>
    <row r="41" spans="1:4" x14ac:dyDescent="0.2">
      <c r="A41" s="239" t="s">
        <v>538</v>
      </c>
      <c r="B41" s="392"/>
    </row>
    <row r="42" spans="1:4" x14ac:dyDescent="0.2">
      <c r="A42" s="151" t="s">
        <v>105</v>
      </c>
      <c r="B42" s="202">
        <v>3164102701</v>
      </c>
    </row>
    <row r="43" spans="1:4" x14ac:dyDescent="0.2">
      <c r="A43" s="151" t="s">
        <v>106</v>
      </c>
      <c r="B43" s="7">
        <v>123.18</v>
      </c>
    </row>
    <row r="44" spans="1:4" x14ac:dyDescent="0.2">
      <c r="A44" s="151" t="s">
        <v>540</v>
      </c>
      <c r="B44" s="399">
        <f>B42*B43/1000000</f>
        <v>389754.17070918001</v>
      </c>
    </row>
    <row r="45" spans="1:4" x14ac:dyDescent="0.2">
      <c r="A45" s="63" t="s">
        <v>539</v>
      </c>
      <c r="B45" s="400">
        <f>B37</f>
        <v>5321.7526592942286</v>
      </c>
    </row>
    <row r="46" spans="1:4" x14ac:dyDescent="0.2">
      <c r="A46" s="337" t="s">
        <v>107</v>
      </c>
      <c r="B46" s="401">
        <f>B45/B44</f>
        <v>1.3654126265309733E-2</v>
      </c>
      <c r="D46" s="8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5A90-1924-E24D-9C74-34DD713E5BE3}">
  <dimension ref="A1:Q32"/>
  <sheetViews>
    <sheetView zoomScale="91" workbookViewId="0">
      <selection activeCell="I6" sqref="I6"/>
    </sheetView>
  </sheetViews>
  <sheetFormatPr baseColWidth="10" defaultRowHeight="16" x14ac:dyDescent="0.2"/>
  <cols>
    <col min="1" max="1" width="25" customWidth="1"/>
    <col min="2" max="2" width="22" bestFit="1" customWidth="1"/>
    <col min="3" max="3" width="12.1640625" bestFit="1" customWidth="1"/>
    <col min="4" max="4" width="11.83203125" bestFit="1" customWidth="1"/>
    <col min="5" max="5" width="15.83203125" bestFit="1" customWidth="1"/>
    <col min="6" max="6" width="23.6640625" customWidth="1"/>
    <col min="7" max="7" width="19.83203125" bestFit="1" customWidth="1"/>
    <col min="8" max="8" width="29.5" bestFit="1" customWidth="1"/>
    <col min="9" max="9" width="12.1640625" bestFit="1" customWidth="1"/>
    <col min="10" max="10" width="24.83203125" bestFit="1" customWidth="1"/>
    <col min="11" max="11" width="21.33203125" customWidth="1"/>
    <col min="12" max="15" width="8" bestFit="1" customWidth="1"/>
    <col min="16" max="16" width="13" customWidth="1"/>
  </cols>
  <sheetData>
    <row r="1" spans="1:16" x14ac:dyDescent="0.2">
      <c r="A1" s="26" t="s">
        <v>70</v>
      </c>
      <c r="B1" s="26">
        <v>0.25</v>
      </c>
    </row>
    <row r="2" spans="1:16" x14ac:dyDescent="0.2">
      <c r="B2" s="3"/>
    </row>
    <row r="3" spans="1:16" x14ac:dyDescent="0.2">
      <c r="A3" s="27" t="s">
        <v>71</v>
      </c>
      <c r="B3" s="3"/>
    </row>
    <row r="4" spans="1:16" ht="17" thickBot="1" x14ac:dyDescent="0.25">
      <c r="A4" s="27" t="s">
        <v>72</v>
      </c>
      <c r="B4" s="3"/>
    </row>
    <row r="5" spans="1:16" x14ac:dyDescent="0.2">
      <c r="L5" s="436" t="s">
        <v>73</v>
      </c>
      <c r="M5" s="437"/>
      <c r="N5" s="437"/>
      <c r="O5" s="437"/>
      <c r="P5" s="438"/>
    </row>
    <row r="6" spans="1:16" ht="51" x14ac:dyDescent="0.2">
      <c r="A6" s="239" t="s">
        <v>74</v>
      </c>
      <c r="B6" s="239" t="s">
        <v>75</v>
      </c>
      <c r="C6" s="433" t="s">
        <v>76</v>
      </c>
      <c r="D6" s="239" t="s">
        <v>77</v>
      </c>
      <c r="E6" s="239" t="s">
        <v>78</v>
      </c>
      <c r="F6" s="239" t="s">
        <v>8</v>
      </c>
      <c r="G6" s="239" t="s">
        <v>79</v>
      </c>
      <c r="H6" s="239" t="s">
        <v>80</v>
      </c>
      <c r="I6" s="239" t="s">
        <v>81</v>
      </c>
      <c r="J6" s="239" t="s">
        <v>82</v>
      </c>
      <c r="K6" s="434" t="s">
        <v>83</v>
      </c>
      <c r="L6" s="239" t="s">
        <v>84</v>
      </c>
      <c r="M6" s="239" t="s">
        <v>85</v>
      </c>
      <c r="N6" s="239" t="s">
        <v>86</v>
      </c>
      <c r="O6" s="239" t="s">
        <v>52</v>
      </c>
      <c r="P6" s="435" t="s">
        <v>87</v>
      </c>
    </row>
    <row r="7" spans="1:16" x14ac:dyDescent="0.2">
      <c r="A7" s="52" t="s">
        <v>9</v>
      </c>
      <c r="B7" s="52">
        <v>31</v>
      </c>
      <c r="C7" s="413">
        <v>1.5405976750533805</v>
      </c>
      <c r="D7" s="54">
        <v>0.50190983747582496</v>
      </c>
      <c r="E7" s="54">
        <v>2.9973504818388647E-2</v>
      </c>
      <c r="F7" s="55">
        <f>C7/(1+(1-$B$2)*D7)</f>
        <v>1.025759094595569</v>
      </c>
      <c r="G7" s="54">
        <v>8.6707773582228378E-2</v>
      </c>
      <c r="H7" s="411">
        <f>F7/(1-G7)</f>
        <v>1.1231444491966487</v>
      </c>
      <c r="I7" s="413">
        <v>0.69063526244432694</v>
      </c>
      <c r="J7" s="54">
        <v>0.52614124875248369</v>
      </c>
      <c r="K7" s="412">
        <v>0.46096910367745508</v>
      </c>
      <c r="L7" s="411">
        <v>0.34187109553097822</v>
      </c>
      <c r="M7" s="411">
        <v>0.52573503977592417</v>
      </c>
      <c r="N7" s="411">
        <v>1.05</v>
      </c>
      <c r="O7" s="411">
        <v>1.0207658043192696</v>
      </c>
      <c r="P7" s="411">
        <v>0.83278075478866231</v>
      </c>
    </row>
    <row r="8" spans="1:16" x14ac:dyDescent="0.2">
      <c r="A8" s="20" t="s">
        <v>88</v>
      </c>
      <c r="B8" s="20">
        <v>19</v>
      </c>
      <c r="C8" s="407">
        <v>1.60070111091836</v>
      </c>
      <c r="D8" s="29">
        <v>1.2111640347849206</v>
      </c>
      <c r="E8" s="29">
        <v>6.7279229737616172E-2</v>
      </c>
      <c r="F8" s="30">
        <f>C8/(1+(1-$B$2)*D8)</f>
        <v>0.72391784857972308</v>
      </c>
      <c r="G8" s="29">
        <v>4.379247523402989E-2</v>
      </c>
      <c r="H8" s="59">
        <f>F8/(1-G8)</f>
        <v>0.75707190105714817</v>
      </c>
      <c r="I8" s="407">
        <v>0.67706030467577893</v>
      </c>
      <c r="J8" s="29">
        <v>0.67598359199996327</v>
      </c>
      <c r="K8" s="30">
        <v>0.62821896028330626</v>
      </c>
      <c r="L8" s="59">
        <v>0.79876309391982148</v>
      </c>
      <c r="M8" s="59">
        <v>0.59377295201994196</v>
      </c>
      <c r="N8" s="59">
        <v>0.68</v>
      </c>
      <c r="O8" s="59">
        <v>1.0952567764169068</v>
      </c>
      <c r="P8" s="59">
        <v>0.80899702817617758</v>
      </c>
    </row>
    <row r="9" spans="1:16" x14ac:dyDescent="0.2">
      <c r="A9" s="33" t="s">
        <v>89</v>
      </c>
      <c r="D9" s="13"/>
      <c r="E9" s="13"/>
      <c r="F9" s="31"/>
      <c r="G9" s="13"/>
      <c r="H9" s="32"/>
      <c r="J9" s="13"/>
      <c r="L9" s="31"/>
      <c r="M9" s="31"/>
      <c r="N9" s="31"/>
      <c r="O9" s="31"/>
    </row>
    <row r="10" spans="1:16" x14ac:dyDescent="0.2">
      <c r="A10" s="409" t="s">
        <v>545</v>
      </c>
      <c r="D10" s="13"/>
      <c r="E10" s="13"/>
      <c r="F10" s="31"/>
      <c r="G10" s="13"/>
      <c r="H10" s="32"/>
      <c r="J10" s="13"/>
      <c r="L10" s="31"/>
      <c r="M10" s="31"/>
      <c r="N10" s="31"/>
      <c r="O10" s="31"/>
    </row>
    <row r="12" spans="1:16" x14ac:dyDescent="0.2">
      <c r="A12" s="433" t="s">
        <v>90</v>
      </c>
      <c r="B12" s="239" t="s">
        <v>91</v>
      </c>
      <c r="C12" s="239" t="s">
        <v>92</v>
      </c>
    </row>
    <row r="13" spans="1:16" x14ac:dyDescent="0.2">
      <c r="A13" s="51" t="s">
        <v>93</v>
      </c>
      <c r="B13" s="52">
        <v>77553</v>
      </c>
      <c r="C13" s="53">
        <v>0.95201443617883186</v>
      </c>
    </row>
    <row r="14" spans="1:16" x14ac:dyDescent="0.2">
      <c r="A14" s="34" t="s">
        <v>88</v>
      </c>
      <c r="B14" s="20">
        <v>3909</v>
      </c>
      <c r="C14" s="35">
        <v>4.7985563821168149E-2</v>
      </c>
    </row>
    <row r="15" spans="1:16" x14ac:dyDescent="0.2">
      <c r="A15" s="28" t="s">
        <v>42</v>
      </c>
      <c r="B15" s="19">
        <v>81462</v>
      </c>
      <c r="C15" s="36">
        <v>1</v>
      </c>
    </row>
    <row r="16" spans="1:16" x14ac:dyDescent="0.2">
      <c r="A16" s="410" t="s">
        <v>546</v>
      </c>
      <c r="B16" s="4"/>
      <c r="C16" s="37"/>
    </row>
    <row r="17" spans="1:17" x14ac:dyDescent="0.2">
      <c r="D17" s="6"/>
    </row>
    <row r="18" spans="1:17" x14ac:dyDescent="0.2">
      <c r="A18" s="439" t="s">
        <v>74</v>
      </c>
      <c r="B18" s="440" t="s">
        <v>75</v>
      </c>
      <c r="C18" s="440" t="s">
        <v>94</v>
      </c>
      <c r="D18" s="440" t="s">
        <v>95</v>
      </c>
      <c r="E18" s="440" t="s">
        <v>96</v>
      </c>
      <c r="F18" s="440" t="s">
        <v>97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x14ac:dyDescent="0.2">
      <c r="A19" s="52" t="s">
        <v>9</v>
      </c>
      <c r="B19" s="56">
        <v>31</v>
      </c>
      <c r="C19" s="57">
        <v>1.32064887284738</v>
      </c>
      <c r="D19" s="58">
        <v>5.0197895540138149E-2</v>
      </c>
      <c r="E19" s="57">
        <v>1.8115110523190701</v>
      </c>
      <c r="F19" s="58">
        <v>6.4921549229288902E-2</v>
      </c>
    </row>
    <row r="20" spans="1:17" x14ac:dyDescent="0.2">
      <c r="A20" s="20" t="s">
        <v>88</v>
      </c>
      <c r="B20" s="39">
        <v>19</v>
      </c>
      <c r="C20" s="40">
        <v>3.6821419189971127</v>
      </c>
      <c r="D20" s="41">
        <v>0.17774924379301243</v>
      </c>
      <c r="E20" s="40">
        <v>7.785269341085777</v>
      </c>
      <c r="F20" s="41">
        <v>0.24479704719777895</v>
      </c>
    </row>
    <row r="21" spans="1:17" x14ac:dyDescent="0.2">
      <c r="A21" s="4" t="s">
        <v>98</v>
      </c>
    </row>
    <row r="22" spans="1:17" x14ac:dyDescent="0.2">
      <c r="A22" s="381" t="s">
        <v>547</v>
      </c>
    </row>
    <row r="24" spans="1:17" x14ac:dyDescent="0.2">
      <c r="A24" s="239" t="s">
        <v>90</v>
      </c>
      <c r="B24" s="239" t="s">
        <v>99</v>
      </c>
      <c r="C24" s="239" t="s">
        <v>100</v>
      </c>
      <c r="D24" s="239" t="s">
        <v>101</v>
      </c>
      <c r="E24" s="239" t="s">
        <v>102</v>
      </c>
      <c r="F24" s="239" t="s">
        <v>36</v>
      </c>
      <c r="G24" s="239" t="s">
        <v>103</v>
      </c>
    </row>
    <row r="25" spans="1:17" x14ac:dyDescent="0.2">
      <c r="A25" s="20" t="s">
        <v>9</v>
      </c>
      <c r="B25" s="34">
        <f>H7</f>
        <v>1.1231444491966487</v>
      </c>
      <c r="C25" s="34">
        <f>B13</f>
        <v>77553</v>
      </c>
      <c r="D25" s="34">
        <f>E19</f>
        <v>1.8115110523190701</v>
      </c>
      <c r="E25" s="42">
        <f>C25*D25</f>
        <v>140488.11664050084</v>
      </c>
      <c r="F25" s="34">
        <f>E25/($E$26+$E$27)</f>
        <v>0.69771928304883879</v>
      </c>
      <c r="G25" s="43">
        <f>B25*F25</f>
        <v>0.78363953985376866</v>
      </c>
    </row>
    <row r="26" spans="1:17" x14ac:dyDescent="0.2">
      <c r="A26" s="20" t="s">
        <v>88</v>
      </c>
      <c r="B26" s="34">
        <f>H8</f>
        <v>0.75707190105714817</v>
      </c>
      <c r="C26" s="34">
        <f>B14</f>
        <v>3909</v>
      </c>
      <c r="D26" s="34">
        <f>E20</f>
        <v>7.785269341085777</v>
      </c>
      <c r="E26" s="42">
        <f>C26*D26</f>
        <v>30432.617854304302</v>
      </c>
      <c r="F26" s="34">
        <f>E26/($E$26+$E$27)</f>
        <v>0.15114035847558069</v>
      </c>
      <c r="G26" s="43">
        <f>B26*F26</f>
        <v>0.11442411851756673</v>
      </c>
    </row>
    <row r="27" spans="1:17" x14ac:dyDescent="0.2">
      <c r="E27" s="42">
        <f>SUM(E25:E26)</f>
        <v>170920.73449480513</v>
      </c>
      <c r="F27" s="19" t="s">
        <v>104</v>
      </c>
      <c r="G27" s="44">
        <f>SUM(G25:G26)</f>
        <v>0.89806365837133539</v>
      </c>
    </row>
    <row r="29" spans="1:17" x14ac:dyDescent="0.2">
      <c r="A29" t="s">
        <v>108</v>
      </c>
    </row>
    <row r="30" spans="1:17" x14ac:dyDescent="0.2">
      <c r="A30" s="238"/>
      <c r="B30" s="239" t="s">
        <v>111</v>
      </c>
      <c r="C30" s="239" t="s">
        <v>110</v>
      </c>
      <c r="D30" s="239" t="s">
        <v>135</v>
      </c>
      <c r="E30" s="239" t="s">
        <v>108</v>
      </c>
    </row>
    <row r="31" spans="1:17" x14ac:dyDescent="0.2">
      <c r="A31" s="20" t="s">
        <v>109</v>
      </c>
      <c r="B31" s="50">
        <v>5748</v>
      </c>
      <c r="C31" s="50">
        <v>44704</v>
      </c>
      <c r="D31" s="29">
        <f>B31/C31</f>
        <v>0.12857909806728704</v>
      </c>
      <c r="E31" s="30">
        <f>$G$27*(1+(1-B1)*D31)</f>
        <v>0.9846678197716312</v>
      </c>
    </row>
    <row r="32" spans="1:17" x14ac:dyDescent="0.2">
      <c r="A32" s="20" t="s">
        <v>45</v>
      </c>
      <c r="B32" s="50">
        <f>'Markedsverdi av gjeld'!B37</f>
        <v>5321.7526592942286</v>
      </c>
      <c r="C32" s="50">
        <f>'Markedsverdi av gjeld'!B44</f>
        <v>389754.17070918001</v>
      </c>
      <c r="D32" s="29">
        <f>B32/C32</f>
        <v>1.3654126265309733E-2</v>
      </c>
      <c r="E32" s="30">
        <f>$G$27*(1+(1-B2)*D32)</f>
        <v>0.91032593295702369</v>
      </c>
    </row>
  </sheetData>
  <mergeCells count="1">
    <mergeCell ref="L5:P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EF3A4-07F1-B44F-A10E-090D6ED9402A}">
  <dimension ref="A2:O30"/>
  <sheetViews>
    <sheetView zoomScale="116" workbookViewId="0">
      <selection activeCell="B27" sqref="B27"/>
    </sheetView>
  </sheetViews>
  <sheetFormatPr baseColWidth="10" defaultRowHeight="16" x14ac:dyDescent="0.2"/>
  <cols>
    <col min="1" max="1" width="29.83203125" bestFit="1" customWidth="1"/>
    <col min="2" max="2" width="17.5" bestFit="1" customWidth="1"/>
    <col min="3" max="5" width="11.5" bestFit="1" customWidth="1"/>
    <col min="12" max="12" width="28" style="161" bestFit="1" customWidth="1"/>
    <col min="13" max="13" width="12.1640625" style="161" bestFit="1" customWidth="1"/>
    <col min="14" max="14" width="8.1640625" style="161" bestFit="1" customWidth="1"/>
    <col min="15" max="15" width="10.33203125" style="161" bestFit="1" customWidth="1"/>
  </cols>
  <sheetData>
    <row r="2" spans="1:13" ht="19" x14ac:dyDescent="0.25">
      <c r="A2" s="85" t="s">
        <v>574</v>
      </c>
    </row>
    <row r="5" spans="1:13" x14ac:dyDescent="0.2">
      <c r="A5" s="20" t="s">
        <v>136</v>
      </c>
      <c r="B5" s="77">
        <v>3.8800000000000001E-2</v>
      </c>
    </row>
    <row r="6" spans="1:13" x14ac:dyDescent="0.2">
      <c r="A6" s="20" t="s">
        <v>67</v>
      </c>
      <c r="B6" s="78">
        <f>ERP!E31</f>
        <v>6.8500022036945218E-2</v>
      </c>
    </row>
    <row r="7" spans="1:13" x14ac:dyDescent="0.2">
      <c r="A7" s="20" t="s">
        <v>138</v>
      </c>
      <c r="B7" s="79">
        <f>'Bottom-up beta'!E31</f>
        <v>0.9846678197716312</v>
      </c>
      <c r="L7" s="219"/>
      <c r="M7" s="219"/>
    </row>
    <row r="8" spans="1:13" x14ac:dyDescent="0.2">
      <c r="A8" s="20" t="s">
        <v>137</v>
      </c>
      <c r="B8" s="79">
        <f>'Bottom-up beta'!E32</f>
        <v>0.91032593295702369</v>
      </c>
      <c r="L8" s="219"/>
      <c r="M8" s="220"/>
    </row>
    <row r="9" spans="1:13" x14ac:dyDescent="0.2">
      <c r="L9" s="219"/>
      <c r="M9" s="220"/>
    </row>
    <row r="10" spans="1:13" x14ac:dyDescent="0.2">
      <c r="A10" s="20" t="s">
        <v>548</v>
      </c>
      <c r="B10" s="62">
        <f>B5+B6*B7</f>
        <v>0.10624976735342755</v>
      </c>
      <c r="L10" s="219"/>
      <c r="M10" s="219"/>
    </row>
    <row r="11" spans="1:13" x14ac:dyDescent="0.2">
      <c r="A11" s="20" t="s">
        <v>549</v>
      </c>
      <c r="B11" s="62">
        <f>B5+B6*B8</f>
        <v>0.10115734646835883</v>
      </c>
      <c r="L11" s="219"/>
      <c r="M11" s="220"/>
    </row>
    <row r="12" spans="1:13" x14ac:dyDescent="0.2">
      <c r="A12" s="20" t="s">
        <v>70</v>
      </c>
      <c r="B12" s="218">
        <v>0.25</v>
      </c>
      <c r="L12" s="219"/>
      <c r="M12" s="220"/>
    </row>
    <row r="13" spans="1:13" x14ac:dyDescent="0.2">
      <c r="A13" s="20" t="s">
        <v>140</v>
      </c>
      <c r="B13" s="71">
        <v>5.8799999999999998E-2</v>
      </c>
      <c r="L13" s="219"/>
      <c r="M13" s="221"/>
    </row>
    <row r="14" spans="1:13" x14ac:dyDescent="0.2">
      <c r="L14" s="219"/>
      <c r="M14" s="220"/>
    </row>
    <row r="15" spans="1:13" x14ac:dyDescent="0.2">
      <c r="A15" s="223"/>
      <c r="B15" s="224" t="s">
        <v>50</v>
      </c>
      <c r="C15" s="224" t="s">
        <v>111</v>
      </c>
      <c r="D15" s="224" t="s">
        <v>139</v>
      </c>
    </row>
    <row r="16" spans="1:13" x14ac:dyDescent="0.2">
      <c r="A16" s="20" t="s">
        <v>109</v>
      </c>
      <c r="B16" s="50">
        <v>44704</v>
      </c>
      <c r="C16" s="50">
        <v>5748</v>
      </c>
      <c r="D16" s="50">
        <f>SUM(B16:C16)</f>
        <v>50452</v>
      </c>
    </row>
    <row r="17" spans="1:15" x14ac:dyDescent="0.2">
      <c r="A17" s="20" t="s">
        <v>45</v>
      </c>
      <c r="B17" s="50">
        <v>389754</v>
      </c>
      <c r="C17" s="50">
        <f>'Markedsverdi av gjeld'!B37</f>
        <v>5321.7526592942286</v>
      </c>
      <c r="D17" s="50">
        <f>SUM(B17:C17)</f>
        <v>395075.75265929423</v>
      </c>
      <c r="L17" s="219"/>
      <c r="M17" s="219"/>
      <c r="N17" s="219"/>
      <c r="O17" s="219"/>
    </row>
    <row r="18" spans="1:15" x14ac:dyDescent="0.2">
      <c r="A18" s="354" t="s">
        <v>36</v>
      </c>
      <c r="B18" s="356"/>
      <c r="C18" s="356"/>
      <c r="D18" s="355"/>
      <c r="L18" s="219"/>
      <c r="M18" s="222"/>
      <c r="N18" s="222"/>
      <c r="O18" s="222"/>
    </row>
    <row r="19" spans="1:15" x14ac:dyDescent="0.2">
      <c r="A19" s="60" t="s">
        <v>109</v>
      </c>
      <c r="B19" s="61">
        <f>B16/D16</f>
        <v>0.88606992785221594</v>
      </c>
      <c r="C19" s="29">
        <f>C16/D16</f>
        <v>0.11393007214778403</v>
      </c>
      <c r="D19" s="29">
        <f>SUM(B19:C19)</f>
        <v>1</v>
      </c>
      <c r="L19" s="219"/>
      <c r="M19" s="222"/>
      <c r="N19" s="222"/>
      <c r="O19" s="222"/>
    </row>
    <row r="20" spans="1:15" x14ac:dyDescent="0.2">
      <c r="A20" s="20" t="s">
        <v>45</v>
      </c>
      <c r="B20" s="29">
        <f>B17/D17</f>
        <v>0.98652979175899058</v>
      </c>
      <c r="C20" s="66">
        <f>C17/D17</f>
        <v>1.347020824100943E-2</v>
      </c>
      <c r="D20" s="64">
        <f>SUM(B20:C20)</f>
        <v>1</v>
      </c>
    </row>
    <row r="21" spans="1:15" x14ac:dyDescent="0.2">
      <c r="A21" s="354" t="s">
        <v>143</v>
      </c>
      <c r="B21" s="355"/>
    </row>
    <row r="22" spans="1:15" x14ac:dyDescent="0.2">
      <c r="A22" s="63" t="s">
        <v>141</v>
      </c>
      <c r="B22" s="65">
        <f>B19*B10+C19*B13*(1-B12)</f>
        <v>9.9169039874883555E-2</v>
      </c>
      <c r="L22" s="219"/>
      <c r="M22" s="219"/>
      <c r="N22" s="219"/>
      <c r="O22" s="219"/>
    </row>
    <row r="23" spans="1:15" x14ac:dyDescent="0.2">
      <c r="A23" s="20" t="s">
        <v>142</v>
      </c>
      <c r="B23" s="65">
        <f>B20*B11+C20*B13*(1-B12)</f>
        <v>0.10038877212975061</v>
      </c>
      <c r="L23" s="219"/>
      <c r="M23" s="220"/>
      <c r="N23" s="220"/>
      <c r="O23" s="220"/>
    </row>
    <row r="24" spans="1:15" x14ac:dyDescent="0.2">
      <c r="L24" s="219"/>
      <c r="M24" s="220"/>
      <c r="N24" s="220"/>
      <c r="O24" s="220"/>
    </row>
    <row r="27" spans="1:15" x14ac:dyDescent="0.2">
      <c r="L27" s="219"/>
      <c r="M27" s="219"/>
    </row>
    <row r="28" spans="1:15" x14ac:dyDescent="0.2">
      <c r="L28" s="219"/>
      <c r="M28" s="220"/>
    </row>
    <row r="29" spans="1:15" x14ac:dyDescent="0.2">
      <c r="L29" s="219"/>
      <c r="M29" s="220"/>
    </row>
    <row r="30" spans="1:15" x14ac:dyDescent="0.2">
      <c r="B30" s="391"/>
      <c r="C30" s="391"/>
    </row>
  </sheetData>
  <mergeCells count="3">
    <mergeCell ref="B30:C30"/>
    <mergeCell ref="A21:B21"/>
    <mergeCell ref="A18:D1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9F7A-400D-7640-96C0-95841B2204DA}">
  <dimension ref="A2:S153"/>
  <sheetViews>
    <sheetView workbookViewId="0">
      <selection activeCell="A10" sqref="A10:C10"/>
    </sheetView>
  </sheetViews>
  <sheetFormatPr baseColWidth="10" defaultRowHeight="16" x14ac:dyDescent="0.2"/>
  <cols>
    <col min="1" max="1" width="13" bestFit="1" customWidth="1"/>
    <col min="2" max="2" width="14.6640625" bestFit="1" customWidth="1"/>
  </cols>
  <sheetData>
    <row r="2" spans="1:19" ht="19" x14ac:dyDescent="0.25">
      <c r="A2" s="85" t="s">
        <v>561</v>
      </c>
    </row>
    <row r="5" spans="1:19" x14ac:dyDescent="0.2">
      <c r="A5" s="246" t="s">
        <v>127</v>
      </c>
      <c r="B5" s="358">
        <v>2022</v>
      </c>
      <c r="C5" s="358">
        <v>2023</v>
      </c>
      <c r="D5" s="358">
        <v>2024</v>
      </c>
      <c r="E5" s="358">
        <v>2025</v>
      </c>
      <c r="F5" s="358">
        <v>2026</v>
      </c>
      <c r="G5" s="358">
        <v>2027</v>
      </c>
      <c r="H5" s="358">
        <v>2028</v>
      </c>
      <c r="I5" s="358">
        <v>2029</v>
      </c>
      <c r="J5" s="358">
        <v>2030</v>
      </c>
      <c r="K5" s="358">
        <v>2031</v>
      </c>
      <c r="L5" s="358">
        <v>2032</v>
      </c>
      <c r="M5" s="359" t="s">
        <v>150</v>
      </c>
    </row>
    <row r="6" spans="1:19" x14ac:dyDescent="0.2">
      <c r="A6" s="63" t="s">
        <v>173</v>
      </c>
      <c r="B6" s="165">
        <f>D21</f>
        <v>6869.6167076940792</v>
      </c>
      <c r="C6" s="165">
        <f>D33</f>
        <v>8885.0011568115024</v>
      </c>
      <c r="D6" s="165">
        <f>D45</f>
        <v>11613.554306473949</v>
      </c>
      <c r="E6" s="165">
        <f>D57</f>
        <v>15162.714575474909</v>
      </c>
      <c r="F6" s="165">
        <f>D69</f>
        <v>19733.624715218175</v>
      </c>
      <c r="G6" s="165">
        <f>D81</f>
        <v>25771.614280138729</v>
      </c>
      <c r="H6" s="165">
        <f>D93</f>
        <v>33022.588312723099</v>
      </c>
      <c r="I6" s="165">
        <f>D105</f>
        <v>41019.96092796528</v>
      </c>
      <c r="J6" s="165">
        <f>D117</f>
        <v>49032.831422950527</v>
      </c>
      <c r="K6" s="165">
        <f>D129</f>
        <v>56132.9942698784</v>
      </c>
      <c r="L6" s="357">
        <f>D141</f>
        <v>61345.36402967204</v>
      </c>
      <c r="M6" s="165">
        <f>D153</f>
        <v>65106.169047242453</v>
      </c>
    </row>
    <row r="7" spans="1:19" x14ac:dyDescent="0.2">
      <c r="A7" s="20" t="s">
        <v>169</v>
      </c>
      <c r="B7" s="50">
        <f>C21</f>
        <v>1653</v>
      </c>
      <c r="C7" s="50">
        <f>C33</f>
        <v>1991.683341538816</v>
      </c>
      <c r="D7" s="50">
        <f>C45</f>
        <v>2501.0968996700631</v>
      </c>
      <c r="E7" s="50">
        <f>C57</f>
        <v>3278.4269095365648</v>
      </c>
      <c r="F7" s="50">
        <f>C69</f>
        <v>4345.7443452440712</v>
      </c>
      <c r="G7" s="50">
        <f>C81</f>
        <v>5610.4752422415386</v>
      </c>
      <c r="H7" s="50">
        <f>C93</f>
        <v>7325.8848621351408</v>
      </c>
      <c r="I7" s="50">
        <f>C105</f>
        <v>9439.8430829477948</v>
      </c>
      <c r="J7" s="50">
        <f>C117</f>
        <v>11881.356212719289</v>
      </c>
      <c r="K7" s="50">
        <f>C129</f>
        <v>14494.68411855269</v>
      </c>
      <c r="L7" s="50">
        <f>C141</f>
        <v>17030.322614651333</v>
      </c>
      <c r="M7" s="50">
        <f>C153</f>
        <v>19149.168128107911</v>
      </c>
    </row>
    <row r="8" spans="1:19" ht="17" x14ac:dyDescent="0.2">
      <c r="A8" s="72" t="s">
        <v>176</v>
      </c>
      <c r="B8" s="50">
        <f>'DCF; U.S. GAAP'!B30</f>
        <v>3071.4167076940785</v>
      </c>
      <c r="C8" s="50">
        <f>'DCF; U.S. GAAP'!C30</f>
        <v>4007.0677906562382</v>
      </c>
      <c r="D8" s="50">
        <f>'DCF; U.S. GAAP'!D30</f>
        <v>5229.6500493325084</v>
      </c>
      <c r="E8" s="50">
        <f>'DCF; U.S. GAAP'!E30</f>
        <v>6827.5871785375284</v>
      </c>
      <c r="F8" s="50">
        <f>'DCF; U.S. GAAP'!F30</f>
        <v>8916.6544849873371</v>
      </c>
      <c r="G8" s="50">
        <f>'DCF; U.S. GAAP'!G30</f>
        <v>11648.464807162092</v>
      </c>
      <c r="H8" s="50">
        <f>'DCF; U.S. GAAP'!H30</f>
        <v>14576.858894719506</v>
      </c>
      <c r="I8" s="50">
        <f>'DCF; U.S. GAAP'!I30</f>
        <v>17437.215698189975</v>
      </c>
      <c r="J8" s="50">
        <f>'DCF; U.S. GAAP'!J30</f>
        <v>19894.226707704536</v>
      </c>
      <c r="K8" s="50">
        <f>'DCF; U.S. GAAP'!K30</f>
        <v>21594.846965480559</v>
      </c>
      <c r="L8" s="50">
        <f>'DCF; U.S. GAAP'!L30</f>
        <v>22242.692374444978</v>
      </c>
      <c r="M8" s="50">
        <f>'DCF; U.S. GAAP'!M30</f>
        <v>22909.973145678327</v>
      </c>
    </row>
    <row r="10" spans="1:19" x14ac:dyDescent="0.2">
      <c r="A10" s="20" t="s">
        <v>170</v>
      </c>
      <c r="B10" s="70">
        <v>5</v>
      </c>
      <c r="C10" t="s">
        <v>171</v>
      </c>
    </row>
    <row r="12" spans="1:19" x14ac:dyDescent="0.2">
      <c r="A12" s="4">
        <v>2022</v>
      </c>
    </row>
    <row r="13" spans="1:19" x14ac:dyDescent="0.2"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1:19" x14ac:dyDescent="0.2">
      <c r="A14" s="20"/>
      <c r="B14" s="20" t="s">
        <v>168</v>
      </c>
      <c r="C14" s="20" t="s">
        <v>169</v>
      </c>
      <c r="D14" s="20" t="s">
        <v>179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x14ac:dyDescent="0.2">
      <c r="A15" s="20" t="s">
        <v>172</v>
      </c>
      <c r="B15" s="187">
        <f>'DCF; U.S. GAAP'!$B$30</f>
        <v>3071.4167076940785</v>
      </c>
      <c r="C15" s="50">
        <v>0</v>
      </c>
      <c r="D15" s="50">
        <f>B15</f>
        <v>3071.4167076940785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x14ac:dyDescent="0.2">
      <c r="A16" s="20">
        <v>-1</v>
      </c>
      <c r="B16" s="187">
        <v>2593</v>
      </c>
      <c r="C16" s="50">
        <f>B16/-$A$20</f>
        <v>518.6</v>
      </c>
      <c r="D16" s="50">
        <f>B16*(1-(-A16/$B$10))</f>
        <v>2074.4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8" x14ac:dyDescent="0.2">
      <c r="A17" s="20">
        <v>-2</v>
      </c>
      <c r="B17" s="187">
        <v>1491</v>
      </c>
      <c r="C17" s="50">
        <f>B17/-$A$20</f>
        <v>298.2</v>
      </c>
      <c r="D17" s="50">
        <f>B17*(1-(-A17/$B$10))</f>
        <v>894.6</v>
      </c>
    </row>
    <row r="18" spans="1:18" x14ac:dyDescent="0.2">
      <c r="A18" s="20">
        <v>-3</v>
      </c>
      <c r="B18" s="187">
        <v>1343</v>
      </c>
      <c r="C18" s="50">
        <f>B18/-$A$20</f>
        <v>268.60000000000002</v>
      </c>
      <c r="D18" s="50">
        <f>B18*(1-(-A18/$B$10))</f>
        <v>537.20000000000005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x14ac:dyDescent="0.2">
      <c r="A19" s="20">
        <v>-4</v>
      </c>
      <c r="B19" s="187">
        <v>1460</v>
      </c>
      <c r="C19" s="50">
        <f>B19/-$A$20</f>
        <v>292</v>
      </c>
      <c r="D19" s="50">
        <f>B19*(1-(-A19/$B$10))</f>
        <v>291.99999999999994</v>
      </c>
    </row>
    <row r="20" spans="1:18" x14ac:dyDescent="0.2">
      <c r="A20" s="20">
        <v>-5</v>
      </c>
      <c r="B20" s="187">
        <v>1378</v>
      </c>
      <c r="C20" s="50">
        <f>B20/-$A$20</f>
        <v>275.60000000000002</v>
      </c>
      <c r="D20" s="50">
        <f>B20*(1-(-A20/$B$10))</f>
        <v>0</v>
      </c>
    </row>
    <row r="21" spans="1:18" x14ac:dyDescent="0.2">
      <c r="B21" s="19" t="s">
        <v>49</v>
      </c>
      <c r="C21" s="162">
        <f>SUM(C15:C20)</f>
        <v>1653</v>
      </c>
      <c r="D21" s="162">
        <f>SUM(D15:D20)</f>
        <v>6869.6167076940792</v>
      </c>
    </row>
    <row r="24" spans="1:18" x14ac:dyDescent="0.2">
      <c r="A24" s="4">
        <f>A12+1</f>
        <v>2023</v>
      </c>
    </row>
    <row r="26" spans="1:18" x14ac:dyDescent="0.2">
      <c r="A26" s="20"/>
      <c r="B26" s="20" t="s">
        <v>168</v>
      </c>
      <c r="C26" s="20" t="s">
        <v>169</v>
      </c>
      <c r="D26" s="20" t="s">
        <v>179</v>
      </c>
      <c r="G26" s="86"/>
    </row>
    <row r="27" spans="1:18" x14ac:dyDescent="0.2">
      <c r="A27" s="20" t="s">
        <v>172</v>
      </c>
      <c r="B27" s="187">
        <f>'DCF; U.S. GAAP'!$C$30</f>
        <v>4007.0677906562382</v>
      </c>
      <c r="C27" s="50">
        <v>0</v>
      </c>
      <c r="D27" s="50">
        <f>B27</f>
        <v>4007.0677906562382</v>
      </c>
    </row>
    <row r="28" spans="1:18" x14ac:dyDescent="0.2">
      <c r="A28" s="20">
        <v>-1</v>
      </c>
      <c r="B28" s="187">
        <f>'DCF; U.S. GAAP'!$B$30</f>
        <v>3071.4167076940785</v>
      </c>
      <c r="C28" s="50">
        <f>B28/-$A$20</f>
        <v>614.28334153881565</v>
      </c>
      <c r="D28" s="50">
        <f>B28*(1-(-A28/$B$10))</f>
        <v>2457.133366155263</v>
      </c>
      <c r="G28" s="86"/>
    </row>
    <row r="29" spans="1:18" x14ac:dyDescent="0.2">
      <c r="A29" s="20">
        <v>-2</v>
      </c>
      <c r="B29" s="187">
        <v>2593</v>
      </c>
      <c r="C29" s="50">
        <f>B29/-$A$20</f>
        <v>518.6</v>
      </c>
      <c r="D29" s="50">
        <f>B29*(1-(-A29/$B$10))</f>
        <v>1555.8</v>
      </c>
    </row>
    <row r="30" spans="1:18" x14ac:dyDescent="0.2">
      <c r="A30" s="20">
        <v>-3</v>
      </c>
      <c r="B30" s="187">
        <v>1491</v>
      </c>
      <c r="C30" s="50">
        <f>B30/-$A$20</f>
        <v>298.2</v>
      </c>
      <c r="D30" s="50">
        <f>B30*(1-(-A30/$B$10))</f>
        <v>596.4</v>
      </c>
    </row>
    <row r="31" spans="1:18" x14ac:dyDescent="0.2">
      <c r="A31" s="20">
        <v>-4</v>
      </c>
      <c r="B31" s="187">
        <v>1343</v>
      </c>
      <c r="C31" s="50">
        <f>B31/-$A$20</f>
        <v>268.60000000000002</v>
      </c>
      <c r="D31" s="50">
        <f>B31*(1-(-A31/$B$10))</f>
        <v>268.59999999999997</v>
      </c>
    </row>
    <row r="32" spans="1:18" x14ac:dyDescent="0.2">
      <c r="A32" s="20">
        <v>-5</v>
      </c>
      <c r="B32" s="187">
        <v>1460</v>
      </c>
      <c r="C32" s="50">
        <f>B32/-$A$20</f>
        <v>292</v>
      </c>
      <c r="D32" s="50">
        <f>B32*(1-(-A32/$B$10))</f>
        <v>0</v>
      </c>
    </row>
    <row r="33" spans="1:4" x14ac:dyDescent="0.2">
      <c r="B33" s="19" t="s">
        <v>49</v>
      </c>
      <c r="C33" s="162">
        <f>SUM(C27:C32)</f>
        <v>1991.683341538816</v>
      </c>
      <c r="D33" s="162">
        <f>SUM(D27:D32)</f>
        <v>8885.0011568115024</v>
      </c>
    </row>
    <row r="36" spans="1:4" x14ac:dyDescent="0.2">
      <c r="A36" s="4">
        <f>A24+1</f>
        <v>2024</v>
      </c>
    </row>
    <row r="38" spans="1:4" x14ac:dyDescent="0.2">
      <c r="A38" s="20"/>
      <c r="B38" s="20" t="s">
        <v>168</v>
      </c>
      <c r="C38" s="20" t="s">
        <v>169</v>
      </c>
      <c r="D38" s="20" t="s">
        <v>179</v>
      </c>
    </row>
    <row r="39" spans="1:4" x14ac:dyDescent="0.2">
      <c r="A39" s="20" t="s">
        <v>172</v>
      </c>
      <c r="B39" s="187">
        <f>'DCF; U.S. GAAP'!$D$30</f>
        <v>5229.6500493325084</v>
      </c>
      <c r="C39" s="50">
        <v>0</v>
      </c>
      <c r="D39" s="50">
        <f>B39</f>
        <v>5229.6500493325084</v>
      </c>
    </row>
    <row r="40" spans="1:4" x14ac:dyDescent="0.2">
      <c r="A40" s="20">
        <v>-1</v>
      </c>
      <c r="B40" s="187">
        <f>'DCF; U.S. GAAP'!$C$30</f>
        <v>4007.0677906562382</v>
      </c>
      <c r="C40" s="50">
        <f>B40/-$A$20</f>
        <v>801.41355813124767</v>
      </c>
      <c r="D40" s="50">
        <f>B40*(1-(-A40/$B$10))</f>
        <v>3205.6542325249907</v>
      </c>
    </row>
    <row r="41" spans="1:4" x14ac:dyDescent="0.2">
      <c r="A41" s="20">
        <v>-2</v>
      </c>
      <c r="B41" s="187">
        <f>'DCF; U.S. GAAP'!$B$30</f>
        <v>3071.4167076940785</v>
      </c>
      <c r="C41" s="50">
        <f>B41/-$A$20</f>
        <v>614.28334153881565</v>
      </c>
      <c r="D41" s="50">
        <f>B41*(1-(-A41/$B$10))</f>
        <v>1842.8500246164469</v>
      </c>
    </row>
    <row r="42" spans="1:4" x14ac:dyDescent="0.2">
      <c r="A42" s="20">
        <v>-3</v>
      </c>
      <c r="B42" s="187">
        <v>2593</v>
      </c>
      <c r="C42" s="50">
        <f>B42/-$A$20</f>
        <v>518.6</v>
      </c>
      <c r="D42" s="50">
        <f>B42*(1-(-A42/$B$10))</f>
        <v>1037.2</v>
      </c>
    </row>
    <row r="43" spans="1:4" x14ac:dyDescent="0.2">
      <c r="A43" s="20">
        <v>-4</v>
      </c>
      <c r="B43" s="187">
        <v>1491</v>
      </c>
      <c r="C43" s="50">
        <f>B43/-$A$20</f>
        <v>298.2</v>
      </c>
      <c r="D43" s="50">
        <f>B43*(1-(-A43/$B$10))</f>
        <v>298.19999999999993</v>
      </c>
    </row>
    <row r="44" spans="1:4" x14ac:dyDescent="0.2">
      <c r="A44" s="20">
        <v>-5</v>
      </c>
      <c r="B44" s="187">
        <v>1343</v>
      </c>
      <c r="C44" s="50">
        <f>B44/-$A$20</f>
        <v>268.60000000000002</v>
      </c>
      <c r="D44" s="50">
        <f>B44*(1-(-A44/$B$10))</f>
        <v>0</v>
      </c>
    </row>
    <row r="45" spans="1:4" x14ac:dyDescent="0.2">
      <c r="B45" s="19" t="s">
        <v>49</v>
      </c>
      <c r="C45" s="162">
        <f>SUM(C39:C44)</f>
        <v>2501.0968996700631</v>
      </c>
      <c r="D45" s="162">
        <f>SUM(D39:D44)</f>
        <v>11613.554306473949</v>
      </c>
    </row>
    <row r="48" spans="1:4" x14ac:dyDescent="0.2">
      <c r="A48" s="4">
        <f>A36+1</f>
        <v>2025</v>
      </c>
    </row>
    <row r="50" spans="1:4" x14ac:dyDescent="0.2">
      <c r="A50" s="20"/>
      <c r="B50" s="20" t="s">
        <v>168</v>
      </c>
      <c r="C50" s="20" t="s">
        <v>169</v>
      </c>
      <c r="D50" s="20" t="s">
        <v>179</v>
      </c>
    </row>
    <row r="51" spans="1:4" x14ac:dyDescent="0.2">
      <c r="A51" s="20" t="s">
        <v>172</v>
      </c>
      <c r="B51" s="187">
        <f>'DCF; U.S. GAAP'!$E$30</f>
        <v>6827.5871785375284</v>
      </c>
      <c r="C51" s="50">
        <v>0</v>
      </c>
      <c r="D51" s="50">
        <f>B51</f>
        <v>6827.5871785375284</v>
      </c>
    </row>
    <row r="52" spans="1:4" x14ac:dyDescent="0.2">
      <c r="A52" s="20">
        <v>-1</v>
      </c>
      <c r="B52" s="187">
        <f>'DCF; U.S. GAAP'!$D$30</f>
        <v>5229.6500493325084</v>
      </c>
      <c r="C52" s="50">
        <f>B52/-$A$20</f>
        <v>1045.9300098665017</v>
      </c>
      <c r="D52" s="50">
        <f>B52*(1-(-A52/$B$10))</f>
        <v>4183.7200394660067</v>
      </c>
    </row>
    <row r="53" spans="1:4" x14ac:dyDescent="0.2">
      <c r="A53" s="20">
        <v>-2</v>
      </c>
      <c r="B53" s="187">
        <f>'DCF; U.S. GAAP'!$C$30</f>
        <v>4007.0677906562382</v>
      </c>
      <c r="C53" s="50">
        <f>B53/-$A$20</f>
        <v>801.41355813124767</v>
      </c>
      <c r="D53" s="50">
        <f>B53*(1-(-A53/$B$10))</f>
        <v>2404.2406743937427</v>
      </c>
    </row>
    <row r="54" spans="1:4" x14ac:dyDescent="0.2">
      <c r="A54" s="20">
        <v>-3</v>
      </c>
      <c r="B54" s="187">
        <f>'DCF; U.S. GAAP'!$B$30</f>
        <v>3071.4167076940785</v>
      </c>
      <c r="C54" s="50">
        <f>B54/-$A$20</f>
        <v>614.28334153881565</v>
      </c>
      <c r="D54" s="50">
        <f>B54*(1-(-A54/$B$10))</f>
        <v>1228.5666830776315</v>
      </c>
    </row>
    <row r="55" spans="1:4" x14ac:dyDescent="0.2">
      <c r="A55" s="20">
        <v>-4</v>
      </c>
      <c r="B55" s="187">
        <v>2593</v>
      </c>
      <c r="C55" s="50">
        <f>B55/-$A$20</f>
        <v>518.6</v>
      </c>
      <c r="D55" s="50">
        <f>B55*(1-(-A55/$B$10))</f>
        <v>518.59999999999991</v>
      </c>
    </row>
    <row r="56" spans="1:4" x14ac:dyDescent="0.2">
      <c r="A56" s="20">
        <v>-5</v>
      </c>
      <c r="B56" s="187">
        <v>1491</v>
      </c>
      <c r="C56" s="50">
        <f>B56/-$A$20</f>
        <v>298.2</v>
      </c>
      <c r="D56" s="50">
        <f>B56*(1-(-A56/$B$10))</f>
        <v>0</v>
      </c>
    </row>
    <row r="57" spans="1:4" x14ac:dyDescent="0.2">
      <c r="B57" s="19" t="s">
        <v>49</v>
      </c>
      <c r="C57" s="162">
        <f>SUM(C51:C56)</f>
        <v>3278.4269095365648</v>
      </c>
      <c r="D57" s="162">
        <f>SUM(D51:D56)</f>
        <v>15162.714575474909</v>
      </c>
    </row>
    <row r="60" spans="1:4" x14ac:dyDescent="0.2">
      <c r="A60" s="4">
        <f>A48+1</f>
        <v>2026</v>
      </c>
    </row>
    <row r="62" spans="1:4" x14ac:dyDescent="0.2">
      <c r="A62" s="20"/>
      <c r="B62" s="20" t="s">
        <v>168</v>
      </c>
      <c r="C62" s="20" t="s">
        <v>169</v>
      </c>
      <c r="D62" s="20" t="s">
        <v>179</v>
      </c>
    </row>
    <row r="63" spans="1:4" x14ac:dyDescent="0.2">
      <c r="A63" s="20" t="s">
        <v>172</v>
      </c>
      <c r="B63" s="187">
        <f>'DCF; U.S. GAAP'!$F$30</f>
        <v>8916.6544849873371</v>
      </c>
      <c r="C63" s="50">
        <v>0</v>
      </c>
      <c r="D63" s="50">
        <f>B63</f>
        <v>8916.6544849873371</v>
      </c>
    </row>
    <row r="64" spans="1:4" x14ac:dyDescent="0.2">
      <c r="A64" s="20">
        <v>-1</v>
      </c>
      <c r="B64" s="187">
        <f>'DCF; U.S. GAAP'!$E$30</f>
        <v>6827.5871785375284</v>
      </c>
      <c r="C64" s="50">
        <f>B64/-$A$20</f>
        <v>1365.5174357075057</v>
      </c>
      <c r="D64" s="50">
        <f>B64*(1-(-A64/$B$10))</f>
        <v>5462.0697428300227</v>
      </c>
    </row>
    <row r="65" spans="1:4" x14ac:dyDescent="0.2">
      <c r="A65" s="20">
        <v>-2</v>
      </c>
      <c r="B65" s="187">
        <f>'DCF; U.S. GAAP'!$D$30</f>
        <v>5229.6500493325084</v>
      </c>
      <c r="C65" s="50">
        <f>B65/-$A$20</f>
        <v>1045.9300098665017</v>
      </c>
      <c r="D65" s="50">
        <f>B65*(1-(-A65/$B$10))</f>
        <v>3137.790029599505</v>
      </c>
    </row>
    <row r="66" spans="1:4" x14ac:dyDescent="0.2">
      <c r="A66" s="20">
        <v>-3</v>
      </c>
      <c r="B66" s="187">
        <f>'DCF; U.S. GAAP'!$C$30</f>
        <v>4007.0677906562382</v>
      </c>
      <c r="C66" s="50">
        <f>B66/-$A$20</f>
        <v>801.41355813124767</v>
      </c>
      <c r="D66" s="50">
        <f>B66*(1-(-A66/$B$10))</f>
        <v>1602.8271162624953</v>
      </c>
    </row>
    <row r="67" spans="1:4" x14ac:dyDescent="0.2">
      <c r="A67" s="20">
        <v>-4</v>
      </c>
      <c r="B67" s="187">
        <f>'DCF; U.S. GAAP'!$B$30</f>
        <v>3071.4167076940785</v>
      </c>
      <c r="C67" s="50">
        <f>B67/-$A$20</f>
        <v>614.28334153881565</v>
      </c>
      <c r="D67" s="50">
        <f>B67*(1-(-A67/$B$10))</f>
        <v>614.28334153881553</v>
      </c>
    </row>
    <row r="68" spans="1:4" x14ac:dyDescent="0.2">
      <c r="A68" s="20">
        <v>-5</v>
      </c>
      <c r="B68" s="187">
        <v>2593</v>
      </c>
      <c r="C68" s="50">
        <f>B68/-$A$20</f>
        <v>518.6</v>
      </c>
      <c r="D68" s="50">
        <f>B68*(1-(-A68/$B$10))</f>
        <v>0</v>
      </c>
    </row>
    <row r="69" spans="1:4" x14ac:dyDescent="0.2">
      <c r="B69" s="19" t="s">
        <v>49</v>
      </c>
      <c r="C69" s="162">
        <f>SUM(C63:C68)</f>
        <v>4345.7443452440712</v>
      </c>
      <c r="D69" s="162">
        <f>SUM(D63:D68)</f>
        <v>19733.624715218175</v>
      </c>
    </row>
    <row r="72" spans="1:4" x14ac:dyDescent="0.2">
      <c r="A72" s="4">
        <f>A60+1</f>
        <v>2027</v>
      </c>
    </row>
    <row r="74" spans="1:4" x14ac:dyDescent="0.2">
      <c r="A74" s="20"/>
      <c r="B74" s="20" t="s">
        <v>168</v>
      </c>
      <c r="C74" s="20" t="s">
        <v>169</v>
      </c>
      <c r="D74" s="20" t="s">
        <v>179</v>
      </c>
    </row>
    <row r="75" spans="1:4" x14ac:dyDescent="0.2">
      <c r="A75" s="20" t="s">
        <v>172</v>
      </c>
      <c r="B75" s="187">
        <f>'DCF; U.S. GAAP'!$G$30</f>
        <v>11648.464807162092</v>
      </c>
      <c r="C75" s="50">
        <v>0</v>
      </c>
      <c r="D75" s="50">
        <f>B75</f>
        <v>11648.464807162092</v>
      </c>
    </row>
    <row r="76" spans="1:4" x14ac:dyDescent="0.2">
      <c r="A76" s="20">
        <v>-1</v>
      </c>
      <c r="B76" s="187">
        <f>'DCF; U.S. GAAP'!$F$30</f>
        <v>8916.6544849873371</v>
      </c>
      <c r="C76" s="50">
        <f>B76/-$A$20</f>
        <v>1783.3308969974673</v>
      </c>
      <c r="D76" s="50">
        <f>B76*(1-(-A76/$B$10))</f>
        <v>7133.3235879898702</v>
      </c>
    </row>
    <row r="77" spans="1:4" x14ac:dyDescent="0.2">
      <c r="A77" s="20">
        <v>-2</v>
      </c>
      <c r="B77" s="187">
        <f>'DCF; U.S. GAAP'!$E$30</f>
        <v>6827.5871785375284</v>
      </c>
      <c r="C77" s="50">
        <f>B77/-$A$20</f>
        <v>1365.5174357075057</v>
      </c>
      <c r="D77" s="50">
        <f>B77*(1-(-A77/$B$10))</f>
        <v>4096.552307122517</v>
      </c>
    </row>
    <row r="78" spans="1:4" x14ac:dyDescent="0.2">
      <c r="A78" s="20">
        <v>-3</v>
      </c>
      <c r="B78" s="187">
        <f>'DCF; U.S. GAAP'!$D$30</f>
        <v>5229.6500493325084</v>
      </c>
      <c r="C78" s="50">
        <f>B78/-$A$20</f>
        <v>1045.9300098665017</v>
      </c>
      <c r="D78" s="50">
        <f>B78*(1-(-A78/$B$10))</f>
        <v>2091.8600197330034</v>
      </c>
    </row>
    <row r="79" spans="1:4" x14ac:dyDescent="0.2">
      <c r="A79" s="20">
        <v>-4</v>
      </c>
      <c r="B79" s="187">
        <f>'DCF; U.S. GAAP'!$C$30</f>
        <v>4007.0677906562382</v>
      </c>
      <c r="C79" s="50">
        <f>B79/-$A$20</f>
        <v>801.41355813124767</v>
      </c>
      <c r="D79" s="50">
        <f>B79*(1-(-A79/$B$10))</f>
        <v>801.41355813124744</v>
      </c>
    </row>
    <row r="80" spans="1:4" x14ac:dyDescent="0.2">
      <c r="A80" s="20">
        <v>-5</v>
      </c>
      <c r="B80" s="187">
        <f>'DCF; U.S. GAAP'!$B$30</f>
        <v>3071.4167076940785</v>
      </c>
      <c r="C80" s="50">
        <f>B80/-$A$20</f>
        <v>614.28334153881565</v>
      </c>
      <c r="D80" s="50">
        <f>B80*(1-(-A80/$B$10))</f>
        <v>0</v>
      </c>
    </row>
    <row r="81" spans="1:6" x14ac:dyDescent="0.2">
      <c r="B81" s="19" t="s">
        <v>49</v>
      </c>
      <c r="C81" s="162">
        <f>SUM(C75:C80)</f>
        <v>5610.4752422415386</v>
      </c>
      <c r="D81" s="162">
        <f>SUM(D75:D80)</f>
        <v>25771.614280138729</v>
      </c>
    </row>
    <row r="83" spans="1:6" x14ac:dyDescent="0.2">
      <c r="F83" s="86"/>
    </row>
    <row r="84" spans="1:6" x14ac:dyDescent="0.2">
      <c r="A84" s="4">
        <f>A72+1</f>
        <v>2028</v>
      </c>
    </row>
    <row r="85" spans="1:6" x14ac:dyDescent="0.2">
      <c r="F85" s="86"/>
    </row>
    <row r="86" spans="1:6" x14ac:dyDescent="0.2">
      <c r="A86" s="20"/>
      <c r="B86" s="20" t="s">
        <v>168</v>
      </c>
      <c r="C86" s="20" t="s">
        <v>169</v>
      </c>
      <c r="D86" s="20" t="s">
        <v>179</v>
      </c>
    </row>
    <row r="87" spans="1:6" x14ac:dyDescent="0.2">
      <c r="A87" s="20" t="s">
        <v>172</v>
      </c>
      <c r="B87" s="187">
        <f>'DCF; U.S. GAAP'!$H$30</f>
        <v>14576.858894719506</v>
      </c>
      <c r="C87" s="50">
        <v>0</v>
      </c>
      <c r="D87" s="50">
        <f>B87</f>
        <v>14576.858894719506</v>
      </c>
    </row>
    <row r="88" spans="1:6" x14ac:dyDescent="0.2">
      <c r="A88" s="20">
        <v>-1</v>
      </c>
      <c r="B88" s="187">
        <f>'DCF; U.S. GAAP'!$G$30</f>
        <v>11648.464807162092</v>
      </c>
      <c r="C88" s="50">
        <f>B88/-$A$20</f>
        <v>2329.6929614324185</v>
      </c>
      <c r="D88" s="50">
        <f>B88*(1-(-A88/$B$10))</f>
        <v>9318.7718457296742</v>
      </c>
    </row>
    <row r="89" spans="1:6" x14ac:dyDescent="0.2">
      <c r="A89" s="20">
        <v>-2</v>
      </c>
      <c r="B89" s="187">
        <f>'DCF; U.S. GAAP'!$F$30</f>
        <v>8916.6544849873371</v>
      </c>
      <c r="C89" s="50">
        <f>B89/-$A$20</f>
        <v>1783.3308969974673</v>
      </c>
      <c r="D89" s="50">
        <f>B89*(1-(-A89/$B$10))</f>
        <v>5349.9926909924025</v>
      </c>
    </row>
    <row r="90" spans="1:6" x14ac:dyDescent="0.2">
      <c r="A90" s="20">
        <v>-3</v>
      </c>
      <c r="B90" s="187">
        <f>'DCF; U.S. GAAP'!$E$30</f>
        <v>6827.5871785375284</v>
      </c>
      <c r="C90" s="50">
        <f>B90/-$A$20</f>
        <v>1365.5174357075057</v>
      </c>
      <c r="D90" s="50">
        <f>B90*(1-(-A90/$B$10))</f>
        <v>2731.0348714150114</v>
      </c>
    </row>
    <row r="91" spans="1:6" x14ac:dyDescent="0.2">
      <c r="A91" s="20">
        <v>-4</v>
      </c>
      <c r="B91" s="187">
        <f>'DCF; U.S. GAAP'!$D$30</f>
        <v>5229.6500493325084</v>
      </c>
      <c r="C91" s="50">
        <f>B91/-$A$20</f>
        <v>1045.9300098665017</v>
      </c>
      <c r="D91" s="50">
        <f>B91*(1-(-A91/$B$10))</f>
        <v>1045.9300098665015</v>
      </c>
    </row>
    <row r="92" spans="1:6" x14ac:dyDescent="0.2">
      <c r="A92" s="20">
        <v>-5</v>
      </c>
      <c r="B92" s="187">
        <f>'DCF; U.S. GAAP'!$C$30</f>
        <v>4007.0677906562382</v>
      </c>
      <c r="C92" s="50">
        <f>B92/-$A$20</f>
        <v>801.41355813124767</v>
      </c>
      <c r="D92" s="50">
        <f>B92*(1-(-A92/$B$10))</f>
        <v>0</v>
      </c>
    </row>
    <row r="93" spans="1:6" x14ac:dyDescent="0.2">
      <c r="B93" s="19" t="s">
        <v>49</v>
      </c>
      <c r="C93" s="162">
        <f>SUM(C87:C92)</f>
        <v>7325.8848621351408</v>
      </c>
      <c r="D93" s="162">
        <f>SUM(D87:D92)</f>
        <v>33022.588312723099</v>
      </c>
    </row>
    <row r="96" spans="1:6" x14ac:dyDescent="0.2">
      <c r="A96" s="4">
        <f>A84+1</f>
        <v>2029</v>
      </c>
    </row>
    <row r="98" spans="1:4" x14ac:dyDescent="0.2">
      <c r="A98" s="20"/>
      <c r="B98" s="20" t="s">
        <v>168</v>
      </c>
      <c r="C98" s="20" t="s">
        <v>169</v>
      </c>
      <c r="D98" s="20" t="s">
        <v>179</v>
      </c>
    </row>
    <row r="99" spans="1:4" x14ac:dyDescent="0.2">
      <c r="A99" s="20" t="s">
        <v>172</v>
      </c>
      <c r="B99" s="187">
        <f>'DCF; U.S. GAAP'!$I$30</f>
        <v>17437.215698189975</v>
      </c>
      <c r="C99" s="50">
        <v>0</v>
      </c>
      <c r="D99" s="50">
        <f>B99</f>
        <v>17437.215698189975</v>
      </c>
    </row>
    <row r="100" spans="1:4" x14ac:dyDescent="0.2">
      <c r="A100" s="20">
        <v>-1</v>
      </c>
      <c r="B100" s="187">
        <f>'DCF; U.S. GAAP'!$H$30</f>
        <v>14576.858894719506</v>
      </c>
      <c r="C100" s="50">
        <f>B100/-$A$20</f>
        <v>2915.3717789439011</v>
      </c>
      <c r="D100" s="50">
        <f>B100*(1-(-A100/$B$10))</f>
        <v>11661.487115775606</v>
      </c>
    </row>
    <row r="101" spans="1:4" x14ac:dyDescent="0.2">
      <c r="A101" s="20">
        <v>-2</v>
      </c>
      <c r="B101" s="187">
        <f>'DCF; U.S. GAAP'!$G$30</f>
        <v>11648.464807162092</v>
      </c>
      <c r="C101" s="50">
        <f>B101/-$A$20</f>
        <v>2329.6929614324185</v>
      </c>
      <c r="D101" s="50">
        <f>B101*(1-(-A101/$B$10))</f>
        <v>6989.0788842972552</v>
      </c>
    </row>
    <row r="102" spans="1:4" x14ac:dyDescent="0.2">
      <c r="A102" s="20">
        <v>-3</v>
      </c>
      <c r="B102" s="187">
        <f>'DCF; U.S. GAAP'!$F$30</f>
        <v>8916.6544849873371</v>
      </c>
      <c r="C102" s="50">
        <f>B102/-$A$20</f>
        <v>1783.3308969974673</v>
      </c>
      <c r="D102" s="50">
        <f>B102*(1-(-A102/$B$10))</f>
        <v>3566.6617939949351</v>
      </c>
    </row>
    <row r="103" spans="1:4" x14ac:dyDescent="0.2">
      <c r="A103" s="20">
        <v>-4</v>
      </c>
      <c r="B103" s="187">
        <f>'DCF; U.S. GAAP'!$E$30</f>
        <v>6827.5871785375284</v>
      </c>
      <c r="C103" s="50">
        <f>B103/-$A$20</f>
        <v>1365.5174357075057</v>
      </c>
      <c r="D103" s="50">
        <f>B103*(1-(-A103/$B$10))</f>
        <v>1365.5174357075055</v>
      </c>
    </row>
    <row r="104" spans="1:4" x14ac:dyDescent="0.2">
      <c r="A104" s="20">
        <v>-5</v>
      </c>
      <c r="B104" s="187">
        <f>'DCF; U.S. GAAP'!$D$30</f>
        <v>5229.6500493325084</v>
      </c>
      <c r="C104" s="50">
        <f>B104/-$A$20</f>
        <v>1045.9300098665017</v>
      </c>
      <c r="D104" s="50">
        <f>B104*(1-(-A104/$B$10))</f>
        <v>0</v>
      </c>
    </row>
    <row r="105" spans="1:4" x14ac:dyDescent="0.2">
      <c r="B105" s="19" t="s">
        <v>49</v>
      </c>
      <c r="C105" s="162">
        <f>SUM(C99:C104)</f>
        <v>9439.8430829477948</v>
      </c>
      <c r="D105" s="162">
        <f>SUM(D99:D104)</f>
        <v>41019.96092796528</v>
      </c>
    </row>
    <row r="108" spans="1:4" x14ac:dyDescent="0.2">
      <c r="A108" s="4">
        <f>A96+1</f>
        <v>2030</v>
      </c>
    </row>
    <row r="110" spans="1:4" x14ac:dyDescent="0.2">
      <c r="A110" s="20"/>
      <c r="B110" s="20" t="s">
        <v>168</v>
      </c>
      <c r="C110" s="20" t="s">
        <v>169</v>
      </c>
      <c r="D110" s="20" t="s">
        <v>179</v>
      </c>
    </row>
    <row r="111" spans="1:4" x14ac:dyDescent="0.2">
      <c r="A111" s="20" t="s">
        <v>172</v>
      </c>
      <c r="B111" s="187">
        <f>'DCF; U.S. GAAP'!$J$30</f>
        <v>19894.226707704536</v>
      </c>
      <c r="C111" s="50">
        <v>0</v>
      </c>
      <c r="D111" s="50">
        <f>B111</f>
        <v>19894.226707704536</v>
      </c>
    </row>
    <row r="112" spans="1:4" x14ac:dyDescent="0.2">
      <c r="A112" s="20">
        <v>-1</v>
      </c>
      <c r="B112" s="187">
        <f>'DCF; U.S. GAAP'!$I$30</f>
        <v>17437.215698189975</v>
      </c>
      <c r="C112" s="50">
        <f>B112/-$A$20</f>
        <v>3487.443139637995</v>
      </c>
      <c r="D112" s="50">
        <f>B112*(1-(-A112/$B$10))</f>
        <v>13949.77255855198</v>
      </c>
    </row>
    <row r="113" spans="1:6" x14ac:dyDescent="0.2">
      <c r="A113" s="20">
        <v>-2</v>
      </c>
      <c r="B113" s="187">
        <f>'DCF; U.S. GAAP'!$H$30</f>
        <v>14576.858894719506</v>
      </c>
      <c r="C113" s="50">
        <f>B113/-$A$20</f>
        <v>2915.3717789439011</v>
      </c>
      <c r="D113" s="50">
        <f>B113*(1-(-A113/$B$10))</f>
        <v>8746.1153368317027</v>
      </c>
    </row>
    <row r="114" spans="1:6" x14ac:dyDescent="0.2">
      <c r="A114" s="20">
        <v>-3</v>
      </c>
      <c r="B114" s="187">
        <f>'DCF; U.S. GAAP'!$G$30</f>
        <v>11648.464807162092</v>
      </c>
      <c r="C114" s="50">
        <f>B114/-$A$20</f>
        <v>2329.6929614324185</v>
      </c>
      <c r="D114" s="50">
        <f>B114*(1-(-A114/$B$10))</f>
        <v>4659.3859228648371</v>
      </c>
    </row>
    <row r="115" spans="1:6" x14ac:dyDescent="0.2">
      <c r="A115" s="20">
        <v>-4</v>
      </c>
      <c r="B115" s="187">
        <f>'DCF; U.S. GAAP'!$F$30</f>
        <v>8916.6544849873371</v>
      </c>
      <c r="C115" s="50">
        <f>B115/-$A$20</f>
        <v>1783.3308969974673</v>
      </c>
      <c r="D115" s="50">
        <f>B115*(1-(-A115/$B$10))</f>
        <v>1783.3308969974671</v>
      </c>
    </row>
    <row r="116" spans="1:6" x14ac:dyDescent="0.2">
      <c r="A116" s="20">
        <v>-5</v>
      </c>
      <c r="B116" s="187">
        <f>'DCF; U.S. GAAP'!$E$30</f>
        <v>6827.5871785375284</v>
      </c>
      <c r="C116" s="50">
        <f>B116/-$A$20</f>
        <v>1365.5174357075057</v>
      </c>
      <c r="D116" s="50">
        <f>B116*(1-(-A116/$B$10))</f>
        <v>0</v>
      </c>
    </row>
    <row r="117" spans="1:6" x14ac:dyDescent="0.2">
      <c r="B117" s="19" t="s">
        <v>49</v>
      </c>
      <c r="C117" s="162">
        <f>SUM(C111:C116)</f>
        <v>11881.356212719289</v>
      </c>
      <c r="D117" s="162">
        <f>SUM(D111:D116)</f>
        <v>49032.831422950527</v>
      </c>
    </row>
    <row r="120" spans="1:6" x14ac:dyDescent="0.2">
      <c r="A120" s="4">
        <f>A108+1</f>
        <v>2031</v>
      </c>
      <c r="F120" s="86"/>
    </row>
    <row r="122" spans="1:6" x14ac:dyDescent="0.2">
      <c r="A122" s="20"/>
      <c r="B122" s="20" t="s">
        <v>168</v>
      </c>
      <c r="C122" s="20" t="s">
        <v>169</v>
      </c>
      <c r="D122" s="20" t="s">
        <v>179</v>
      </c>
      <c r="F122" s="86"/>
    </row>
    <row r="123" spans="1:6" x14ac:dyDescent="0.2">
      <c r="A123" s="20" t="s">
        <v>172</v>
      </c>
      <c r="B123" s="187">
        <f>'DCF; U.S. GAAP'!$K$30</f>
        <v>21594.846965480559</v>
      </c>
      <c r="C123" s="50">
        <v>0</v>
      </c>
      <c r="D123" s="50">
        <f>B123</f>
        <v>21594.846965480559</v>
      </c>
    </row>
    <row r="124" spans="1:6" x14ac:dyDescent="0.2">
      <c r="A124" s="20">
        <v>-1</v>
      </c>
      <c r="B124" s="187">
        <f>'DCF; U.S. GAAP'!$J$30</f>
        <v>19894.226707704536</v>
      </c>
      <c r="C124" s="50">
        <f>B124/-$A$20</f>
        <v>3978.8453415409072</v>
      </c>
      <c r="D124" s="50">
        <f>B124*(1-(-A124/$B$10))</f>
        <v>15915.38136616363</v>
      </c>
    </row>
    <row r="125" spans="1:6" x14ac:dyDescent="0.2">
      <c r="A125" s="20">
        <v>-2</v>
      </c>
      <c r="B125" s="187">
        <f>'DCF; U.S. GAAP'!$I$30</f>
        <v>17437.215698189975</v>
      </c>
      <c r="C125" s="50">
        <f>B125/-$A$20</f>
        <v>3487.443139637995</v>
      </c>
      <c r="D125" s="50">
        <f>B125*(1-(-A125/$B$10))</f>
        <v>10462.329418913985</v>
      </c>
    </row>
    <row r="126" spans="1:6" x14ac:dyDescent="0.2">
      <c r="A126" s="20">
        <v>-3</v>
      </c>
      <c r="B126" s="187">
        <f>'DCF; U.S. GAAP'!$H$30</f>
        <v>14576.858894719506</v>
      </c>
      <c r="C126" s="50">
        <f>B126/-$A$20</f>
        <v>2915.3717789439011</v>
      </c>
      <c r="D126" s="50">
        <f>B126*(1-(-A126/$B$10))</f>
        <v>5830.743557887803</v>
      </c>
    </row>
    <row r="127" spans="1:6" x14ac:dyDescent="0.2">
      <c r="A127" s="20">
        <v>-4</v>
      </c>
      <c r="B127" s="187">
        <f>'DCF; U.S. GAAP'!$G$30</f>
        <v>11648.464807162092</v>
      </c>
      <c r="C127" s="50">
        <f>B127/-$A$20</f>
        <v>2329.6929614324185</v>
      </c>
      <c r="D127" s="50">
        <f>B127*(1-(-A127/$B$10))</f>
        <v>2329.6929614324181</v>
      </c>
    </row>
    <row r="128" spans="1:6" x14ac:dyDescent="0.2">
      <c r="A128" s="20">
        <v>-5</v>
      </c>
      <c r="B128" s="187">
        <f>'DCF; U.S. GAAP'!$F$30</f>
        <v>8916.6544849873371</v>
      </c>
      <c r="C128" s="50">
        <f>B128/-$A$20</f>
        <v>1783.3308969974673</v>
      </c>
      <c r="D128" s="50">
        <f>B128*(1-(-A128/$B$10))</f>
        <v>0</v>
      </c>
    </row>
    <row r="129" spans="1:4" x14ac:dyDescent="0.2">
      <c r="B129" s="19" t="s">
        <v>49</v>
      </c>
      <c r="C129" s="162">
        <f>SUM(C123:C128)</f>
        <v>14494.68411855269</v>
      </c>
      <c r="D129" s="162">
        <f>SUM(D123:D128)</f>
        <v>56132.9942698784</v>
      </c>
    </row>
    <row r="132" spans="1:4" x14ac:dyDescent="0.2">
      <c r="A132" s="4">
        <f>A120+1</f>
        <v>2032</v>
      </c>
    </row>
    <row r="134" spans="1:4" x14ac:dyDescent="0.2">
      <c r="A134" s="20"/>
      <c r="B134" s="20" t="s">
        <v>168</v>
      </c>
      <c r="C134" s="20" t="s">
        <v>169</v>
      </c>
      <c r="D134" s="20" t="s">
        <v>179</v>
      </c>
    </row>
    <row r="135" spans="1:4" x14ac:dyDescent="0.2">
      <c r="A135" s="20" t="s">
        <v>172</v>
      </c>
      <c r="B135" s="187">
        <f>'DCF; U.S. GAAP'!$L$30</f>
        <v>22242.692374444978</v>
      </c>
      <c r="C135" s="50">
        <v>0</v>
      </c>
      <c r="D135" s="50">
        <f>B135</f>
        <v>22242.692374444978</v>
      </c>
    </row>
    <row r="136" spans="1:4" x14ac:dyDescent="0.2">
      <c r="A136" s="20">
        <v>-1</v>
      </c>
      <c r="B136" s="187">
        <f>'DCF; U.S. GAAP'!$K$30</f>
        <v>21594.846965480559</v>
      </c>
      <c r="C136" s="50">
        <f>B136/-$A$20</f>
        <v>4318.9693930961121</v>
      </c>
      <c r="D136" s="50">
        <f>B136*(1-(-A136/$B$10))</f>
        <v>17275.877572384448</v>
      </c>
    </row>
    <row r="137" spans="1:4" x14ac:dyDescent="0.2">
      <c r="A137" s="20">
        <v>-2</v>
      </c>
      <c r="B137" s="187">
        <f>'DCF; U.S. GAAP'!$J$30</f>
        <v>19894.226707704536</v>
      </c>
      <c r="C137" s="50">
        <f>B137/-$A$20</f>
        <v>3978.8453415409072</v>
      </c>
      <c r="D137" s="50">
        <f>B137*(1-(-A137/$B$10))</f>
        <v>11936.536024622721</v>
      </c>
    </row>
    <row r="138" spans="1:4" x14ac:dyDescent="0.2">
      <c r="A138" s="20">
        <v>-3</v>
      </c>
      <c r="B138" s="187">
        <f>'DCF; U.S. GAAP'!$I$30</f>
        <v>17437.215698189975</v>
      </c>
      <c r="C138" s="50">
        <f>B138/-$A$20</f>
        <v>3487.443139637995</v>
      </c>
      <c r="D138" s="50">
        <f>B138*(1-(-A138/$B$10))</f>
        <v>6974.8862792759901</v>
      </c>
    </row>
    <row r="139" spans="1:4" x14ac:dyDescent="0.2">
      <c r="A139" s="20">
        <v>-4</v>
      </c>
      <c r="B139" s="187">
        <f>'DCF; U.S. GAAP'!$H$30</f>
        <v>14576.858894719506</v>
      </c>
      <c r="C139" s="50">
        <f>B139/-$A$20</f>
        <v>2915.3717789439011</v>
      </c>
      <c r="D139" s="50">
        <f>B139*(1-(-A139/$B$10))</f>
        <v>2915.3717789439006</v>
      </c>
    </row>
    <row r="140" spans="1:4" x14ac:dyDescent="0.2">
      <c r="A140" s="20">
        <v>-5</v>
      </c>
      <c r="B140" s="187">
        <f>'DCF; U.S. GAAP'!$G$30</f>
        <v>11648.464807162092</v>
      </c>
      <c r="C140" s="50">
        <f>B140/-$A$20</f>
        <v>2329.6929614324185</v>
      </c>
      <c r="D140" s="50">
        <f>B140*(1-(-A140/$B$10))</f>
        <v>0</v>
      </c>
    </row>
    <row r="141" spans="1:4" x14ac:dyDescent="0.2">
      <c r="B141" s="19" t="s">
        <v>49</v>
      </c>
      <c r="C141" s="162">
        <f>SUM(C135:C140)</f>
        <v>17030.322614651333</v>
      </c>
      <c r="D141" s="162">
        <f>SUM(D135:D140)</f>
        <v>61345.36402967204</v>
      </c>
    </row>
    <row r="144" spans="1:4" x14ac:dyDescent="0.2">
      <c r="A144" s="4" t="s">
        <v>150</v>
      </c>
    </row>
    <row r="146" spans="1:4" x14ac:dyDescent="0.2">
      <c r="A146" s="20"/>
      <c r="B146" s="20" t="s">
        <v>168</v>
      </c>
      <c r="C146" s="20" t="s">
        <v>169</v>
      </c>
      <c r="D146" s="20" t="s">
        <v>179</v>
      </c>
    </row>
    <row r="147" spans="1:4" x14ac:dyDescent="0.2">
      <c r="A147" s="20" t="s">
        <v>172</v>
      </c>
      <c r="B147" s="187">
        <f>'DCF; U.S. GAAP'!$M$30</f>
        <v>22909.973145678327</v>
      </c>
      <c r="C147" s="50">
        <v>0</v>
      </c>
      <c r="D147" s="50">
        <f>B147</f>
        <v>22909.973145678327</v>
      </c>
    </row>
    <row r="148" spans="1:4" x14ac:dyDescent="0.2">
      <c r="A148" s="20">
        <v>-1</v>
      </c>
      <c r="B148" s="187">
        <f>'DCF; U.S. GAAP'!$L$30</f>
        <v>22242.692374444978</v>
      </c>
      <c r="C148" s="50">
        <f>B148/-$A$20</f>
        <v>4448.5384748889956</v>
      </c>
      <c r="D148" s="50">
        <f>B148*(1-(-A148/$B$10))</f>
        <v>17794.153899555982</v>
      </c>
    </row>
    <row r="149" spans="1:4" x14ac:dyDescent="0.2">
      <c r="A149" s="20">
        <v>-2</v>
      </c>
      <c r="B149" s="187">
        <f>'DCF; U.S. GAAP'!$K$30</f>
        <v>21594.846965480559</v>
      </c>
      <c r="C149" s="50">
        <f>B149/-$A$20</f>
        <v>4318.9693930961121</v>
      </c>
      <c r="D149" s="50">
        <f>B149*(1-(-A149/$B$10))</f>
        <v>12956.908179288335</v>
      </c>
    </row>
    <row r="150" spans="1:4" x14ac:dyDescent="0.2">
      <c r="A150" s="20">
        <v>-3</v>
      </c>
      <c r="B150" s="187">
        <f>'DCF; U.S. GAAP'!$J$30</f>
        <v>19894.226707704536</v>
      </c>
      <c r="C150" s="50">
        <f>B150/-$A$20</f>
        <v>3978.8453415409072</v>
      </c>
      <c r="D150" s="50">
        <f>B150*(1-(-A150/$B$10))</f>
        <v>7957.6906830818152</v>
      </c>
    </row>
    <row r="151" spans="1:4" x14ac:dyDescent="0.2">
      <c r="A151" s="20">
        <v>-4</v>
      </c>
      <c r="B151" s="187">
        <f>'DCF; U.S. GAAP'!$I$30</f>
        <v>17437.215698189975</v>
      </c>
      <c r="C151" s="50">
        <f>B151/-$A$20</f>
        <v>3487.443139637995</v>
      </c>
      <c r="D151" s="50">
        <f>B151*(1-(-A151/$B$10))</f>
        <v>3487.4431396379941</v>
      </c>
    </row>
    <row r="152" spans="1:4" x14ac:dyDescent="0.2">
      <c r="A152" s="20">
        <v>-5</v>
      </c>
      <c r="B152" s="187">
        <f>'DCF; U.S. GAAP'!$H$30</f>
        <v>14576.858894719506</v>
      </c>
      <c r="C152" s="50">
        <f>B152/-$A$20</f>
        <v>2915.3717789439011</v>
      </c>
      <c r="D152" s="50">
        <f>B152*(1-(-A152/$B$10))</f>
        <v>0</v>
      </c>
    </row>
    <row r="153" spans="1:4" x14ac:dyDescent="0.2">
      <c r="B153" s="19" t="s">
        <v>49</v>
      </c>
      <c r="C153" s="162">
        <f>SUM(C147:C152)</f>
        <v>19149.168128107911</v>
      </c>
      <c r="D153" s="162">
        <f>SUM(D147:D152)</f>
        <v>65106.169047242453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73F2-A462-A249-B208-FD7DC602ED0D}">
  <dimension ref="A2:M123"/>
  <sheetViews>
    <sheetView topLeftCell="A2" zoomScale="56" workbookViewId="0">
      <selection activeCell="H20" sqref="H20:H21"/>
    </sheetView>
  </sheetViews>
  <sheetFormatPr baseColWidth="10" defaultRowHeight="16" x14ac:dyDescent="0.2"/>
  <cols>
    <col min="1" max="1" width="12.33203125" bestFit="1" customWidth="1"/>
    <col min="2" max="3" width="14.6640625" bestFit="1" customWidth="1"/>
    <col min="7" max="7" width="15" customWidth="1"/>
    <col min="8" max="8" width="9.5" bestFit="1" customWidth="1"/>
    <col min="9" max="10" width="10.6640625" bestFit="1" customWidth="1"/>
    <col min="11" max="12" width="9.5" bestFit="1" customWidth="1"/>
  </cols>
  <sheetData>
    <row r="2" spans="1:13" ht="19" x14ac:dyDescent="0.25">
      <c r="A2" s="85" t="s">
        <v>575</v>
      </c>
    </row>
    <row r="5" spans="1:13" x14ac:dyDescent="0.2">
      <c r="A5" s="20" t="s">
        <v>170</v>
      </c>
      <c r="B5" s="70">
        <v>5</v>
      </c>
      <c r="C5" t="s">
        <v>171</v>
      </c>
    </row>
    <row r="7" spans="1:13" x14ac:dyDescent="0.2">
      <c r="A7" s="4">
        <v>2022</v>
      </c>
    </row>
    <row r="9" spans="1:13" x14ac:dyDescent="0.2">
      <c r="A9" s="20"/>
      <c r="B9" s="20" t="s">
        <v>168</v>
      </c>
      <c r="C9" s="20" t="s">
        <v>169</v>
      </c>
      <c r="D9" s="20" t="s">
        <v>179</v>
      </c>
      <c r="G9" s="239" t="s">
        <v>127</v>
      </c>
      <c r="H9" s="428">
        <v>2022</v>
      </c>
      <c r="I9" s="428">
        <v>2021</v>
      </c>
      <c r="J9" s="428">
        <v>2020</v>
      </c>
      <c r="K9" s="428">
        <v>2019</v>
      </c>
      <c r="L9" s="428">
        <v>2018</v>
      </c>
      <c r="M9" s="428">
        <v>2017</v>
      </c>
    </row>
    <row r="10" spans="1:13" x14ac:dyDescent="0.2">
      <c r="A10" s="20" t="s">
        <v>172</v>
      </c>
      <c r="B10" s="70">
        <v>3075</v>
      </c>
      <c r="C10" s="20">
        <v>0</v>
      </c>
      <c r="D10" s="20">
        <f>B10</f>
        <v>3075</v>
      </c>
      <c r="G10" s="20" t="s">
        <v>173</v>
      </c>
      <c r="H10" s="50">
        <f>D16</f>
        <v>6873.2</v>
      </c>
      <c r="I10" s="50">
        <f>D28</f>
        <v>5451.2000000000007</v>
      </c>
      <c r="J10" s="50">
        <f>D40</f>
        <v>4159.4000000000005</v>
      </c>
      <c r="K10" s="50">
        <f>D52</f>
        <v>3815</v>
      </c>
      <c r="L10" s="50">
        <f>D64</f>
        <v>3443</v>
      </c>
      <c r="M10" s="50">
        <f>D75</f>
        <v>2708.4</v>
      </c>
    </row>
    <row r="11" spans="1:13" x14ac:dyDescent="0.2">
      <c r="A11" s="20">
        <v>-1</v>
      </c>
      <c r="B11" s="70">
        <v>2593</v>
      </c>
      <c r="C11" s="20">
        <f>B11/-$A$15</f>
        <v>518.6</v>
      </c>
      <c r="D11" s="20">
        <f>B11*(1-(-A11/$B$5))</f>
        <v>2074.4</v>
      </c>
      <c r="G11" s="20" t="s">
        <v>169</v>
      </c>
      <c r="H11" s="50">
        <f>C16</f>
        <v>1653</v>
      </c>
      <c r="I11" s="50">
        <f>C28</f>
        <v>1301.2</v>
      </c>
      <c r="J11" s="50">
        <f>C40</f>
        <v>1146.5999999999999</v>
      </c>
      <c r="K11" s="50">
        <f>C52</f>
        <v>971.00000000000011</v>
      </c>
      <c r="L11" s="50">
        <f>C64</f>
        <v>725.4</v>
      </c>
      <c r="M11" s="50">
        <f>C75</f>
        <v>504.59999999999997</v>
      </c>
    </row>
    <row r="12" spans="1:13" ht="17" x14ac:dyDescent="0.2">
      <c r="A12" s="20">
        <v>-2</v>
      </c>
      <c r="B12" s="70">
        <v>1491</v>
      </c>
      <c r="C12" s="20">
        <f>B12/-$A$15</f>
        <v>298.2</v>
      </c>
      <c r="D12" s="20">
        <f>B12*(1-(-A12/$B$5))</f>
        <v>894.6</v>
      </c>
      <c r="G12" s="72" t="s">
        <v>176</v>
      </c>
      <c r="H12" s="50">
        <f>B10</f>
        <v>3075</v>
      </c>
      <c r="I12" s="50">
        <f>B22</f>
        <v>2593</v>
      </c>
      <c r="J12" s="50">
        <f>B34</f>
        <v>1491</v>
      </c>
      <c r="K12" s="50">
        <f>B46</f>
        <v>1343</v>
      </c>
      <c r="L12" s="50">
        <f>B58</f>
        <v>1460</v>
      </c>
      <c r="M12" s="50">
        <f>B69</f>
        <v>1378</v>
      </c>
    </row>
    <row r="13" spans="1:13" x14ac:dyDescent="0.2">
      <c r="A13" s="20">
        <v>-3</v>
      </c>
      <c r="B13" s="70">
        <v>1343</v>
      </c>
      <c r="C13" s="20">
        <f>B13/-$A$15</f>
        <v>268.60000000000002</v>
      </c>
      <c r="D13" s="20">
        <f>B13*(1-(-A13/$B$5))</f>
        <v>537.20000000000005</v>
      </c>
    </row>
    <row r="14" spans="1:13" x14ac:dyDescent="0.2">
      <c r="A14" s="20">
        <v>-4</v>
      </c>
      <c r="B14" s="70">
        <v>1460</v>
      </c>
      <c r="C14" s="20">
        <f>B14/-$A$15</f>
        <v>292</v>
      </c>
      <c r="D14" s="20">
        <f>B14*(1-(-A14/$B$5))</f>
        <v>291.99999999999994</v>
      </c>
    </row>
    <row r="15" spans="1:13" x14ac:dyDescent="0.2">
      <c r="A15" s="20">
        <v>-5</v>
      </c>
      <c r="B15" s="70">
        <v>1378</v>
      </c>
      <c r="C15" s="20">
        <f>B15/-$A$15</f>
        <v>275.60000000000002</v>
      </c>
      <c r="D15" s="20">
        <f>B15*(1-(-A15/$B$5))</f>
        <v>0</v>
      </c>
    </row>
    <row r="16" spans="1:13" ht="19" x14ac:dyDescent="0.25">
      <c r="B16" s="19" t="s">
        <v>49</v>
      </c>
      <c r="C16" s="19">
        <f>SUM(C10:C15)</f>
        <v>1653</v>
      </c>
      <c r="D16" s="76">
        <f>SUM(D10:D15)</f>
        <v>6873.2</v>
      </c>
      <c r="G16" s="85"/>
    </row>
    <row r="19" spans="1:12" x14ac:dyDescent="0.2">
      <c r="A19" s="4">
        <v>2021</v>
      </c>
    </row>
    <row r="20" spans="1:12" x14ac:dyDescent="0.2">
      <c r="H20" s="82"/>
      <c r="I20" s="82"/>
      <c r="J20" s="82"/>
      <c r="K20" s="82"/>
      <c r="L20" s="82"/>
    </row>
    <row r="21" spans="1:12" x14ac:dyDescent="0.2">
      <c r="A21" s="20"/>
      <c r="B21" s="20" t="s">
        <v>168</v>
      </c>
      <c r="C21" s="20" t="s">
        <v>169</v>
      </c>
      <c r="D21" s="20" t="s">
        <v>179</v>
      </c>
      <c r="G21" s="80"/>
      <c r="H21" s="82"/>
      <c r="I21" s="82"/>
      <c r="J21" s="82"/>
      <c r="K21" s="82"/>
      <c r="L21" s="82"/>
    </row>
    <row r="22" spans="1:12" x14ac:dyDescent="0.2">
      <c r="A22" s="20" t="s">
        <v>172</v>
      </c>
      <c r="B22" s="70">
        <v>2593</v>
      </c>
      <c r="C22" s="20">
        <v>0</v>
      </c>
      <c r="D22" s="20">
        <f>B22</f>
        <v>2593</v>
      </c>
      <c r="G22" s="80"/>
    </row>
    <row r="23" spans="1:12" x14ac:dyDescent="0.2">
      <c r="A23" s="20">
        <v>-1</v>
      </c>
      <c r="B23" s="70">
        <v>1491</v>
      </c>
      <c r="C23" s="20">
        <f>B23/-$A$15</f>
        <v>298.2</v>
      </c>
      <c r="D23" s="20">
        <f>B23*(1-(-A23/$B$5))</f>
        <v>1192.8</v>
      </c>
      <c r="G23" s="81"/>
      <c r="H23" s="13"/>
      <c r="I23" s="13"/>
      <c r="J23" s="13"/>
      <c r="K23" s="13"/>
      <c r="L23" s="12"/>
    </row>
    <row r="24" spans="1:12" x14ac:dyDescent="0.2">
      <c r="A24" s="20">
        <v>-2</v>
      </c>
      <c r="B24" s="70">
        <v>1343</v>
      </c>
      <c r="C24" s="20">
        <f>B24/-$A$15</f>
        <v>268.60000000000002</v>
      </c>
      <c r="D24" s="20">
        <f>B24*(1-(-A24/$B$5))</f>
        <v>805.8</v>
      </c>
      <c r="G24" s="81"/>
      <c r="H24" s="13"/>
      <c r="I24" s="13"/>
      <c r="J24" s="13"/>
      <c r="K24" s="13"/>
      <c r="L24" s="13"/>
    </row>
    <row r="25" spans="1:12" x14ac:dyDescent="0.2">
      <c r="A25" s="20">
        <v>-3</v>
      </c>
      <c r="B25" s="70">
        <v>1460</v>
      </c>
      <c r="C25" s="20">
        <f>B25/-$A$15</f>
        <v>292</v>
      </c>
      <c r="D25" s="20">
        <f>B25*(1-(-A25/$B$5))</f>
        <v>584</v>
      </c>
    </row>
    <row r="26" spans="1:12" x14ac:dyDescent="0.2">
      <c r="A26" s="20">
        <v>-4</v>
      </c>
      <c r="B26" s="70">
        <v>1378</v>
      </c>
      <c r="C26" s="20">
        <f>B26/-$A$15</f>
        <v>275.60000000000002</v>
      </c>
      <c r="D26" s="20">
        <f>B26*(1-(-A26/$B$5))</f>
        <v>275.59999999999997</v>
      </c>
      <c r="H26" s="82"/>
      <c r="I26" s="82"/>
      <c r="J26" s="82"/>
      <c r="K26" s="82"/>
      <c r="L26" s="82"/>
    </row>
    <row r="27" spans="1:12" x14ac:dyDescent="0.2">
      <c r="A27" s="20">
        <v>-5</v>
      </c>
      <c r="B27" s="70">
        <v>834</v>
      </c>
      <c r="C27" s="20">
        <f>B27/-$A$15</f>
        <v>166.8</v>
      </c>
      <c r="D27" s="20">
        <f>B27*(1-(-A27/$B$5))</f>
        <v>0</v>
      </c>
      <c r="G27" s="80"/>
      <c r="H27" s="82"/>
      <c r="I27" s="82"/>
      <c r="J27" s="82"/>
      <c r="K27" s="82"/>
      <c r="L27" s="82"/>
    </row>
    <row r="28" spans="1:12" x14ac:dyDescent="0.2">
      <c r="B28" s="19" t="s">
        <v>49</v>
      </c>
      <c r="C28" s="76">
        <f>SUM(C22:C27)</f>
        <v>1301.2</v>
      </c>
      <c r="D28" s="76">
        <f>SUM(D22:D27)</f>
        <v>5451.2000000000007</v>
      </c>
      <c r="G28" s="81"/>
      <c r="H28" s="82"/>
      <c r="I28" s="82"/>
      <c r="J28" s="82"/>
      <c r="K28" s="82"/>
      <c r="L28" s="82"/>
    </row>
    <row r="29" spans="1:12" x14ac:dyDescent="0.2">
      <c r="G29" s="80"/>
      <c r="H29" s="13"/>
      <c r="I29" s="13"/>
      <c r="J29" s="13"/>
      <c r="K29" s="13"/>
      <c r="L29" s="12"/>
    </row>
    <row r="30" spans="1:12" x14ac:dyDescent="0.2">
      <c r="G30" s="80"/>
    </row>
    <row r="31" spans="1:12" x14ac:dyDescent="0.2">
      <c r="A31" s="4">
        <v>2020</v>
      </c>
    </row>
    <row r="32" spans="1:12" x14ac:dyDescent="0.2">
      <c r="H32" s="82"/>
      <c r="I32" s="82"/>
      <c r="J32" s="82"/>
      <c r="K32" s="82"/>
      <c r="L32" s="82"/>
    </row>
    <row r="33" spans="1:12" x14ac:dyDescent="0.2">
      <c r="A33" s="20"/>
      <c r="B33" s="20" t="s">
        <v>168</v>
      </c>
      <c r="C33" s="20" t="s">
        <v>169</v>
      </c>
      <c r="D33" s="20" t="s">
        <v>179</v>
      </c>
      <c r="G33" s="80"/>
      <c r="H33" s="82"/>
      <c r="I33" s="82"/>
      <c r="J33" s="82"/>
      <c r="K33" s="82"/>
      <c r="L33" s="82"/>
    </row>
    <row r="34" spans="1:12" x14ac:dyDescent="0.2">
      <c r="A34" s="20" t="s">
        <v>172</v>
      </c>
      <c r="B34" s="70">
        <v>1491</v>
      </c>
      <c r="C34" s="20">
        <v>0</v>
      </c>
      <c r="D34" s="20">
        <f>B34</f>
        <v>1491</v>
      </c>
      <c r="G34" s="80"/>
      <c r="H34" s="82"/>
      <c r="I34" s="82"/>
      <c r="J34" s="82"/>
      <c r="K34" s="82"/>
      <c r="L34" s="82"/>
    </row>
    <row r="35" spans="1:12" x14ac:dyDescent="0.2">
      <c r="A35" s="20">
        <v>-1</v>
      </c>
      <c r="B35" s="70">
        <v>1343</v>
      </c>
      <c r="C35" s="20">
        <f>B35/-$A$15</f>
        <v>268.60000000000002</v>
      </c>
      <c r="D35" s="20">
        <f>B35*(1-(-A35/$B$5))</f>
        <v>1074.4000000000001</v>
      </c>
      <c r="G35" s="80"/>
      <c r="H35" s="82"/>
      <c r="I35" s="82"/>
      <c r="J35" s="82"/>
      <c r="K35" s="82"/>
      <c r="L35" s="82"/>
    </row>
    <row r="36" spans="1:12" x14ac:dyDescent="0.2">
      <c r="A36" s="20">
        <v>-2</v>
      </c>
      <c r="B36" s="70">
        <v>1460</v>
      </c>
      <c r="C36" s="20">
        <f>B36/-$A$15</f>
        <v>292</v>
      </c>
      <c r="D36" s="20">
        <f>B36*(1-(-A36/$B$5))</f>
        <v>876</v>
      </c>
      <c r="H36" s="82"/>
      <c r="I36" s="82"/>
      <c r="J36" s="82"/>
      <c r="K36" s="82"/>
      <c r="L36" s="82"/>
    </row>
    <row r="37" spans="1:12" x14ac:dyDescent="0.2">
      <c r="A37" s="20">
        <v>-3</v>
      </c>
      <c r="B37" s="70">
        <v>1378</v>
      </c>
      <c r="C37" s="20">
        <f>B37/-$A$15</f>
        <v>275.60000000000002</v>
      </c>
      <c r="D37" s="20">
        <f>B37*(1-(-A37/$B$5))</f>
        <v>551.20000000000005</v>
      </c>
      <c r="H37" s="82"/>
      <c r="I37" s="82"/>
      <c r="J37" s="82"/>
      <c r="K37" s="82"/>
      <c r="L37" s="82"/>
    </row>
    <row r="38" spans="1:12" x14ac:dyDescent="0.2">
      <c r="A38" s="20">
        <v>-4</v>
      </c>
      <c r="B38" s="70">
        <v>834</v>
      </c>
      <c r="C38" s="20">
        <f>B38/-$A$15</f>
        <v>166.8</v>
      </c>
      <c r="D38" s="20">
        <f>B38*(1-(-A38/$B$5))</f>
        <v>166.79999999999995</v>
      </c>
      <c r="G38" s="80"/>
      <c r="H38" s="82"/>
      <c r="I38" s="82"/>
      <c r="J38" s="82"/>
      <c r="K38" s="82"/>
      <c r="L38" s="82"/>
    </row>
    <row r="39" spans="1:12" x14ac:dyDescent="0.2">
      <c r="A39" s="20">
        <v>-5</v>
      </c>
      <c r="B39" s="70">
        <v>718</v>
      </c>
      <c r="C39" s="20">
        <f>B39/-$A$15</f>
        <v>143.6</v>
      </c>
      <c r="D39" s="20">
        <f>B39*(1-(-A39/$B$5))</f>
        <v>0</v>
      </c>
      <c r="H39" s="82"/>
      <c r="I39" s="82"/>
      <c r="J39" s="82"/>
      <c r="K39" s="82"/>
      <c r="L39" s="82"/>
    </row>
    <row r="40" spans="1:12" x14ac:dyDescent="0.2">
      <c r="B40" s="19" t="s">
        <v>49</v>
      </c>
      <c r="C40" s="76">
        <f>SUM(C34:C39)</f>
        <v>1146.5999999999999</v>
      </c>
      <c r="D40" s="76">
        <f>SUM(D34:D39)</f>
        <v>4159.4000000000005</v>
      </c>
      <c r="H40" s="82"/>
      <c r="I40" s="82"/>
      <c r="J40" s="82"/>
      <c r="K40" s="82"/>
      <c r="L40" s="82"/>
    </row>
    <row r="41" spans="1:12" x14ac:dyDescent="0.2">
      <c r="H41" s="82"/>
      <c r="I41" s="82"/>
      <c r="J41" s="82"/>
      <c r="K41" s="82"/>
      <c r="L41" s="82"/>
    </row>
    <row r="42" spans="1:12" x14ac:dyDescent="0.2">
      <c r="H42" s="82"/>
      <c r="I42" s="82"/>
      <c r="J42" s="82"/>
      <c r="K42" s="82"/>
      <c r="L42" s="82"/>
    </row>
    <row r="43" spans="1:12" x14ac:dyDescent="0.2">
      <c r="A43" s="4">
        <v>2019</v>
      </c>
      <c r="G43" s="80"/>
      <c r="H43" s="82"/>
      <c r="I43" s="82"/>
      <c r="J43" s="82"/>
      <c r="K43" s="82"/>
      <c r="L43" s="82"/>
    </row>
    <row r="44" spans="1:12" x14ac:dyDescent="0.2">
      <c r="G44" s="81"/>
      <c r="H44" s="82"/>
      <c r="I44" s="82"/>
      <c r="J44" s="82"/>
      <c r="K44" s="82"/>
      <c r="L44" s="82"/>
    </row>
    <row r="45" spans="1:12" x14ac:dyDescent="0.2">
      <c r="A45" s="20"/>
      <c r="B45" s="20" t="s">
        <v>168</v>
      </c>
      <c r="C45" s="20" t="s">
        <v>169</v>
      </c>
      <c r="D45" s="20" t="s">
        <v>179</v>
      </c>
      <c r="G45" s="81"/>
      <c r="H45" s="82"/>
      <c r="I45" s="82"/>
      <c r="J45" s="82"/>
      <c r="K45" s="82"/>
      <c r="L45" s="82"/>
    </row>
    <row r="46" spans="1:12" x14ac:dyDescent="0.2">
      <c r="A46" s="20" t="s">
        <v>172</v>
      </c>
      <c r="B46" s="70">
        <v>1343</v>
      </c>
      <c r="C46" s="20">
        <v>0</v>
      </c>
      <c r="D46" s="20">
        <f>B46</f>
        <v>1343</v>
      </c>
      <c r="G46" s="81"/>
      <c r="H46" s="82"/>
      <c r="I46" s="82"/>
      <c r="J46" s="82"/>
      <c r="K46" s="82"/>
      <c r="L46" s="82"/>
    </row>
    <row r="47" spans="1:12" x14ac:dyDescent="0.2">
      <c r="A47" s="20">
        <v>-1</v>
      </c>
      <c r="B47" s="70">
        <v>1460</v>
      </c>
      <c r="C47" s="20">
        <f>B47/-$A$15</f>
        <v>292</v>
      </c>
      <c r="D47" s="20">
        <f>B47*(1-(-A47/$B$5))</f>
        <v>1168</v>
      </c>
      <c r="G47" s="81"/>
      <c r="H47" s="82"/>
      <c r="I47" s="82"/>
      <c r="J47" s="82"/>
      <c r="K47" s="82"/>
      <c r="L47" s="82"/>
    </row>
    <row r="48" spans="1:12" x14ac:dyDescent="0.2">
      <c r="A48" s="20">
        <v>-2</v>
      </c>
      <c r="B48" s="70">
        <v>1378</v>
      </c>
      <c r="C48" s="20">
        <f>B48/-$A$15</f>
        <v>275.60000000000002</v>
      </c>
      <c r="D48" s="20">
        <f>B48*(1-(-A48/$B$5))</f>
        <v>826.8</v>
      </c>
      <c r="G48" s="81"/>
      <c r="H48" s="82"/>
      <c r="I48" s="82"/>
      <c r="J48" s="82"/>
      <c r="K48" s="82"/>
      <c r="L48" s="82"/>
    </row>
    <row r="49" spans="1:12" x14ac:dyDescent="0.2">
      <c r="A49" s="20">
        <v>-3</v>
      </c>
      <c r="B49" s="70">
        <v>834</v>
      </c>
      <c r="C49" s="20">
        <f>B49/-$A$15</f>
        <v>166.8</v>
      </c>
      <c r="D49" s="20">
        <f>B49*(1-(-A49/$B$5))</f>
        <v>333.6</v>
      </c>
      <c r="G49" s="81"/>
      <c r="H49" s="82"/>
      <c r="I49" s="82"/>
      <c r="J49" s="82"/>
      <c r="K49" s="82"/>
      <c r="L49" s="82"/>
    </row>
    <row r="50" spans="1:12" x14ac:dyDescent="0.2">
      <c r="A50" s="20">
        <v>-4</v>
      </c>
      <c r="B50" s="70">
        <v>718</v>
      </c>
      <c r="C50" s="20">
        <f>B50/-$A$15</f>
        <v>143.6</v>
      </c>
      <c r="D50" s="20">
        <f>B50*(1-(-A50/$B$5))</f>
        <v>143.59999999999997</v>
      </c>
      <c r="G50" s="80"/>
      <c r="H50" s="82"/>
      <c r="I50" s="82"/>
      <c r="J50" s="82"/>
      <c r="K50" s="82"/>
      <c r="L50" s="82"/>
    </row>
    <row r="51" spans="1:12" x14ac:dyDescent="0.2">
      <c r="A51" s="20">
        <v>-5</v>
      </c>
      <c r="B51" s="70">
        <v>465</v>
      </c>
      <c r="C51" s="20">
        <f>B51/-$A$15</f>
        <v>93</v>
      </c>
      <c r="D51" s="20">
        <f>B51*(1-(-A51/$B$5))</f>
        <v>0</v>
      </c>
      <c r="H51" s="82"/>
      <c r="I51" s="82"/>
      <c r="J51" s="82"/>
      <c r="K51" s="82"/>
      <c r="L51" s="82"/>
    </row>
    <row r="52" spans="1:12" x14ac:dyDescent="0.2">
      <c r="B52" s="19" t="s">
        <v>49</v>
      </c>
      <c r="C52" s="76">
        <f>SUM(C46:C51)</f>
        <v>971.00000000000011</v>
      </c>
      <c r="D52" s="76">
        <f>SUM(D46:D51)</f>
        <v>3815</v>
      </c>
      <c r="H52" s="82"/>
      <c r="I52" s="82"/>
      <c r="J52" s="82"/>
      <c r="K52" s="82"/>
      <c r="L52" s="82"/>
    </row>
    <row r="53" spans="1:12" x14ac:dyDescent="0.2">
      <c r="G53" s="80"/>
      <c r="H53" s="82"/>
      <c r="I53" s="82"/>
      <c r="J53" s="82"/>
      <c r="K53" s="82"/>
      <c r="L53" s="82"/>
    </row>
    <row r="54" spans="1:12" x14ac:dyDescent="0.2">
      <c r="H54" s="82"/>
      <c r="I54" s="82"/>
      <c r="J54" s="82"/>
      <c r="K54" s="82"/>
      <c r="L54" s="82"/>
    </row>
    <row r="55" spans="1:12" x14ac:dyDescent="0.2">
      <c r="A55" s="4">
        <v>2018</v>
      </c>
      <c r="H55" s="82"/>
      <c r="I55" s="82"/>
      <c r="J55" s="82"/>
      <c r="K55" s="82"/>
      <c r="L55" s="82"/>
    </row>
    <row r="56" spans="1:12" x14ac:dyDescent="0.2">
      <c r="H56" s="82"/>
      <c r="I56" s="82"/>
      <c r="J56" s="82"/>
      <c r="K56" s="82"/>
      <c r="L56" s="82"/>
    </row>
    <row r="57" spans="1:12" x14ac:dyDescent="0.2">
      <c r="A57" s="20"/>
      <c r="B57" s="20" t="s">
        <v>168</v>
      </c>
      <c r="C57" s="20" t="s">
        <v>169</v>
      </c>
      <c r="D57" s="20" t="s">
        <v>179</v>
      </c>
      <c r="H57" s="82"/>
      <c r="I57" s="82"/>
      <c r="J57" s="82"/>
      <c r="K57" s="82"/>
      <c r="L57" s="82"/>
    </row>
    <row r="58" spans="1:12" x14ac:dyDescent="0.2">
      <c r="A58" s="20" t="s">
        <v>172</v>
      </c>
      <c r="B58" s="70">
        <v>1460</v>
      </c>
      <c r="C58" s="20">
        <v>0</v>
      </c>
      <c r="D58" s="20">
        <f>B58</f>
        <v>1460</v>
      </c>
      <c r="G58" s="80"/>
      <c r="H58" s="82"/>
      <c r="I58" s="82"/>
      <c r="J58" s="82"/>
      <c r="K58" s="82"/>
      <c r="L58" s="82"/>
    </row>
    <row r="59" spans="1:12" x14ac:dyDescent="0.2">
      <c r="A59" s="20">
        <v>-1</v>
      </c>
      <c r="B59" s="70">
        <v>1378</v>
      </c>
      <c r="C59" s="20">
        <f>B59/-$A$15</f>
        <v>275.60000000000002</v>
      </c>
      <c r="D59" s="20">
        <f>B59*(1-(-A59/$B$5))</f>
        <v>1102.4000000000001</v>
      </c>
      <c r="G59" s="80"/>
      <c r="H59" s="82"/>
      <c r="I59" s="82"/>
      <c r="J59" s="82"/>
      <c r="K59" s="82"/>
      <c r="L59" s="82"/>
    </row>
    <row r="60" spans="1:12" x14ac:dyDescent="0.2">
      <c r="A60" s="20">
        <v>-2</v>
      </c>
      <c r="B60" s="70">
        <v>834</v>
      </c>
      <c r="C60" s="20">
        <f>B60/-$A$15</f>
        <v>166.8</v>
      </c>
      <c r="D60" s="20">
        <f>B60*(1-(-A60/$B$5))</f>
        <v>500.4</v>
      </c>
      <c r="H60" s="82"/>
      <c r="I60" s="82"/>
      <c r="J60" s="82"/>
      <c r="K60" s="82"/>
      <c r="L60" s="82"/>
    </row>
    <row r="61" spans="1:12" x14ac:dyDescent="0.2">
      <c r="A61" s="20">
        <v>-3</v>
      </c>
      <c r="B61" s="70">
        <v>718</v>
      </c>
      <c r="C61" s="20">
        <f>B61/-$A$15</f>
        <v>143.6</v>
      </c>
      <c r="D61" s="20">
        <f>B61*(1-(-A61/$B$5))</f>
        <v>287.2</v>
      </c>
      <c r="G61" s="80"/>
      <c r="H61" s="82"/>
      <c r="I61" s="82"/>
      <c r="J61" s="82"/>
      <c r="K61" s="82"/>
      <c r="L61" s="82"/>
    </row>
    <row r="62" spans="1:12" x14ac:dyDescent="0.2">
      <c r="A62" s="20">
        <v>-4</v>
      </c>
      <c r="B62" s="70">
        <v>465</v>
      </c>
      <c r="C62" s="20">
        <f>B62/-$A$15</f>
        <v>93</v>
      </c>
      <c r="D62" s="20">
        <f>B62*(1-(-A62/$B$5))</f>
        <v>92.999999999999986</v>
      </c>
    </row>
    <row r="63" spans="1:12" x14ac:dyDescent="0.2">
      <c r="A63" s="20">
        <v>-5</v>
      </c>
      <c r="B63" s="70">
        <v>232</v>
      </c>
      <c r="C63" s="20">
        <f>B63/-$A$15</f>
        <v>46.4</v>
      </c>
      <c r="D63" s="20">
        <f>B63*(1-(-A63/$B$5))</f>
        <v>0</v>
      </c>
      <c r="G63" s="4"/>
      <c r="H63" s="83"/>
      <c r="I63" s="83"/>
      <c r="J63" s="83"/>
      <c r="K63" s="83"/>
      <c r="L63" s="83"/>
    </row>
    <row r="64" spans="1:12" x14ac:dyDescent="0.2">
      <c r="B64" s="19" t="s">
        <v>49</v>
      </c>
      <c r="C64" s="76">
        <f>SUM(C58:C63)</f>
        <v>725.4</v>
      </c>
      <c r="D64" s="76">
        <f>SUM(D58:D63)</f>
        <v>3443</v>
      </c>
      <c r="G64" s="80"/>
      <c r="H64" s="13"/>
      <c r="I64" s="13"/>
      <c r="J64" s="13"/>
      <c r="K64" s="13"/>
      <c r="L64" s="12"/>
    </row>
    <row r="65" spans="1:12" x14ac:dyDescent="0.2">
      <c r="G65" s="80"/>
      <c r="H65" s="45"/>
    </row>
    <row r="66" spans="1:12" x14ac:dyDescent="0.2">
      <c r="A66" s="4">
        <v>2017</v>
      </c>
      <c r="G66" s="80"/>
      <c r="H66" s="5"/>
    </row>
    <row r="68" spans="1:12" x14ac:dyDescent="0.2">
      <c r="A68" s="20"/>
      <c r="B68" s="20" t="s">
        <v>168</v>
      </c>
      <c r="C68" s="20" t="s">
        <v>169</v>
      </c>
      <c r="D68" s="20" t="s">
        <v>179</v>
      </c>
    </row>
    <row r="69" spans="1:12" ht="19" x14ac:dyDescent="0.25">
      <c r="A69" s="20" t="s">
        <v>172</v>
      </c>
      <c r="B69" s="70">
        <v>1378</v>
      </c>
      <c r="C69" s="20">
        <v>0</v>
      </c>
      <c r="D69" s="20">
        <f>B69</f>
        <v>1378</v>
      </c>
      <c r="G69" s="84"/>
    </row>
    <row r="70" spans="1:12" x14ac:dyDescent="0.2">
      <c r="A70" s="20">
        <v>-1</v>
      </c>
      <c r="B70" s="70">
        <v>834</v>
      </c>
      <c r="C70" s="20">
        <f>B70/-$A$15</f>
        <v>166.8</v>
      </c>
      <c r="D70" s="20">
        <f>B70*(1-(-A70/$B$5))</f>
        <v>667.2</v>
      </c>
    </row>
    <row r="71" spans="1:12" x14ac:dyDescent="0.2">
      <c r="A71" s="20">
        <v>-2</v>
      </c>
      <c r="B71" s="70">
        <v>718</v>
      </c>
      <c r="C71" s="20">
        <f>B71/-$A$15</f>
        <v>143.6</v>
      </c>
      <c r="D71" s="20">
        <f>B71*(1-(-A71/$B$5))</f>
        <v>430.8</v>
      </c>
    </row>
    <row r="72" spans="1:12" x14ac:dyDescent="0.2">
      <c r="A72" s="20">
        <v>-3</v>
      </c>
      <c r="B72" s="70">
        <v>465</v>
      </c>
      <c r="C72" s="20">
        <f>B72/-$A$15</f>
        <v>93</v>
      </c>
      <c r="D72" s="20">
        <f>B72*(1-(-A72/$B$5))</f>
        <v>186</v>
      </c>
    </row>
    <row r="73" spans="1:12" x14ac:dyDescent="0.2">
      <c r="A73" s="20">
        <v>-4</v>
      </c>
      <c r="B73" s="70">
        <v>232</v>
      </c>
      <c r="C73" s="20">
        <f>B73/-$A$15</f>
        <v>46.4</v>
      </c>
      <c r="D73" s="20">
        <f>B73*(1-(-A73/$B$5))</f>
        <v>46.399999999999991</v>
      </c>
      <c r="H73" s="82"/>
      <c r="I73" s="82"/>
      <c r="J73" s="82"/>
      <c r="K73" s="82"/>
      <c r="L73" s="82"/>
    </row>
    <row r="74" spans="1:12" x14ac:dyDescent="0.2">
      <c r="A74" s="20">
        <v>-5</v>
      </c>
      <c r="B74" s="70">
        <v>274</v>
      </c>
      <c r="C74" s="20">
        <f>B74/-$A$15</f>
        <v>54.8</v>
      </c>
      <c r="D74" s="20">
        <f>B74*(1-(-A74/$B$5))</f>
        <v>0</v>
      </c>
      <c r="G74" s="80"/>
      <c r="H74" s="46"/>
      <c r="I74" s="46"/>
      <c r="J74" s="46"/>
      <c r="K74" s="46"/>
      <c r="L74" s="46"/>
    </row>
    <row r="75" spans="1:12" x14ac:dyDescent="0.2">
      <c r="B75" s="19" t="s">
        <v>49</v>
      </c>
      <c r="C75" s="76">
        <f>SUM(C69:C74)</f>
        <v>504.59999999999997</v>
      </c>
      <c r="D75" s="76">
        <f>SUM(D69:D74)</f>
        <v>2708.4</v>
      </c>
      <c r="G75" s="80"/>
      <c r="H75" s="82"/>
      <c r="I75" s="82"/>
      <c r="J75" s="82"/>
      <c r="K75" s="82"/>
      <c r="L75" s="82"/>
    </row>
    <row r="77" spans="1:12" x14ac:dyDescent="0.2">
      <c r="H77" s="82"/>
      <c r="I77" s="82"/>
      <c r="J77" s="82"/>
      <c r="K77" s="82"/>
      <c r="L77" s="82"/>
    </row>
    <row r="80" spans="1:12" x14ac:dyDescent="0.2">
      <c r="H80" s="82"/>
      <c r="I80" s="82"/>
      <c r="J80" s="82"/>
      <c r="K80" s="82"/>
      <c r="L80" s="82"/>
    </row>
    <row r="82" spans="7:13" x14ac:dyDescent="0.2">
      <c r="H82" s="82"/>
      <c r="I82" s="82"/>
      <c r="J82" s="82"/>
      <c r="K82" s="82"/>
      <c r="L82" s="82"/>
    </row>
    <row r="83" spans="7:13" x14ac:dyDescent="0.2">
      <c r="G83" s="80"/>
      <c r="H83" s="82"/>
      <c r="I83" s="82"/>
      <c r="J83" s="82"/>
      <c r="K83" s="82"/>
      <c r="L83" s="82"/>
    </row>
    <row r="84" spans="7:13" x14ac:dyDescent="0.2">
      <c r="G84" s="80"/>
      <c r="H84" s="82"/>
      <c r="I84" s="82"/>
      <c r="J84" s="82"/>
      <c r="K84" s="82"/>
      <c r="L84" s="82"/>
    </row>
    <row r="86" spans="7:13" x14ac:dyDescent="0.2">
      <c r="H86" s="82"/>
      <c r="I86" s="82"/>
      <c r="J86" s="82"/>
      <c r="K86" s="82"/>
      <c r="L86" s="82"/>
      <c r="M86" s="9"/>
    </row>
    <row r="87" spans="7:13" x14ac:dyDescent="0.2">
      <c r="G87" s="80"/>
      <c r="H87" s="45"/>
      <c r="I87" s="45"/>
      <c r="J87" s="45"/>
      <c r="K87" s="45"/>
      <c r="L87" s="45"/>
    </row>
    <row r="88" spans="7:13" x14ac:dyDescent="0.2">
      <c r="G88" s="80"/>
      <c r="H88" s="45"/>
      <c r="I88" s="45"/>
      <c r="J88" s="45"/>
      <c r="K88" s="45"/>
      <c r="L88" s="45"/>
    </row>
    <row r="89" spans="7:13" x14ac:dyDescent="0.2">
      <c r="G89" s="80"/>
      <c r="H89" s="45"/>
      <c r="I89" s="45"/>
      <c r="J89" s="45"/>
      <c r="K89" s="45"/>
      <c r="L89" s="45"/>
    </row>
    <row r="91" spans="7:13" x14ac:dyDescent="0.2">
      <c r="H91" s="82"/>
      <c r="I91" s="82"/>
      <c r="J91" s="82"/>
      <c r="K91" s="82"/>
      <c r="L91" s="82"/>
    </row>
    <row r="92" spans="7:13" x14ac:dyDescent="0.2">
      <c r="G92" s="80"/>
      <c r="H92" s="82"/>
      <c r="I92" s="82"/>
      <c r="J92" s="82"/>
      <c r="K92" s="82"/>
      <c r="L92" s="82"/>
    </row>
    <row r="93" spans="7:13" x14ac:dyDescent="0.2">
      <c r="G93" s="81"/>
      <c r="H93" s="82"/>
      <c r="I93" s="82"/>
      <c r="J93" s="82"/>
      <c r="K93" s="82"/>
      <c r="L93" s="82"/>
    </row>
    <row r="94" spans="7:13" x14ac:dyDescent="0.2">
      <c r="G94" s="81"/>
      <c r="H94" s="82"/>
      <c r="I94" s="82"/>
      <c r="J94" s="82"/>
      <c r="K94" s="82"/>
      <c r="L94" s="82"/>
    </row>
    <row r="95" spans="7:13" x14ac:dyDescent="0.2">
      <c r="G95" s="80"/>
      <c r="H95" s="82"/>
      <c r="I95" s="82"/>
      <c r="J95" s="82"/>
      <c r="K95" s="82"/>
      <c r="L95" s="82"/>
    </row>
    <row r="97" spans="7:12" x14ac:dyDescent="0.2">
      <c r="H97" s="82"/>
      <c r="I97" s="82"/>
      <c r="J97" s="82"/>
      <c r="K97" s="82"/>
      <c r="L97" s="82"/>
    </row>
    <row r="99" spans="7:12" x14ac:dyDescent="0.2">
      <c r="H99" s="82"/>
      <c r="I99" s="82"/>
      <c r="J99" s="82"/>
      <c r="K99" s="82"/>
      <c r="L99" s="82"/>
    </row>
    <row r="100" spans="7:12" x14ac:dyDescent="0.2">
      <c r="G100" s="80"/>
      <c r="H100" s="82"/>
      <c r="I100" s="82"/>
      <c r="J100" s="82"/>
      <c r="K100" s="82"/>
      <c r="L100" s="82"/>
    </row>
    <row r="101" spans="7:12" x14ac:dyDescent="0.2">
      <c r="H101" s="82"/>
      <c r="I101" s="82"/>
      <c r="J101" s="82"/>
      <c r="K101" s="82"/>
      <c r="L101" s="82"/>
    </row>
    <row r="102" spans="7:12" x14ac:dyDescent="0.2">
      <c r="H102" s="82"/>
      <c r="I102" s="82"/>
      <c r="J102" s="82"/>
      <c r="K102" s="82"/>
      <c r="L102" s="82"/>
    </row>
    <row r="103" spans="7:12" x14ac:dyDescent="0.2">
      <c r="G103" s="80"/>
      <c r="H103" s="82"/>
      <c r="I103" s="82"/>
      <c r="J103" s="82"/>
      <c r="K103" s="82"/>
      <c r="L103" s="82"/>
    </row>
    <row r="104" spans="7:12" x14ac:dyDescent="0.2">
      <c r="G104" s="80"/>
      <c r="H104" s="82"/>
      <c r="I104" s="82"/>
      <c r="J104" s="82"/>
      <c r="K104" s="82"/>
      <c r="L104" s="82"/>
    </row>
    <row r="105" spans="7:12" x14ac:dyDescent="0.2">
      <c r="H105" s="82"/>
      <c r="I105" s="82"/>
      <c r="J105" s="82"/>
      <c r="K105" s="82"/>
      <c r="L105" s="82"/>
    </row>
    <row r="106" spans="7:12" x14ac:dyDescent="0.2">
      <c r="H106" s="82"/>
      <c r="I106" s="82"/>
      <c r="J106" s="82"/>
      <c r="K106" s="82"/>
      <c r="L106" s="82"/>
    </row>
    <row r="107" spans="7:12" x14ac:dyDescent="0.2">
      <c r="G107" s="80"/>
    </row>
    <row r="109" spans="7:12" x14ac:dyDescent="0.2">
      <c r="H109" s="82"/>
      <c r="I109" s="82"/>
      <c r="J109" s="82"/>
      <c r="K109" s="82"/>
      <c r="L109" s="82"/>
    </row>
    <row r="110" spans="7:12" x14ac:dyDescent="0.2">
      <c r="G110" s="80"/>
      <c r="H110" s="82"/>
      <c r="I110" s="82"/>
      <c r="J110" s="82"/>
      <c r="K110" s="82"/>
      <c r="L110" s="82"/>
    </row>
    <row r="111" spans="7:12" x14ac:dyDescent="0.2">
      <c r="G111" s="80"/>
      <c r="H111" s="82"/>
      <c r="I111" s="82"/>
      <c r="J111" s="82"/>
      <c r="K111" s="82"/>
      <c r="L111" s="82"/>
    </row>
    <row r="112" spans="7:12" x14ac:dyDescent="0.2">
      <c r="G112" s="80"/>
      <c r="H112" s="82"/>
      <c r="I112" s="82"/>
      <c r="J112" s="82"/>
      <c r="K112" s="82"/>
      <c r="L112" s="82"/>
    </row>
    <row r="113" spans="7:12" x14ac:dyDescent="0.2">
      <c r="G113" s="80"/>
      <c r="H113" s="82"/>
      <c r="I113" s="82"/>
      <c r="J113" s="82"/>
      <c r="K113" s="82"/>
      <c r="L113" s="82"/>
    </row>
    <row r="114" spans="7:12" x14ac:dyDescent="0.2">
      <c r="G114" s="80"/>
    </row>
    <row r="116" spans="7:12" x14ac:dyDescent="0.2">
      <c r="H116" s="82"/>
      <c r="I116" s="82"/>
      <c r="J116" s="82"/>
      <c r="K116" s="82"/>
      <c r="L116" s="82"/>
    </row>
    <row r="117" spans="7:12" x14ac:dyDescent="0.2">
      <c r="G117" s="80"/>
    </row>
    <row r="119" spans="7:12" x14ac:dyDescent="0.2">
      <c r="H119" s="82"/>
      <c r="I119" s="82"/>
      <c r="J119" s="82"/>
      <c r="K119" s="82"/>
      <c r="L119" s="82"/>
    </row>
    <row r="120" spans="7:12" x14ac:dyDescent="0.2">
      <c r="H120" s="82"/>
      <c r="I120" s="82"/>
      <c r="J120" s="82"/>
      <c r="K120" s="82"/>
      <c r="L120" s="82"/>
    </row>
    <row r="121" spans="7:12" x14ac:dyDescent="0.2">
      <c r="H121" s="82"/>
      <c r="I121" s="82"/>
      <c r="J121" s="82"/>
      <c r="K121" s="82"/>
      <c r="L121" s="82"/>
    </row>
    <row r="122" spans="7:12" x14ac:dyDescent="0.2">
      <c r="H122" s="82"/>
      <c r="I122" s="82"/>
      <c r="J122" s="82"/>
      <c r="K122" s="82"/>
      <c r="L122" s="82"/>
    </row>
    <row r="123" spans="7:12" x14ac:dyDescent="0.2">
      <c r="G123" s="4"/>
      <c r="H123" s="83"/>
      <c r="I123" s="83"/>
      <c r="J123" s="83"/>
      <c r="K123" s="83"/>
      <c r="L123" s="8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B783-35C9-E340-B428-950AC2B1F167}">
  <dimension ref="A2:Z68"/>
  <sheetViews>
    <sheetView tabSelected="1" topLeftCell="A23" zoomScale="60" workbookViewId="0">
      <selection activeCell="P34" sqref="P34"/>
    </sheetView>
  </sheetViews>
  <sheetFormatPr baseColWidth="10" defaultRowHeight="16" x14ac:dyDescent="0.2"/>
  <cols>
    <col min="1" max="1" width="71.1640625" bestFit="1" customWidth="1"/>
    <col min="2" max="6" width="11.33203125" bestFit="1" customWidth="1"/>
    <col min="7" max="7" width="14.33203125" customWidth="1"/>
    <col min="8" max="8" width="14.1640625" customWidth="1"/>
    <col min="10" max="10" width="37.1640625" customWidth="1"/>
    <col min="13" max="13" width="11.33203125" bestFit="1" customWidth="1"/>
    <col min="15" max="15" width="11.33203125" bestFit="1" customWidth="1"/>
    <col min="16" max="16" width="15" customWidth="1"/>
    <col min="17" max="17" width="13.33203125" customWidth="1"/>
    <col min="19" max="19" width="28" customWidth="1"/>
    <col min="20" max="24" width="11.6640625" bestFit="1" customWidth="1"/>
    <col min="25" max="26" width="11.5" bestFit="1" customWidth="1"/>
  </cols>
  <sheetData>
    <row r="2" spans="1:24" ht="21" x14ac:dyDescent="0.25">
      <c r="A2" s="327" t="s">
        <v>1</v>
      </c>
      <c r="B2" s="100"/>
      <c r="C2" s="100"/>
      <c r="D2" s="100"/>
      <c r="E2" s="100"/>
      <c r="F2" s="100"/>
      <c r="J2" s="327" t="s">
        <v>285</v>
      </c>
      <c r="S2" s="327" t="s">
        <v>521</v>
      </c>
    </row>
    <row r="3" spans="1:24" x14ac:dyDescent="0.2">
      <c r="A3" s="100"/>
      <c r="B3" s="100"/>
      <c r="C3" s="100"/>
      <c r="D3" s="100"/>
      <c r="E3" s="100"/>
      <c r="F3" s="100"/>
    </row>
    <row r="4" spans="1:24" x14ac:dyDescent="0.2">
      <c r="A4" s="100" t="s">
        <v>181</v>
      </c>
      <c r="B4" s="100"/>
      <c r="C4" s="100"/>
      <c r="D4" s="100"/>
      <c r="E4" s="100"/>
      <c r="F4" s="100"/>
      <c r="P4" s="328"/>
    </row>
    <row r="5" spans="1:24" x14ac:dyDescent="0.2">
      <c r="A5" s="249" t="s">
        <v>127</v>
      </c>
      <c r="B5" s="249">
        <v>2022</v>
      </c>
      <c r="C5" s="249">
        <v>2021</v>
      </c>
      <c r="D5" s="249">
        <v>2020</v>
      </c>
      <c r="E5" s="249">
        <v>2019</v>
      </c>
      <c r="F5" s="249">
        <v>2018</v>
      </c>
      <c r="G5" s="335">
        <v>2017</v>
      </c>
      <c r="J5" s="249" t="s">
        <v>127</v>
      </c>
      <c r="K5" s="249">
        <v>2022</v>
      </c>
      <c r="L5" s="249">
        <v>2021</v>
      </c>
      <c r="M5" s="249">
        <v>2020</v>
      </c>
      <c r="N5" s="249">
        <v>2019</v>
      </c>
      <c r="O5" s="249">
        <v>2018</v>
      </c>
      <c r="P5" s="329">
        <v>2017</v>
      </c>
      <c r="S5" s="249" t="s">
        <v>127</v>
      </c>
      <c r="T5" s="249">
        <v>2018</v>
      </c>
      <c r="U5" s="249">
        <v>2019</v>
      </c>
      <c r="V5" s="249">
        <v>2020</v>
      </c>
      <c r="W5" s="249">
        <v>2021</v>
      </c>
      <c r="X5" s="249">
        <v>2022</v>
      </c>
    </row>
    <row r="6" spans="1:24" x14ac:dyDescent="0.2">
      <c r="A6" s="102" t="s">
        <v>182</v>
      </c>
      <c r="B6" s="104">
        <v>67210</v>
      </c>
      <c r="C6" s="104">
        <v>44125</v>
      </c>
      <c r="D6" s="104">
        <v>24604</v>
      </c>
      <c r="E6" s="104">
        <v>19358</v>
      </c>
      <c r="F6" s="104">
        <v>17632</v>
      </c>
      <c r="G6" s="336">
        <v>8535</v>
      </c>
      <c r="J6" s="102" t="s">
        <v>182</v>
      </c>
      <c r="K6" s="104">
        <v>67210</v>
      </c>
      <c r="L6" s="104">
        <v>44125</v>
      </c>
      <c r="M6" s="104">
        <v>24604</v>
      </c>
      <c r="N6" s="104">
        <v>19358</v>
      </c>
      <c r="O6" s="104">
        <v>17632</v>
      </c>
      <c r="P6" s="330">
        <v>8535</v>
      </c>
      <c r="S6" s="102" t="s">
        <v>182</v>
      </c>
      <c r="T6" s="104">
        <v>17632</v>
      </c>
      <c r="U6" s="104">
        <v>19358</v>
      </c>
      <c r="V6" s="104">
        <v>24604</v>
      </c>
      <c r="W6" s="104">
        <v>44125</v>
      </c>
      <c r="X6" s="104">
        <v>67210</v>
      </c>
    </row>
    <row r="7" spans="1:24" x14ac:dyDescent="0.2">
      <c r="A7" s="102" t="s">
        <v>183</v>
      </c>
      <c r="B7" s="104">
        <v>1776</v>
      </c>
      <c r="C7" s="104">
        <v>1465</v>
      </c>
      <c r="D7" s="104">
        <v>1580</v>
      </c>
      <c r="E7" s="104">
        <v>594</v>
      </c>
      <c r="F7" s="104">
        <v>0</v>
      </c>
      <c r="G7" s="336">
        <v>0</v>
      </c>
      <c r="J7" s="102" t="s">
        <v>183</v>
      </c>
      <c r="K7" s="104">
        <v>1776</v>
      </c>
      <c r="L7" s="104">
        <v>1465</v>
      </c>
      <c r="M7" s="104">
        <v>1580</v>
      </c>
      <c r="N7" s="104">
        <v>594</v>
      </c>
      <c r="O7" s="104">
        <v>0</v>
      </c>
      <c r="P7" s="330">
        <v>0</v>
      </c>
      <c r="S7" s="102" t="s">
        <v>183</v>
      </c>
      <c r="T7" s="104" t="s">
        <v>184</v>
      </c>
      <c r="U7" s="104">
        <v>594</v>
      </c>
      <c r="V7" s="104">
        <v>1580</v>
      </c>
      <c r="W7" s="104">
        <v>1465</v>
      </c>
      <c r="X7" s="104">
        <v>1776</v>
      </c>
    </row>
    <row r="8" spans="1:24" x14ac:dyDescent="0.2">
      <c r="A8" s="102" t="s">
        <v>185</v>
      </c>
      <c r="B8" s="104">
        <v>2476</v>
      </c>
      <c r="C8" s="104">
        <v>1642</v>
      </c>
      <c r="D8" s="104">
        <v>1052</v>
      </c>
      <c r="E8" s="104">
        <v>869</v>
      </c>
      <c r="F8" s="104">
        <v>883</v>
      </c>
      <c r="G8" s="336">
        <v>1107</v>
      </c>
      <c r="J8" s="102" t="s">
        <v>185</v>
      </c>
      <c r="K8" s="104">
        <v>2476</v>
      </c>
      <c r="L8" s="104">
        <v>1642</v>
      </c>
      <c r="M8" s="104">
        <v>1052</v>
      </c>
      <c r="N8" s="104">
        <v>869</v>
      </c>
      <c r="O8" s="104">
        <v>883</v>
      </c>
      <c r="P8" s="330">
        <v>1107</v>
      </c>
      <c r="S8" s="102" t="s">
        <v>185</v>
      </c>
      <c r="T8" s="104">
        <v>883</v>
      </c>
      <c r="U8" s="104">
        <v>869</v>
      </c>
      <c r="V8" s="104">
        <v>1052</v>
      </c>
      <c r="W8" s="104">
        <v>1642</v>
      </c>
      <c r="X8" s="104">
        <v>2476</v>
      </c>
    </row>
    <row r="9" spans="1:24" x14ac:dyDescent="0.2">
      <c r="A9" s="105" t="s">
        <v>186</v>
      </c>
      <c r="B9" s="106">
        <v>71462</v>
      </c>
      <c r="C9" s="106">
        <v>47232</v>
      </c>
      <c r="D9" s="106">
        <v>27236</v>
      </c>
      <c r="E9" s="106">
        <v>20821</v>
      </c>
      <c r="F9" s="106">
        <v>18515</v>
      </c>
      <c r="G9" s="336">
        <v>9641</v>
      </c>
      <c r="J9" s="105" t="s">
        <v>186</v>
      </c>
      <c r="K9" s="106">
        <f>SUM(K6:K8)</f>
        <v>71462</v>
      </c>
      <c r="L9" s="106">
        <f t="shared" ref="L9:P9" si="0">SUM(L6:L8)</f>
        <v>47232</v>
      </c>
      <c r="M9" s="106">
        <f t="shared" si="0"/>
        <v>27236</v>
      </c>
      <c r="N9" s="106">
        <f t="shared" si="0"/>
        <v>20821</v>
      </c>
      <c r="O9" s="106">
        <f t="shared" si="0"/>
        <v>18515</v>
      </c>
      <c r="P9" s="331">
        <f t="shared" si="0"/>
        <v>9642</v>
      </c>
      <c r="S9" s="105" t="s">
        <v>186</v>
      </c>
      <c r="T9" s="106">
        <v>18515</v>
      </c>
      <c r="U9" s="106">
        <v>20821</v>
      </c>
      <c r="V9" s="106">
        <v>27236</v>
      </c>
      <c r="W9" s="106">
        <v>47232</v>
      </c>
      <c r="X9" s="106">
        <v>71462</v>
      </c>
    </row>
    <row r="10" spans="1:24" x14ac:dyDescent="0.2">
      <c r="A10" s="108" t="s">
        <v>187</v>
      </c>
      <c r="B10" s="104">
        <v>3909</v>
      </c>
      <c r="C10" s="104">
        <v>2789</v>
      </c>
      <c r="D10" s="104">
        <v>1994</v>
      </c>
      <c r="E10" s="104">
        <v>1531</v>
      </c>
      <c r="F10" s="104">
        <v>1555</v>
      </c>
      <c r="G10" s="336">
        <v>1116</v>
      </c>
      <c r="J10" s="108" t="s">
        <v>187</v>
      </c>
      <c r="K10" s="104">
        <v>3909</v>
      </c>
      <c r="L10" s="104">
        <v>2789</v>
      </c>
      <c r="M10" s="104">
        <v>1994</v>
      </c>
      <c r="N10" s="104">
        <v>1531</v>
      </c>
      <c r="O10" s="104">
        <v>1555</v>
      </c>
      <c r="P10" s="330">
        <v>1116</v>
      </c>
      <c r="S10" s="108" t="s">
        <v>187</v>
      </c>
      <c r="T10" s="104">
        <v>1555</v>
      </c>
      <c r="U10" s="104">
        <v>1531</v>
      </c>
      <c r="V10" s="104">
        <v>1994</v>
      </c>
      <c r="W10" s="104">
        <v>2789</v>
      </c>
      <c r="X10" s="104">
        <v>3909</v>
      </c>
    </row>
    <row r="11" spans="1:24" x14ac:dyDescent="0.2">
      <c r="A11" s="108" t="s">
        <v>188</v>
      </c>
      <c r="B11" s="104">
        <v>6091</v>
      </c>
      <c r="C11" s="104">
        <v>3802</v>
      </c>
      <c r="D11" s="104">
        <v>2306</v>
      </c>
      <c r="E11" s="104">
        <v>2226</v>
      </c>
      <c r="F11" s="104">
        <v>1391</v>
      </c>
      <c r="G11" s="336">
        <v>1001</v>
      </c>
      <c r="J11" s="108" t="s">
        <v>188</v>
      </c>
      <c r="K11" s="104">
        <v>6091</v>
      </c>
      <c r="L11" s="104">
        <v>3802</v>
      </c>
      <c r="M11" s="104">
        <v>2306</v>
      </c>
      <c r="N11" s="104">
        <v>2226</v>
      </c>
      <c r="O11" s="104">
        <v>1391</v>
      </c>
      <c r="P11" s="330">
        <v>1001</v>
      </c>
      <c r="S11" s="108" t="s">
        <v>188</v>
      </c>
      <c r="T11" s="104">
        <v>1391</v>
      </c>
      <c r="U11" s="104">
        <v>2226</v>
      </c>
      <c r="V11" s="104">
        <v>2306</v>
      </c>
      <c r="W11" s="104">
        <v>3802</v>
      </c>
      <c r="X11" s="104">
        <v>6091</v>
      </c>
    </row>
    <row r="12" spans="1:24" x14ac:dyDescent="0.2">
      <c r="A12" s="109" t="s">
        <v>131</v>
      </c>
      <c r="B12" s="106">
        <v>81462</v>
      </c>
      <c r="C12" s="106">
        <v>53823</v>
      </c>
      <c r="D12" s="106">
        <v>31536</v>
      </c>
      <c r="E12" s="106">
        <v>24578</v>
      </c>
      <c r="F12" s="106">
        <v>21461</v>
      </c>
      <c r="G12" s="336">
        <f>SUM(G9:G11)</f>
        <v>11758</v>
      </c>
      <c r="J12" s="109" t="s">
        <v>131</v>
      </c>
      <c r="K12" s="106">
        <f>SUM(K9:K11)</f>
        <v>81462</v>
      </c>
      <c r="L12" s="106">
        <f t="shared" ref="L12:O12" si="1">SUM(L9:L11)</f>
        <v>53823</v>
      </c>
      <c r="M12" s="106">
        <f t="shared" si="1"/>
        <v>31536</v>
      </c>
      <c r="N12" s="106">
        <f t="shared" si="1"/>
        <v>24578</v>
      </c>
      <c r="O12" s="106">
        <f t="shared" si="1"/>
        <v>21461</v>
      </c>
      <c r="P12" s="331">
        <f>SUM(P9:P11)</f>
        <v>11759</v>
      </c>
      <c r="S12" s="109" t="s">
        <v>131</v>
      </c>
      <c r="T12" s="106">
        <v>21461</v>
      </c>
      <c r="U12" s="106">
        <v>24578</v>
      </c>
      <c r="V12" s="106">
        <v>31536</v>
      </c>
      <c r="W12" s="106">
        <v>53823</v>
      </c>
      <c r="X12" s="106">
        <v>81462</v>
      </c>
    </row>
    <row r="13" spans="1:24" x14ac:dyDescent="0.2">
      <c r="A13" s="102" t="s">
        <v>182</v>
      </c>
      <c r="B13" s="104">
        <v>-49599</v>
      </c>
      <c r="C13" s="104">
        <v>-32415</v>
      </c>
      <c r="D13" s="104">
        <v>-19696</v>
      </c>
      <c r="E13" s="104">
        <v>-15939</v>
      </c>
      <c r="F13" s="104">
        <v>-13686</v>
      </c>
      <c r="G13" s="336">
        <v>-6724</v>
      </c>
      <c r="J13" s="102" t="s">
        <v>182</v>
      </c>
      <c r="K13" s="104">
        <v>-49599</v>
      </c>
      <c r="L13" s="104">
        <v>-32415</v>
      </c>
      <c r="M13" s="104">
        <v>-19696</v>
      </c>
      <c r="N13" s="104">
        <v>-15939</v>
      </c>
      <c r="O13" s="104">
        <v>-13686</v>
      </c>
      <c r="P13" s="330">
        <v>-6724</v>
      </c>
      <c r="S13" s="102" t="s">
        <v>182</v>
      </c>
      <c r="T13" s="104">
        <v>-13686</v>
      </c>
      <c r="U13" s="104">
        <v>-15939</v>
      </c>
      <c r="V13" s="104">
        <v>-19696</v>
      </c>
      <c r="W13" s="104">
        <v>-32415</v>
      </c>
      <c r="X13" s="104">
        <v>-49599</v>
      </c>
    </row>
    <row r="14" spans="1:24" x14ac:dyDescent="0.2">
      <c r="A14" s="102" t="s">
        <v>185</v>
      </c>
      <c r="B14" s="104">
        <v>-1509</v>
      </c>
      <c r="C14" s="104">
        <v>-978</v>
      </c>
      <c r="D14" s="104">
        <v>-563</v>
      </c>
      <c r="E14" s="104">
        <v>-459</v>
      </c>
      <c r="F14" s="104">
        <v>-488</v>
      </c>
      <c r="G14" s="336">
        <v>-708</v>
      </c>
      <c r="J14" s="102" t="s">
        <v>185</v>
      </c>
      <c r="K14" s="104">
        <v>-1509</v>
      </c>
      <c r="L14" s="104">
        <v>-978</v>
      </c>
      <c r="M14" s="104">
        <v>-563</v>
      </c>
      <c r="N14" s="104">
        <v>-459</v>
      </c>
      <c r="O14" s="104">
        <v>-488</v>
      </c>
      <c r="P14" s="330">
        <v>-708</v>
      </c>
      <c r="S14" s="102" t="s">
        <v>185</v>
      </c>
      <c r="T14" s="104">
        <v>-488</v>
      </c>
      <c r="U14" s="104">
        <v>-459</v>
      </c>
      <c r="V14" s="104">
        <v>-563</v>
      </c>
      <c r="W14" s="104">
        <v>-978</v>
      </c>
      <c r="X14" s="104">
        <v>-1509</v>
      </c>
    </row>
    <row r="15" spans="1:24" ht="32" x14ac:dyDescent="0.2">
      <c r="A15" s="110" t="s">
        <v>189</v>
      </c>
      <c r="B15" s="106">
        <v>-51108</v>
      </c>
      <c r="C15" s="106">
        <v>-33393</v>
      </c>
      <c r="D15" s="106">
        <v>-20259</v>
      </c>
      <c r="E15" s="106">
        <v>-16398</v>
      </c>
      <c r="F15" s="106">
        <v>-14174</v>
      </c>
      <c r="G15" s="336">
        <v>-7433</v>
      </c>
      <c r="J15" s="110" t="s">
        <v>189</v>
      </c>
      <c r="K15" s="106">
        <f>SUM(K13:K14)</f>
        <v>-51108</v>
      </c>
      <c r="L15" s="106">
        <f t="shared" ref="L15:O15" si="2">SUM(L13:L14)</f>
        <v>-33393</v>
      </c>
      <c r="M15" s="106">
        <f t="shared" si="2"/>
        <v>-20259</v>
      </c>
      <c r="N15" s="106">
        <f t="shared" si="2"/>
        <v>-16398</v>
      </c>
      <c r="O15" s="106">
        <f t="shared" si="2"/>
        <v>-14174</v>
      </c>
      <c r="P15" s="331">
        <v>-7433</v>
      </c>
      <c r="S15" s="110" t="s">
        <v>189</v>
      </c>
      <c r="T15" s="106">
        <v>-14174</v>
      </c>
      <c r="U15" s="106">
        <v>-16398</v>
      </c>
      <c r="V15" s="106">
        <v>-20259</v>
      </c>
      <c r="W15" s="106">
        <v>-33393</v>
      </c>
      <c r="X15" s="106">
        <v>-51108</v>
      </c>
    </row>
    <row r="16" spans="1:24" x14ac:dyDescent="0.2">
      <c r="A16" s="108" t="s">
        <v>187</v>
      </c>
      <c r="B16" s="104">
        <v>-3621</v>
      </c>
      <c r="C16" s="104">
        <v>-2918</v>
      </c>
      <c r="D16" s="104">
        <v>-1976</v>
      </c>
      <c r="E16" s="104">
        <v>-1341</v>
      </c>
      <c r="F16" s="104">
        <v>-1365</v>
      </c>
      <c r="G16" s="336">
        <v>-875</v>
      </c>
      <c r="J16" s="108" t="s">
        <v>187</v>
      </c>
      <c r="K16" s="104">
        <v>-3621</v>
      </c>
      <c r="L16" s="104">
        <v>-2918</v>
      </c>
      <c r="M16" s="104">
        <v>-1976</v>
      </c>
      <c r="N16" s="104">
        <v>-1341</v>
      </c>
      <c r="O16" s="104">
        <v>-1365</v>
      </c>
      <c r="P16" s="330">
        <v>-875</v>
      </c>
      <c r="S16" s="108" t="s">
        <v>187</v>
      </c>
      <c r="T16" s="104">
        <v>-1365</v>
      </c>
      <c r="U16" s="104">
        <v>-1341</v>
      </c>
      <c r="V16" s="104">
        <v>-1976</v>
      </c>
      <c r="W16" s="104">
        <v>-2918</v>
      </c>
      <c r="X16" s="104">
        <v>-3621</v>
      </c>
    </row>
    <row r="17" spans="1:24" x14ac:dyDescent="0.2">
      <c r="A17" s="108" t="s">
        <v>188</v>
      </c>
      <c r="B17" s="104">
        <v>-5880</v>
      </c>
      <c r="C17" s="104">
        <v>-3906</v>
      </c>
      <c r="D17" s="104">
        <v>-2671</v>
      </c>
      <c r="E17" s="104">
        <v>-2770</v>
      </c>
      <c r="F17" s="104">
        <v>-1880</v>
      </c>
      <c r="G17" s="336">
        <v>-1229</v>
      </c>
      <c r="J17" s="108" t="s">
        <v>188</v>
      </c>
      <c r="K17" s="104">
        <v>-5880</v>
      </c>
      <c r="L17" s="104">
        <v>-3906</v>
      </c>
      <c r="M17" s="104">
        <v>-2671</v>
      </c>
      <c r="N17" s="104">
        <v>-2770</v>
      </c>
      <c r="O17" s="104">
        <v>-1880</v>
      </c>
      <c r="P17" s="330">
        <v>-1229</v>
      </c>
      <c r="S17" s="108" t="s">
        <v>188</v>
      </c>
      <c r="T17" s="104">
        <v>-1880</v>
      </c>
      <c r="U17" s="104">
        <v>-2770</v>
      </c>
      <c r="V17" s="104">
        <v>-2671</v>
      </c>
      <c r="W17" s="104">
        <v>-3906</v>
      </c>
      <c r="X17" s="104">
        <v>-5880</v>
      </c>
    </row>
    <row r="18" spans="1:24" x14ac:dyDescent="0.2">
      <c r="A18" s="105" t="s">
        <v>190</v>
      </c>
      <c r="B18" s="106">
        <v>-60609</v>
      </c>
      <c r="C18" s="106">
        <v>-40217</v>
      </c>
      <c r="D18" s="106">
        <v>-24906</v>
      </c>
      <c r="E18" s="106">
        <v>-20509</v>
      </c>
      <c r="F18" s="106">
        <v>-17419</v>
      </c>
      <c r="G18" s="336">
        <v>-9536</v>
      </c>
      <c r="H18" s="13"/>
      <c r="J18" s="87" t="s">
        <v>177</v>
      </c>
      <c r="K18" s="88">
        <f>ROUND(-'Aktivering av historisk F&amp;U'!H11,0)</f>
        <v>-1653</v>
      </c>
      <c r="L18" s="88">
        <f>ROUND(-'Aktivering av historisk F&amp;U'!I11,0)</f>
        <v>-1301</v>
      </c>
      <c r="M18" s="88">
        <f>ROUND(-'Aktivering av historisk F&amp;U'!J11,0)</f>
        <v>-1147</v>
      </c>
      <c r="N18" s="88">
        <f>ROUND(-'Aktivering av historisk F&amp;U'!K11,0)</f>
        <v>-971</v>
      </c>
      <c r="O18" s="88">
        <f>ROUND(-'Aktivering av historisk F&amp;U'!L11,0)</f>
        <v>-725</v>
      </c>
      <c r="P18" s="332">
        <f>ROUND(-'Aktivering av historisk F&amp;U'!M11,0)</f>
        <v>-505</v>
      </c>
      <c r="S18" s="87" t="s">
        <v>177</v>
      </c>
      <c r="T18" s="88">
        <v>-725</v>
      </c>
      <c r="U18" s="88">
        <v>-971</v>
      </c>
      <c r="V18" s="88">
        <v>-1147</v>
      </c>
      <c r="W18" s="88">
        <v>-1301</v>
      </c>
      <c r="X18" s="88">
        <v>-1653</v>
      </c>
    </row>
    <row r="19" spans="1:24" x14ac:dyDescent="0.2">
      <c r="A19" s="109" t="s">
        <v>191</v>
      </c>
      <c r="B19" s="106">
        <v>20853</v>
      </c>
      <c r="C19" s="106">
        <v>13606</v>
      </c>
      <c r="D19" s="106">
        <v>6630</v>
      </c>
      <c r="E19" s="106">
        <v>4069</v>
      </c>
      <c r="F19" s="106">
        <v>4042</v>
      </c>
      <c r="G19" s="336">
        <v>2222</v>
      </c>
      <c r="J19" s="105" t="s">
        <v>190</v>
      </c>
      <c r="K19" s="106">
        <f>SUM(K15:K18)</f>
        <v>-62262</v>
      </c>
      <c r="L19" s="106">
        <f t="shared" ref="L19:O19" si="3">SUM(L15:L18)</f>
        <v>-41518</v>
      </c>
      <c r="M19" s="106">
        <f t="shared" si="3"/>
        <v>-26053</v>
      </c>
      <c r="N19" s="106">
        <f t="shared" si="3"/>
        <v>-21480</v>
      </c>
      <c r="O19" s="106">
        <f t="shared" si="3"/>
        <v>-18144</v>
      </c>
      <c r="P19" s="331">
        <f>SUM(P15:P18)</f>
        <v>-10042</v>
      </c>
      <c r="Q19" s="13"/>
      <c r="S19" s="105" t="s">
        <v>190</v>
      </c>
      <c r="T19" s="106">
        <v>-18144</v>
      </c>
      <c r="U19" s="106">
        <v>-21480</v>
      </c>
      <c r="V19" s="106">
        <v>-26053</v>
      </c>
      <c r="W19" s="106">
        <v>-41518</v>
      </c>
      <c r="X19" s="106">
        <v>-62262</v>
      </c>
    </row>
    <row r="20" spans="1:24" x14ac:dyDescent="0.2">
      <c r="A20" s="108" t="s">
        <v>192</v>
      </c>
      <c r="B20" s="104">
        <v>-3075</v>
      </c>
      <c r="C20" s="104">
        <v>-2593</v>
      </c>
      <c r="D20" s="104">
        <v>-1491</v>
      </c>
      <c r="E20" s="104">
        <v>-1343</v>
      </c>
      <c r="F20" s="104">
        <v>-1460</v>
      </c>
      <c r="G20" s="336">
        <v>-1378</v>
      </c>
      <c r="J20" s="109" t="s">
        <v>191</v>
      </c>
      <c r="K20" s="106">
        <f>K12+K19</f>
        <v>19200</v>
      </c>
      <c r="L20" s="106">
        <f t="shared" ref="L20:P20" si="4">L12+L19</f>
        <v>12305</v>
      </c>
      <c r="M20" s="106">
        <f t="shared" si="4"/>
        <v>5483</v>
      </c>
      <c r="N20" s="106">
        <f t="shared" si="4"/>
        <v>3098</v>
      </c>
      <c r="O20" s="106">
        <f t="shared" si="4"/>
        <v>3317</v>
      </c>
      <c r="P20" s="331">
        <f t="shared" si="4"/>
        <v>1717</v>
      </c>
      <c r="S20" s="109" t="s">
        <v>191</v>
      </c>
      <c r="T20" s="106">
        <v>3317</v>
      </c>
      <c r="U20" s="106">
        <v>3098</v>
      </c>
      <c r="V20" s="106">
        <v>5483</v>
      </c>
      <c r="W20" s="106">
        <v>12305</v>
      </c>
      <c r="X20" s="106">
        <v>19200</v>
      </c>
    </row>
    <row r="21" spans="1:24" x14ac:dyDescent="0.2">
      <c r="A21" s="108" t="s">
        <v>193</v>
      </c>
      <c r="B21" s="104">
        <v>-3946</v>
      </c>
      <c r="C21" s="104">
        <v>-4517</v>
      </c>
      <c r="D21" s="104">
        <v>-3145</v>
      </c>
      <c r="E21" s="104">
        <v>-2646</v>
      </c>
      <c r="F21" s="104">
        <v>-2834</v>
      </c>
      <c r="G21" s="336">
        <v>-2476</v>
      </c>
      <c r="J21" s="108" t="s">
        <v>192</v>
      </c>
      <c r="K21" s="104">
        <v>-3075</v>
      </c>
      <c r="L21" s="104">
        <v>-2593</v>
      </c>
      <c r="M21" s="104">
        <v>-1491</v>
      </c>
      <c r="N21" s="104">
        <v>-1343</v>
      </c>
      <c r="O21" s="104">
        <v>-1460</v>
      </c>
      <c r="P21" s="330">
        <v>-1378</v>
      </c>
      <c r="S21" s="108" t="s">
        <v>192</v>
      </c>
      <c r="T21" s="104">
        <v>-1460</v>
      </c>
      <c r="U21" s="104">
        <v>-1343</v>
      </c>
      <c r="V21" s="104">
        <v>-1491</v>
      </c>
      <c r="W21" s="104">
        <v>-2593</v>
      </c>
      <c r="X21" s="104">
        <v>-3075</v>
      </c>
    </row>
    <row r="22" spans="1:24" x14ac:dyDescent="0.2">
      <c r="A22" s="108" t="s">
        <v>194</v>
      </c>
      <c r="B22" s="104">
        <v>-176</v>
      </c>
      <c r="C22" s="104">
        <v>27</v>
      </c>
      <c r="D22" s="104" t="s">
        <v>184</v>
      </c>
      <c r="E22" s="104">
        <v>-149</v>
      </c>
      <c r="F22" s="104">
        <v>-135</v>
      </c>
      <c r="G22" s="336">
        <v>0</v>
      </c>
      <c r="J22" s="89" t="s">
        <v>178</v>
      </c>
      <c r="K22" s="99">
        <f>'Aktivering av historisk F&amp;U'!H12</f>
        <v>3075</v>
      </c>
      <c r="L22" s="99">
        <f>'Aktivering av historisk F&amp;U'!I12</f>
        <v>2593</v>
      </c>
      <c r="M22" s="99">
        <f>'Aktivering av historisk F&amp;U'!J12</f>
        <v>1491</v>
      </c>
      <c r="N22" s="99">
        <f>'Aktivering av historisk F&amp;U'!K12</f>
        <v>1343</v>
      </c>
      <c r="O22" s="99">
        <f>'Aktivering av historisk F&amp;U'!L12</f>
        <v>1460</v>
      </c>
      <c r="P22" s="333">
        <f>'Aktivering av historisk F&amp;U'!M12</f>
        <v>1378</v>
      </c>
      <c r="S22" s="89" t="s">
        <v>178</v>
      </c>
      <c r="T22" s="99">
        <v>1460</v>
      </c>
      <c r="U22" s="99">
        <v>1343</v>
      </c>
      <c r="V22" s="99">
        <v>1491</v>
      </c>
      <c r="W22" s="99">
        <v>2593</v>
      </c>
      <c r="X22" s="99">
        <v>3075</v>
      </c>
    </row>
    <row r="23" spans="1:24" ht="32" x14ac:dyDescent="0.2">
      <c r="A23" s="105" t="s">
        <v>195</v>
      </c>
      <c r="B23" s="106">
        <v>-7197</v>
      </c>
      <c r="C23" s="106">
        <v>-7083</v>
      </c>
      <c r="D23" s="106">
        <v>-4636</v>
      </c>
      <c r="E23" s="106">
        <v>-4138</v>
      </c>
      <c r="F23" s="106">
        <v>-4430</v>
      </c>
      <c r="G23" s="336">
        <v>-3855</v>
      </c>
      <c r="J23" s="108" t="s">
        <v>193</v>
      </c>
      <c r="K23" s="104">
        <v>-3946</v>
      </c>
      <c r="L23" s="104">
        <v>-4517</v>
      </c>
      <c r="M23" s="104">
        <v>-3145</v>
      </c>
      <c r="N23" s="104">
        <v>-2646</v>
      </c>
      <c r="O23" s="104">
        <v>-2834</v>
      </c>
      <c r="P23" s="330">
        <v>-2476</v>
      </c>
      <c r="S23" s="108" t="s">
        <v>193</v>
      </c>
      <c r="T23" s="104">
        <v>-2834</v>
      </c>
      <c r="U23" s="104">
        <v>-2646</v>
      </c>
      <c r="V23" s="104">
        <v>-3145</v>
      </c>
      <c r="W23" s="104">
        <v>-4517</v>
      </c>
      <c r="X23" s="104">
        <v>-3946</v>
      </c>
    </row>
    <row r="24" spans="1:24" x14ac:dyDescent="0.2">
      <c r="A24" s="109" t="s">
        <v>196</v>
      </c>
      <c r="B24" s="106">
        <v>13656</v>
      </c>
      <c r="C24" s="106">
        <v>6523</v>
      </c>
      <c r="D24" s="106">
        <v>1994</v>
      </c>
      <c r="E24" s="106">
        <v>-69</v>
      </c>
      <c r="F24" s="106">
        <v>-388</v>
      </c>
      <c r="G24" s="336">
        <v>-1632</v>
      </c>
      <c r="H24" s="13"/>
      <c r="J24" s="108" t="s">
        <v>194</v>
      </c>
      <c r="K24" s="104">
        <v>-176</v>
      </c>
      <c r="L24" s="104">
        <v>27</v>
      </c>
      <c r="M24" s="104" t="s">
        <v>184</v>
      </c>
      <c r="N24" s="104">
        <v>-149</v>
      </c>
      <c r="O24" s="104">
        <v>-135</v>
      </c>
      <c r="P24" s="330">
        <v>0</v>
      </c>
      <c r="R24" s="4"/>
      <c r="S24" s="108" t="s">
        <v>194</v>
      </c>
      <c r="T24" s="104">
        <v>-135</v>
      </c>
      <c r="U24" s="104">
        <v>-149</v>
      </c>
      <c r="V24" s="104" t="s">
        <v>184</v>
      </c>
      <c r="W24" s="104">
        <v>27</v>
      </c>
      <c r="X24" s="104">
        <v>-176</v>
      </c>
    </row>
    <row r="25" spans="1:24" x14ac:dyDescent="0.2">
      <c r="A25" s="108" t="s">
        <v>197</v>
      </c>
      <c r="B25" s="104">
        <v>297</v>
      </c>
      <c r="C25" s="104">
        <v>56</v>
      </c>
      <c r="D25" s="104">
        <v>30</v>
      </c>
      <c r="E25" s="104">
        <v>44</v>
      </c>
      <c r="F25" s="104">
        <v>25</v>
      </c>
      <c r="G25" s="336">
        <v>20</v>
      </c>
      <c r="H25" s="13"/>
      <c r="J25" s="105" t="s">
        <v>195</v>
      </c>
      <c r="K25" s="106">
        <f>SUM(K21:K24)</f>
        <v>-4122</v>
      </c>
      <c r="L25" s="106">
        <f>SUM(L21:L24)</f>
        <v>-4490</v>
      </c>
      <c r="M25" s="106">
        <f>SUM(M21:M24)</f>
        <v>-3145</v>
      </c>
      <c r="N25" s="106">
        <f>SUM(N21:N24)</f>
        <v>-2795</v>
      </c>
      <c r="O25" s="106">
        <f>SUM(O21:O24)</f>
        <v>-2969</v>
      </c>
      <c r="P25" s="331">
        <v>-3855</v>
      </c>
      <c r="S25" s="105" t="s">
        <v>195</v>
      </c>
      <c r="T25" s="106">
        <v>-2969</v>
      </c>
      <c r="U25" s="106">
        <v>-2795</v>
      </c>
      <c r="V25" s="106">
        <v>-3145</v>
      </c>
      <c r="W25" s="106">
        <v>-4490</v>
      </c>
      <c r="X25" s="106">
        <v>-4122</v>
      </c>
    </row>
    <row r="26" spans="1:24" x14ac:dyDescent="0.2">
      <c r="A26" s="108" t="s">
        <v>198</v>
      </c>
      <c r="B26" s="104">
        <v>-191</v>
      </c>
      <c r="C26" s="104">
        <v>-371</v>
      </c>
      <c r="D26" s="104">
        <v>-748</v>
      </c>
      <c r="E26" s="104">
        <v>-685</v>
      </c>
      <c r="F26" s="104">
        <v>-663</v>
      </c>
      <c r="G26" s="336">
        <v>-471</v>
      </c>
      <c r="H26" s="13"/>
      <c r="J26" s="109" t="s">
        <v>196</v>
      </c>
      <c r="K26" s="106">
        <f>K20+K25</f>
        <v>15078</v>
      </c>
      <c r="L26" s="106">
        <f>L20+L25</f>
        <v>7815</v>
      </c>
      <c r="M26" s="106">
        <f>M20+M25</f>
        <v>2338</v>
      </c>
      <c r="N26" s="106">
        <f>N20+N25</f>
        <v>303</v>
      </c>
      <c r="O26" s="106">
        <f>O20+O25</f>
        <v>348</v>
      </c>
      <c r="P26" s="331">
        <v>-1632</v>
      </c>
      <c r="S26" s="109" t="s">
        <v>196</v>
      </c>
      <c r="T26" s="106">
        <v>348</v>
      </c>
      <c r="U26" s="106">
        <v>303</v>
      </c>
      <c r="V26" s="106">
        <v>2338</v>
      </c>
      <c r="W26" s="106">
        <v>7815</v>
      </c>
      <c r="X26" s="106">
        <v>15078</v>
      </c>
    </row>
    <row r="27" spans="1:24" x14ac:dyDescent="0.2">
      <c r="A27" s="108" t="s">
        <v>199</v>
      </c>
      <c r="B27" s="104">
        <v>-43</v>
      </c>
      <c r="C27" s="104">
        <v>135</v>
      </c>
      <c r="D27" s="104">
        <v>-122</v>
      </c>
      <c r="E27" s="104">
        <v>45</v>
      </c>
      <c r="F27" s="104">
        <v>22</v>
      </c>
      <c r="G27" s="336">
        <v>-125</v>
      </c>
      <c r="H27" s="13"/>
      <c r="J27" s="108" t="s">
        <v>197</v>
      </c>
      <c r="K27" s="104">
        <v>297</v>
      </c>
      <c r="L27" s="104">
        <v>56</v>
      </c>
      <c r="M27" s="104">
        <v>30</v>
      </c>
      <c r="N27" s="104">
        <v>44</v>
      </c>
      <c r="O27" s="104">
        <v>25</v>
      </c>
      <c r="P27" s="330">
        <v>20</v>
      </c>
      <c r="S27" s="108" t="s">
        <v>197</v>
      </c>
      <c r="T27" s="104">
        <v>25</v>
      </c>
      <c r="U27" s="104">
        <v>44</v>
      </c>
      <c r="V27" s="104">
        <v>30</v>
      </c>
      <c r="W27" s="104">
        <v>56</v>
      </c>
      <c r="X27" s="104">
        <v>297</v>
      </c>
    </row>
    <row r="28" spans="1:24" x14ac:dyDescent="0.2">
      <c r="A28" s="109" t="s">
        <v>200</v>
      </c>
      <c r="B28" s="106">
        <v>13719</v>
      </c>
      <c r="C28" s="106">
        <v>6343</v>
      </c>
      <c r="D28" s="106">
        <v>1154</v>
      </c>
      <c r="E28" s="106">
        <v>-665</v>
      </c>
      <c r="F28" s="106">
        <v>-1005</v>
      </c>
      <c r="G28" s="336">
        <v>-2209</v>
      </c>
      <c r="H28" s="13"/>
      <c r="J28" s="108" t="s">
        <v>198</v>
      </c>
      <c r="K28" s="104">
        <v>-191</v>
      </c>
      <c r="L28" s="104">
        <v>-371</v>
      </c>
      <c r="M28" s="104">
        <v>-748</v>
      </c>
      <c r="N28" s="104">
        <v>-685</v>
      </c>
      <c r="O28" s="104">
        <v>-663</v>
      </c>
      <c r="P28" s="330">
        <v>-471</v>
      </c>
      <c r="S28" s="108" t="s">
        <v>198</v>
      </c>
      <c r="T28" s="104">
        <v>-663</v>
      </c>
      <c r="U28" s="104">
        <v>-685</v>
      </c>
      <c r="V28" s="104">
        <v>-748</v>
      </c>
      <c r="W28" s="104">
        <v>-371</v>
      </c>
      <c r="X28" s="104">
        <v>-191</v>
      </c>
    </row>
    <row r="29" spans="1:24" x14ac:dyDescent="0.2">
      <c r="A29" s="108" t="s">
        <v>201</v>
      </c>
      <c r="B29" s="104">
        <v>-1132</v>
      </c>
      <c r="C29" s="104">
        <v>-699</v>
      </c>
      <c r="D29" s="104">
        <v>-292</v>
      </c>
      <c r="E29" s="104">
        <v>-110</v>
      </c>
      <c r="F29" s="104">
        <v>-58</v>
      </c>
      <c r="G29" s="336">
        <v>32</v>
      </c>
      <c r="J29" s="108" t="s">
        <v>199</v>
      </c>
      <c r="K29" s="104">
        <v>-43</v>
      </c>
      <c r="L29" s="104">
        <v>135</v>
      </c>
      <c r="M29" s="104">
        <v>-122</v>
      </c>
      <c r="N29" s="104">
        <v>45</v>
      </c>
      <c r="O29" s="104">
        <v>22</v>
      </c>
      <c r="P29" s="330">
        <v>-125</v>
      </c>
      <c r="S29" s="108" t="s">
        <v>199</v>
      </c>
      <c r="T29" s="104">
        <v>22</v>
      </c>
      <c r="U29" s="104">
        <v>45</v>
      </c>
      <c r="V29" s="104">
        <v>-122</v>
      </c>
      <c r="W29" s="104">
        <v>135</v>
      </c>
      <c r="X29" s="104">
        <v>-43</v>
      </c>
    </row>
    <row r="30" spans="1:24" ht="32" x14ac:dyDescent="0.2">
      <c r="A30" s="109" t="s">
        <v>202</v>
      </c>
      <c r="B30" s="106">
        <v>12587</v>
      </c>
      <c r="C30" s="106">
        <v>5644</v>
      </c>
      <c r="D30" s="106">
        <v>862</v>
      </c>
      <c r="E30" s="106">
        <v>-775</v>
      </c>
      <c r="F30" s="106">
        <v>-1063</v>
      </c>
      <c r="G30" s="336">
        <v>-2240</v>
      </c>
      <c r="J30" s="109" t="s">
        <v>200</v>
      </c>
      <c r="K30" s="106">
        <f>SUM(K26:K29)</f>
        <v>15141</v>
      </c>
      <c r="L30" s="106">
        <f t="shared" ref="L30:O30" si="5">SUM(L26:L29)</f>
        <v>7635</v>
      </c>
      <c r="M30" s="106">
        <f t="shared" si="5"/>
        <v>1498</v>
      </c>
      <c r="N30" s="106">
        <f t="shared" si="5"/>
        <v>-293</v>
      </c>
      <c r="O30" s="106">
        <f t="shared" si="5"/>
        <v>-268</v>
      </c>
      <c r="P30" s="331">
        <v>2209</v>
      </c>
      <c r="S30" s="109" t="s">
        <v>200</v>
      </c>
      <c r="T30" s="106">
        <v>-268</v>
      </c>
      <c r="U30" s="106">
        <v>-293</v>
      </c>
      <c r="V30" s="106">
        <v>1498</v>
      </c>
      <c r="W30" s="106">
        <v>7635</v>
      </c>
      <c r="X30" s="106">
        <v>15141</v>
      </c>
    </row>
    <row r="31" spans="1:24" ht="32" x14ac:dyDescent="0.2">
      <c r="A31" s="108" t="s">
        <v>203</v>
      </c>
      <c r="B31" s="104">
        <v>-31</v>
      </c>
      <c r="C31" s="104">
        <v>-125</v>
      </c>
      <c r="D31" s="104">
        <v>-141</v>
      </c>
      <c r="E31" s="104">
        <v>-87</v>
      </c>
      <c r="F31" s="104">
        <v>86</v>
      </c>
      <c r="J31" s="108" t="s">
        <v>201</v>
      </c>
      <c r="K31" s="104">
        <v>-1132</v>
      </c>
      <c r="L31" s="104">
        <v>-699</v>
      </c>
      <c r="M31" s="104">
        <v>-292</v>
      </c>
      <c r="N31" s="104">
        <v>-110</v>
      </c>
      <c r="O31" s="104">
        <v>-58</v>
      </c>
      <c r="P31" s="330">
        <v>32</v>
      </c>
      <c r="S31" s="108" t="s">
        <v>201</v>
      </c>
      <c r="T31" s="104">
        <v>-58</v>
      </c>
      <c r="U31" s="104">
        <v>-110</v>
      </c>
      <c r="V31" s="104">
        <v>-292</v>
      </c>
      <c r="W31" s="104">
        <v>-699</v>
      </c>
      <c r="X31" s="104">
        <v>-1132</v>
      </c>
    </row>
    <row r="32" spans="1:24" x14ac:dyDescent="0.2">
      <c r="A32" s="111" t="s">
        <v>204</v>
      </c>
      <c r="B32" s="106">
        <v>12556</v>
      </c>
      <c r="C32" s="106">
        <v>5519</v>
      </c>
      <c r="D32" s="106">
        <v>721</v>
      </c>
      <c r="E32" s="106">
        <v>-862</v>
      </c>
      <c r="F32" s="106">
        <v>-976</v>
      </c>
      <c r="J32" s="109" t="s">
        <v>202</v>
      </c>
      <c r="K32" s="106">
        <f>K30+K31</f>
        <v>14009</v>
      </c>
      <c r="L32" s="106">
        <f t="shared" ref="L32:O32" si="6">L30+L31</f>
        <v>6936</v>
      </c>
      <c r="M32" s="106">
        <f t="shared" si="6"/>
        <v>1206</v>
      </c>
      <c r="N32" s="106">
        <f t="shared" si="6"/>
        <v>-403</v>
      </c>
      <c r="O32" s="106">
        <f t="shared" si="6"/>
        <v>-326</v>
      </c>
      <c r="P32" s="331">
        <v>-2240</v>
      </c>
      <c r="S32" s="109" t="s">
        <v>202</v>
      </c>
      <c r="T32" s="106">
        <v>-326</v>
      </c>
      <c r="U32" s="106">
        <v>-403</v>
      </c>
      <c r="V32" s="106">
        <v>1206</v>
      </c>
      <c r="W32" s="106">
        <v>6936</v>
      </c>
      <c r="X32" s="106">
        <v>14009</v>
      </c>
    </row>
    <row r="33" spans="1:26" ht="64" x14ac:dyDescent="0.2">
      <c r="A33" s="360"/>
      <c r="B33" s="360"/>
      <c r="C33" s="360"/>
      <c r="D33" s="360"/>
      <c r="E33" s="360"/>
      <c r="F33" s="360"/>
      <c r="G33" s="361"/>
      <c r="J33" s="108" t="s">
        <v>203</v>
      </c>
      <c r="K33" s="104">
        <v>-31</v>
      </c>
      <c r="L33" s="104">
        <v>-125</v>
      </c>
      <c r="M33" s="104">
        <v>-141</v>
      </c>
      <c r="N33" s="104">
        <v>-87</v>
      </c>
      <c r="O33" s="104">
        <v>86</v>
      </c>
      <c r="P33" s="328"/>
      <c r="S33" s="108" t="s">
        <v>203</v>
      </c>
      <c r="T33" s="104">
        <v>86</v>
      </c>
      <c r="U33" s="104">
        <v>-87</v>
      </c>
      <c r="V33" s="104">
        <v>-141</v>
      </c>
      <c r="W33" s="104">
        <v>-125</v>
      </c>
      <c r="X33" s="104">
        <v>-31</v>
      </c>
    </row>
    <row r="34" spans="1:26" ht="32" x14ac:dyDescent="0.2">
      <c r="J34" s="111" t="s">
        <v>204</v>
      </c>
      <c r="K34" s="106">
        <v>12556</v>
      </c>
      <c r="L34" s="106">
        <v>5519</v>
      </c>
      <c r="M34" s="106">
        <v>721</v>
      </c>
      <c r="N34" s="106">
        <v>-862</v>
      </c>
      <c r="O34" s="106">
        <v>-976</v>
      </c>
      <c r="S34" s="111" t="s">
        <v>204</v>
      </c>
      <c r="T34" s="106">
        <v>-976</v>
      </c>
      <c r="U34" s="106">
        <v>-862</v>
      </c>
      <c r="V34" s="106">
        <v>721</v>
      </c>
      <c r="W34" s="106">
        <v>5519</v>
      </c>
      <c r="X34" s="106">
        <v>12556</v>
      </c>
    </row>
    <row r="37" spans="1:26" x14ac:dyDescent="0.2">
      <c r="A37" s="4" t="s">
        <v>293</v>
      </c>
    </row>
    <row r="39" spans="1:26" ht="48" x14ac:dyDescent="0.2">
      <c r="A39" s="249"/>
      <c r="B39" s="249">
        <v>2022</v>
      </c>
      <c r="C39" s="249">
        <v>2021</v>
      </c>
      <c r="D39" s="249">
        <v>2020</v>
      </c>
      <c r="E39" s="249">
        <v>2019</v>
      </c>
      <c r="F39" s="249">
        <v>2018</v>
      </c>
      <c r="G39" s="334" t="s">
        <v>282</v>
      </c>
      <c r="H39" s="334" t="s">
        <v>283</v>
      </c>
      <c r="J39" s="249"/>
      <c r="K39" s="249">
        <v>2022</v>
      </c>
      <c r="L39" s="249">
        <v>2021</v>
      </c>
      <c r="M39" s="249">
        <v>2020</v>
      </c>
      <c r="N39" s="249">
        <v>2019</v>
      </c>
      <c r="O39" s="249">
        <v>2018</v>
      </c>
      <c r="P39" s="334" t="s">
        <v>282</v>
      </c>
      <c r="Q39" s="334" t="s">
        <v>283</v>
      </c>
      <c r="S39" s="249" t="s">
        <v>127</v>
      </c>
      <c r="T39" s="249">
        <v>2018</v>
      </c>
      <c r="U39" s="249">
        <v>2019</v>
      </c>
      <c r="V39" s="249">
        <v>2020</v>
      </c>
      <c r="W39" s="249">
        <v>2021</v>
      </c>
      <c r="X39" s="249">
        <v>2022</v>
      </c>
      <c r="Y39" s="334" t="s">
        <v>282</v>
      </c>
      <c r="Z39" s="334" t="s">
        <v>522</v>
      </c>
    </row>
    <row r="40" spans="1:26" x14ac:dyDescent="0.2">
      <c r="A40" s="102" t="s">
        <v>182</v>
      </c>
      <c r="B40" s="13">
        <f t="shared" ref="B40:F41" si="7">B6/C6-1</f>
        <v>0.52317280453257786</v>
      </c>
      <c r="C40" s="13">
        <f t="shared" si="7"/>
        <v>0.79340757600390188</v>
      </c>
      <c r="D40" s="13">
        <f t="shared" si="7"/>
        <v>0.27099907015187519</v>
      </c>
      <c r="E40" s="13">
        <f t="shared" si="7"/>
        <v>9.7890199637023612E-2</v>
      </c>
      <c r="F40" s="13">
        <f t="shared" si="7"/>
        <v>1.0658465143526654</v>
      </c>
      <c r="G40" s="13">
        <f>SUM(B40:F40)/5</f>
        <v>0.55026323293560875</v>
      </c>
      <c r="H40" s="13">
        <f t="shared" ref="H40:H66" si="8">(B6/F6)^(1/5) -1</f>
        <v>0.30685217092474915</v>
      </c>
      <c r="J40" s="102" t="s">
        <v>182</v>
      </c>
      <c r="K40" s="13">
        <f t="shared" ref="K40:O41" si="9">K6/L6-1</f>
        <v>0.52317280453257786</v>
      </c>
      <c r="L40" s="13">
        <f t="shared" si="9"/>
        <v>0.79340757600390188</v>
      </c>
      <c r="M40" s="13">
        <f t="shared" si="9"/>
        <v>0.27099907015187519</v>
      </c>
      <c r="N40" s="13">
        <f t="shared" si="9"/>
        <v>9.7890199637023612E-2</v>
      </c>
      <c r="O40" s="13">
        <f t="shared" si="9"/>
        <v>1.0658465143526654</v>
      </c>
      <c r="P40" s="13">
        <f>SUM(K40:O40)/5</f>
        <v>0.55026323293560875</v>
      </c>
      <c r="Q40" s="13">
        <f>(K6/O6)^(1/5) -1</f>
        <v>0.30685217092474915</v>
      </c>
      <c r="S40" s="102" t="s">
        <v>182</v>
      </c>
      <c r="T40" s="75">
        <v>1.0658000000000001</v>
      </c>
      <c r="U40" s="75">
        <v>9.7900000000000001E-2</v>
      </c>
      <c r="V40" s="75">
        <v>0.27100000000000002</v>
      </c>
      <c r="W40" s="75">
        <v>0.79339999999999999</v>
      </c>
      <c r="X40" s="75">
        <v>0.5232</v>
      </c>
      <c r="Y40" s="75">
        <v>0.55030000000000001</v>
      </c>
      <c r="Z40" s="75">
        <v>0.30690000000000001</v>
      </c>
    </row>
    <row r="41" spans="1:26" x14ac:dyDescent="0.2">
      <c r="A41" s="102" t="s">
        <v>183</v>
      </c>
      <c r="B41" s="13">
        <f t="shared" si="7"/>
        <v>0.21228668941979523</v>
      </c>
      <c r="C41" s="13">
        <f t="shared" si="7"/>
        <v>-7.2784810126582333E-2</v>
      </c>
      <c r="D41" s="13">
        <f t="shared" si="7"/>
        <v>1.65993265993266</v>
      </c>
      <c r="E41" s="13" t="e">
        <f t="shared" si="7"/>
        <v>#DIV/0!</v>
      </c>
      <c r="F41" s="13" t="e">
        <f t="shared" si="7"/>
        <v>#DIV/0!</v>
      </c>
      <c r="G41" s="13" t="e">
        <f t="shared" ref="G41:G66" si="10">SUM(B41:F41)/5</f>
        <v>#DIV/0!</v>
      </c>
      <c r="H41" s="13" t="e">
        <f t="shared" si="8"/>
        <v>#DIV/0!</v>
      </c>
      <c r="J41" s="102" t="s">
        <v>183</v>
      </c>
      <c r="K41" s="13">
        <f t="shared" si="9"/>
        <v>0.21228668941979523</v>
      </c>
      <c r="L41" s="13">
        <f t="shared" si="9"/>
        <v>-7.2784810126582333E-2</v>
      </c>
      <c r="M41" s="13">
        <f t="shared" si="9"/>
        <v>1.65993265993266</v>
      </c>
      <c r="N41" s="13" t="e">
        <f t="shared" si="9"/>
        <v>#DIV/0!</v>
      </c>
      <c r="O41" s="13" t="e">
        <f t="shared" si="9"/>
        <v>#DIV/0!</v>
      </c>
      <c r="P41" s="13" t="e">
        <f t="shared" ref="P41:P68" si="11">SUM(K41:O41)/5</f>
        <v>#DIV/0!</v>
      </c>
      <c r="Q41" s="13" t="e">
        <f>(K7/O7)^(1/5) -1</f>
        <v>#DIV/0!</v>
      </c>
      <c r="S41" s="102" t="s">
        <v>183</v>
      </c>
      <c r="T41" s="75" t="e">
        <v>#VALUE!</v>
      </c>
      <c r="U41" s="75" t="e">
        <v>#VALUE!</v>
      </c>
      <c r="V41" s="75">
        <v>1.6598999999999999</v>
      </c>
      <c r="W41" s="75">
        <v>-7.2800000000000004E-2</v>
      </c>
      <c r="X41" s="75">
        <v>0.21229999999999999</v>
      </c>
      <c r="Y41" s="75" t="e">
        <v>#VALUE!</v>
      </c>
      <c r="Z41" s="75" t="e">
        <v>#VALUE!</v>
      </c>
    </row>
    <row r="42" spans="1:26" x14ac:dyDescent="0.2">
      <c r="A42" s="102" t="s">
        <v>185</v>
      </c>
      <c r="B42" s="13">
        <f t="shared" ref="B42:F42" si="12">B8/C8-1</f>
        <v>0.50791717417783189</v>
      </c>
      <c r="C42" s="13">
        <f t="shared" si="12"/>
        <v>0.56083650190114076</v>
      </c>
      <c r="D42" s="13">
        <f t="shared" si="12"/>
        <v>0.21058688147295745</v>
      </c>
      <c r="E42" s="13">
        <f t="shared" si="12"/>
        <v>-1.5855039637599044E-2</v>
      </c>
      <c r="F42" s="13">
        <f t="shared" si="12"/>
        <v>-0.20234869015356816</v>
      </c>
      <c r="G42" s="13">
        <f t="shared" si="10"/>
        <v>0.21222736555215257</v>
      </c>
      <c r="H42" s="13">
        <f t="shared" si="8"/>
        <v>0.2290172750144881</v>
      </c>
      <c r="J42" s="102" t="s">
        <v>185</v>
      </c>
      <c r="K42" s="13">
        <f t="shared" ref="K42:O42" si="13">K8/L8-1</f>
        <v>0.50791717417783189</v>
      </c>
      <c r="L42" s="13">
        <f t="shared" si="13"/>
        <v>0.56083650190114076</v>
      </c>
      <c r="M42" s="13">
        <f t="shared" si="13"/>
        <v>0.21058688147295745</v>
      </c>
      <c r="N42" s="13">
        <f t="shared" si="13"/>
        <v>-1.5855039637599044E-2</v>
      </c>
      <c r="O42" s="13">
        <f t="shared" si="13"/>
        <v>-0.20234869015356816</v>
      </c>
      <c r="P42" s="13">
        <f t="shared" si="11"/>
        <v>0.21222736555215257</v>
      </c>
      <c r="Q42" s="13">
        <f>(K8/O8)^(1/5) -1</f>
        <v>0.2290172750144881</v>
      </c>
      <c r="S42" s="102" t="s">
        <v>185</v>
      </c>
      <c r="T42" s="75">
        <v>-0.20230000000000001</v>
      </c>
      <c r="U42" s="75">
        <v>-1.5900000000000001E-2</v>
      </c>
      <c r="V42" s="75">
        <v>0.21060000000000001</v>
      </c>
      <c r="W42" s="75">
        <v>0.56079999999999997</v>
      </c>
      <c r="X42" s="75">
        <v>0.50790000000000002</v>
      </c>
      <c r="Y42" s="75">
        <v>0.2122</v>
      </c>
      <c r="Z42" s="75">
        <v>0.22900000000000001</v>
      </c>
    </row>
    <row r="43" spans="1:26" x14ac:dyDescent="0.2">
      <c r="A43" s="105" t="s">
        <v>186</v>
      </c>
      <c r="B43" s="13">
        <f t="shared" ref="B43:F43" si="14">B9/C9-1</f>
        <v>0.51299966124661256</v>
      </c>
      <c r="C43" s="13">
        <f t="shared" si="14"/>
        <v>0.73417535614627694</v>
      </c>
      <c r="D43" s="13">
        <f t="shared" si="14"/>
        <v>0.30810239661879835</v>
      </c>
      <c r="E43" s="13">
        <f t="shared" si="14"/>
        <v>0.12454766405617068</v>
      </c>
      <c r="F43" s="13">
        <f t="shared" si="14"/>
        <v>0.92044393735089725</v>
      </c>
      <c r="G43" s="13">
        <f t="shared" si="10"/>
        <v>0.52005380308375115</v>
      </c>
      <c r="H43" s="13">
        <f t="shared" si="8"/>
        <v>0.31011762741871718</v>
      </c>
      <c r="J43" s="105" t="s">
        <v>186</v>
      </c>
      <c r="K43" s="13">
        <f t="shared" ref="K43:O43" si="15">K9/L9-1</f>
        <v>0.51299966124661256</v>
      </c>
      <c r="L43" s="13">
        <f t="shared" si="15"/>
        <v>0.73417535614627694</v>
      </c>
      <c r="M43" s="13">
        <f t="shared" si="15"/>
        <v>0.30810239661879835</v>
      </c>
      <c r="N43" s="13">
        <f t="shared" si="15"/>
        <v>0.12454766405617068</v>
      </c>
      <c r="O43" s="13">
        <f t="shared" si="15"/>
        <v>0.92024476249740728</v>
      </c>
      <c r="P43" s="13">
        <f t="shared" si="11"/>
        <v>0.52001396811305312</v>
      </c>
      <c r="Q43" s="13">
        <f t="shared" ref="Q43:Q68" si="16">(K9/O9)^(1/5) -1</f>
        <v>0.31011762741871718</v>
      </c>
      <c r="S43" s="105" t="s">
        <v>186</v>
      </c>
      <c r="T43" s="75">
        <v>0.92020000000000002</v>
      </c>
      <c r="U43" s="75">
        <v>0.1245</v>
      </c>
      <c r="V43" s="75">
        <v>0.30809999999999998</v>
      </c>
      <c r="W43" s="75">
        <v>0.73419999999999996</v>
      </c>
      <c r="X43" s="75">
        <v>0.51300000000000001</v>
      </c>
      <c r="Y43" s="75">
        <v>0.52</v>
      </c>
      <c r="Z43" s="75">
        <v>0.31009999999999999</v>
      </c>
    </row>
    <row r="44" spans="1:26" x14ac:dyDescent="0.2">
      <c r="A44" s="108" t="s">
        <v>187</v>
      </c>
      <c r="B44" s="13">
        <f>B10/C10-1</f>
        <v>0.40157762638938688</v>
      </c>
      <c r="C44" s="13">
        <f t="shared" ref="C44:F44" si="17">C10/D10-1</f>
        <v>0.3986960882647943</v>
      </c>
      <c r="D44" s="13">
        <f t="shared" si="17"/>
        <v>0.30241672109732209</v>
      </c>
      <c r="E44" s="13">
        <f t="shared" si="17"/>
        <v>-1.5434083601286175E-2</v>
      </c>
      <c r="F44" s="13">
        <f t="shared" si="17"/>
        <v>0.39336917562724016</v>
      </c>
      <c r="G44" s="13">
        <f t="shared" si="10"/>
        <v>0.29612510555549143</v>
      </c>
      <c r="H44" s="13">
        <f t="shared" si="8"/>
        <v>0.20245007953509453</v>
      </c>
      <c r="J44" s="108" t="s">
        <v>187</v>
      </c>
      <c r="K44" s="13">
        <f t="shared" ref="K44:O44" si="18">K10/L10-1</f>
        <v>0.40157762638938688</v>
      </c>
      <c r="L44" s="13">
        <f t="shared" si="18"/>
        <v>0.3986960882647943</v>
      </c>
      <c r="M44" s="13">
        <f t="shared" si="18"/>
        <v>0.30241672109732209</v>
      </c>
      <c r="N44" s="13">
        <f t="shared" si="18"/>
        <v>-1.5434083601286175E-2</v>
      </c>
      <c r="O44" s="13">
        <f t="shared" si="18"/>
        <v>0.39336917562724016</v>
      </c>
      <c r="P44" s="13">
        <f t="shared" si="11"/>
        <v>0.29612510555549143</v>
      </c>
      <c r="Q44" s="13">
        <f t="shared" si="16"/>
        <v>0.20245007953509453</v>
      </c>
      <c r="S44" s="108" t="s">
        <v>187</v>
      </c>
      <c r="T44" s="75">
        <v>0.39340000000000003</v>
      </c>
      <c r="U44" s="75">
        <v>-1.54E-2</v>
      </c>
      <c r="V44" s="75">
        <v>0.3024</v>
      </c>
      <c r="W44" s="75">
        <v>0.3987</v>
      </c>
      <c r="X44" s="75">
        <v>0.40160000000000001</v>
      </c>
      <c r="Y44" s="75">
        <v>0.29609999999999997</v>
      </c>
      <c r="Z44" s="75">
        <v>0.20250000000000001</v>
      </c>
    </row>
    <row r="45" spans="1:26" x14ac:dyDescent="0.2">
      <c r="A45" s="108" t="s">
        <v>188</v>
      </c>
      <c r="B45" s="13">
        <f t="shared" ref="B45:F45" si="19">B11/C11-1</f>
        <v>0.60205155181483438</v>
      </c>
      <c r="C45" s="13">
        <f t="shared" si="19"/>
        <v>0.64874241110147435</v>
      </c>
      <c r="D45" s="13">
        <f t="shared" si="19"/>
        <v>3.5938903863432126E-2</v>
      </c>
      <c r="E45" s="13">
        <f t="shared" si="19"/>
        <v>0.60028756290438534</v>
      </c>
      <c r="F45" s="13">
        <f t="shared" si="19"/>
        <v>0.38961038961038952</v>
      </c>
      <c r="G45" s="13">
        <f t="shared" si="10"/>
        <v>0.45532616385890312</v>
      </c>
      <c r="H45" s="13">
        <f t="shared" si="8"/>
        <v>0.34360711172937153</v>
      </c>
      <c r="J45" s="108" t="s">
        <v>188</v>
      </c>
      <c r="K45" s="13">
        <f t="shared" ref="K45:O45" si="20">K11/L11-1</f>
        <v>0.60205155181483438</v>
      </c>
      <c r="L45" s="13">
        <f t="shared" si="20"/>
        <v>0.64874241110147435</v>
      </c>
      <c r="M45" s="13">
        <f t="shared" si="20"/>
        <v>3.5938903863432126E-2</v>
      </c>
      <c r="N45" s="13">
        <f t="shared" si="20"/>
        <v>0.60028756290438534</v>
      </c>
      <c r="O45" s="13">
        <f t="shared" si="20"/>
        <v>0.38961038961038952</v>
      </c>
      <c r="P45" s="13">
        <f t="shared" si="11"/>
        <v>0.45532616385890312</v>
      </c>
      <c r="Q45" s="13">
        <f t="shared" si="16"/>
        <v>0.34360711172937153</v>
      </c>
      <c r="S45" s="108" t="s">
        <v>188</v>
      </c>
      <c r="T45" s="75">
        <v>0.3896</v>
      </c>
      <c r="U45" s="75">
        <v>0.60029999999999994</v>
      </c>
      <c r="V45" s="75">
        <v>3.5900000000000001E-2</v>
      </c>
      <c r="W45" s="75">
        <v>0.64870000000000005</v>
      </c>
      <c r="X45" s="75">
        <v>0.60209999999999997</v>
      </c>
      <c r="Y45" s="75">
        <v>0.45529999999999998</v>
      </c>
      <c r="Z45" s="75">
        <v>0.34360000000000002</v>
      </c>
    </row>
    <row r="46" spans="1:26" x14ac:dyDescent="0.2">
      <c r="A46" s="109" t="s">
        <v>131</v>
      </c>
      <c r="B46" s="13">
        <f t="shared" ref="B46:F46" si="21">B12/C12-1</f>
        <v>0.51351652639206291</v>
      </c>
      <c r="C46" s="13">
        <f t="shared" si="21"/>
        <v>0.70671613394216126</v>
      </c>
      <c r="D46" s="13">
        <f t="shared" si="21"/>
        <v>0.28309870615998056</v>
      </c>
      <c r="E46" s="13">
        <f t="shared" si="21"/>
        <v>0.14524020315921904</v>
      </c>
      <c r="F46" s="13">
        <f t="shared" si="21"/>
        <v>0.82522537846572552</v>
      </c>
      <c r="G46" s="13">
        <f t="shared" si="10"/>
        <v>0.49475938962382993</v>
      </c>
      <c r="H46" s="13">
        <f t="shared" si="8"/>
        <v>0.30575297129900636</v>
      </c>
      <c r="J46" s="109" t="s">
        <v>131</v>
      </c>
      <c r="K46" s="13">
        <f t="shared" ref="K46:O46" si="22">K12/L12-1</f>
        <v>0.51351652639206291</v>
      </c>
      <c r="L46" s="13">
        <f t="shared" si="22"/>
        <v>0.70671613394216126</v>
      </c>
      <c r="M46" s="13">
        <f t="shared" si="22"/>
        <v>0.28309870615998056</v>
      </c>
      <c r="N46" s="13">
        <f t="shared" si="22"/>
        <v>0.14524020315921904</v>
      </c>
      <c r="O46" s="13">
        <f t="shared" si="22"/>
        <v>0.8250701590271281</v>
      </c>
      <c r="P46" s="13">
        <f t="shared" si="11"/>
        <v>0.49472834573611041</v>
      </c>
      <c r="Q46" s="13">
        <f t="shared" si="16"/>
        <v>0.30575297129900636</v>
      </c>
      <c r="S46" s="109" t="s">
        <v>131</v>
      </c>
      <c r="T46" s="75">
        <v>0.82509999999999994</v>
      </c>
      <c r="U46" s="75">
        <v>0.1452</v>
      </c>
      <c r="V46" s="75">
        <v>0.28310000000000002</v>
      </c>
      <c r="W46" s="75">
        <v>0.70669999999999999</v>
      </c>
      <c r="X46" s="75">
        <v>0.51349999999999996</v>
      </c>
      <c r="Y46" s="75">
        <v>0.49469999999999997</v>
      </c>
      <c r="Z46" s="75">
        <v>0.30580000000000002</v>
      </c>
    </row>
    <row r="47" spans="1:26" x14ac:dyDescent="0.2">
      <c r="A47" s="102" t="s">
        <v>182</v>
      </c>
      <c r="B47" s="13">
        <f t="shared" ref="B47:F47" si="23">B13/C13-1</f>
        <v>0.53012494215640915</v>
      </c>
      <c r="C47" s="13">
        <f t="shared" si="23"/>
        <v>0.6457656376929326</v>
      </c>
      <c r="D47" s="13">
        <f t="shared" si="23"/>
        <v>0.23571114875462706</v>
      </c>
      <c r="E47" s="13">
        <f t="shared" si="23"/>
        <v>0.16462078035949146</v>
      </c>
      <c r="F47" s="13">
        <f t="shared" si="23"/>
        <v>1.0353955978584177</v>
      </c>
      <c r="G47" s="13">
        <f t="shared" si="10"/>
        <v>0.5223236213643756</v>
      </c>
      <c r="H47" s="13">
        <f t="shared" si="8"/>
        <v>0.29371697604236968</v>
      </c>
      <c r="J47" s="102" t="s">
        <v>182</v>
      </c>
      <c r="K47" s="13">
        <f t="shared" ref="K47:O47" si="24">K13/L13-1</f>
        <v>0.53012494215640915</v>
      </c>
      <c r="L47" s="13">
        <f t="shared" si="24"/>
        <v>0.6457656376929326</v>
      </c>
      <c r="M47" s="13">
        <f t="shared" si="24"/>
        <v>0.23571114875462706</v>
      </c>
      <c r="N47" s="13">
        <f t="shared" si="24"/>
        <v>0.16462078035949146</v>
      </c>
      <c r="O47" s="13">
        <f t="shared" si="24"/>
        <v>1.0353955978584177</v>
      </c>
      <c r="P47" s="13">
        <f t="shared" si="11"/>
        <v>0.5223236213643756</v>
      </c>
      <c r="Q47" s="13">
        <f t="shared" si="16"/>
        <v>0.29371697604236968</v>
      </c>
      <c r="S47" s="102" t="s">
        <v>182</v>
      </c>
      <c r="T47" s="75">
        <v>1.0354000000000001</v>
      </c>
      <c r="U47" s="75">
        <v>0.1646</v>
      </c>
      <c r="V47" s="75">
        <v>0.23569999999999999</v>
      </c>
      <c r="W47" s="75">
        <v>0.64580000000000004</v>
      </c>
      <c r="X47" s="75">
        <v>0.53010000000000002</v>
      </c>
      <c r="Y47" s="75">
        <v>0.52229999999999999</v>
      </c>
      <c r="Z47" s="75">
        <v>0.29370000000000002</v>
      </c>
    </row>
    <row r="48" spans="1:26" x14ac:dyDescent="0.2">
      <c r="A48" s="102" t="s">
        <v>185</v>
      </c>
      <c r="B48" s="13">
        <f t="shared" ref="B48:F48" si="25">B14/C14-1</f>
        <v>0.54294478527607359</v>
      </c>
      <c r="C48" s="13">
        <f t="shared" si="25"/>
        <v>0.73712255772646529</v>
      </c>
      <c r="D48" s="13">
        <f t="shared" si="25"/>
        <v>0.22657952069716769</v>
      </c>
      <c r="E48" s="13">
        <f t="shared" si="25"/>
        <v>-5.942622950819676E-2</v>
      </c>
      <c r="F48" s="13">
        <f t="shared" si="25"/>
        <v>-0.31073446327683618</v>
      </c>
      <c r="G48" s="13">
        <f t="shared" si="10"/>
        <v>0.22729723418293474</v>
      </c>
      <c r="H48" s="13">
        <f t="shared" si="8"/>
        <v>0.25329666365416892</v>
      </c>
      <c r="J48" s="102" t="s">
        <v>185</v>
      </c>
      <c r="K48" s="13">
        <f t="shared" ref="K48:O48" si="26">K14/L14-1</f>
        <v>0.54294478527607359</v>
      </c>
      <c r="L48" s="13">
        <f t="shared" si="26"/>
        <v>0.73712255772646529</v>
      </c>
      <c r="M48" s="13">
        <f t="shared" si="26"/>
        <v>0.22657952069716769</v>
      </c>
      <c r="N48" s="13">
        <f t="shared" si="26"/>
        <v>-5.942622950819676E-2</v>
      </c>
      <c r="O48" s="13">
        <f t="shared" si="26"/>
        <v>-0.31073446327683618</v>
      </c>
      <c r="P48" s="13">
        <f t="shared" si="11"/>
        <v>0.22729723418293474</v>
      </c>
      <c r="Q48" s="13">
        <f t="shared" si="16"/>
        <v>0.25329666365416892</v>
      </c>
      <c r="S48" s="102" t="s">
        <v>185</v>
      </c>
      <c r="T48" s="75">
        <v>-0.31069999999999998</v>
      </c>
      <c r="U48" s="75">
        <v>-5.9400000000000001E-2</v>
      </c>
      <c r="V48" s="75">
        <v>0.2266</v>
      </c>
      <c r="W48" s="75">
        <v>0.73709999999999998</v>
      </c>
      <c r="X48" s="75">
        <v>0.54290000000000005</v>
      </c>
      <c r="Y48" s="75">
        <v>0.2273</v>
      </c>
      <c r="Z48" s="75">
        <v>0.25330000000000003</v>
      </c>
    </row>
    <row r="49" spans="1:26" ht="32" x14ac:dyDescent="0.2">
      <c r="A49" s="110" t="s">
        <v>189</v>
      </c>
      <c r="B49" s="13">
        <f t="shared" ref="B49:F49" si="27">B15/C15-1</f>
        <v>0.53050040427634526</v>
      </c>
      <c r="C49" s="13">
        <f t="shared" si="27"/>
        <v>0.64830445727824682</v>
      </c>
      <c r="D49" s="13">
        <f t="shared" si="27"/>
        <v>0.23545554335894625</v>
      </c>
      <c r="E49" s="13">
        <f t="shared" si="27"/>
        <v>0.15690701284041197</v>
      </c>
      <c r="F49" s="13">
        <f t="shared" si="27"/>
        <v>0.90690165478272577</v>
      </c>
      <c r="G49" s="13">
        <f t="shared" si="10"/>
        <v>0.49561381450733516</v>
      </c>
      <c r="H49" s="13">
        <f t="shared" si="8"/>
        <v>0.2924069700612304</v>
      </c>
      <c r="J49" s="110" t="s">
        <v>189</v>
      </c>
      <c r="K49" s="13">
        <f>K15/L15-1</f>
        <v>0.53050040427634526</v>
      </c>
      <c r="L49" s="13">
        <f t="shared" ref="L49:O49" si="28">L15/M15-1</f>
        <v>0.64830445727824682</v>
      </c>
      <c r="M49" s="13">
        <f t="shared" si="28"/>
        <v>0.23545554335894625</v>
      </c>
      <c r="N49" s="13">
        <f t="shared" si="28"/>
        <v>0.15690701284041197</v>
      </c>
      <c r="O49" s="13">
        <f t="shared" si="28"/>
        <v>0.90690165478272577</v>
      </c>
      <c r="P49" s="13">
        <f t="shared" si="11"/>
        <v>0.49561381450733516</v>
      </c>
      <c r="Q49" s="13">
        <f t="shared" si="16"/>
        <v>0.2924069700612304</v>
      </c>
      <c r="S49" s="110" t="s">
        <v>189</v>
      </c>
      <c r="T49" s="75">
        <v>0.90690000000000004</v>
      </c>
      <c r="U49" s="75">
        <v>0.15690000000000001</v>
      </c>
      <c r="V49" s="75">
        <v>0.23549999999999999</v>
      </c>
      <c r="W49" s="75">
        <v>0.64829999999999999</v>
      </c>
      <c r="X49" s="75">
        <v>0.53049999999999997</v>
      </c>
      <c r="Y49" s="75">
        <v>0.49559999999999998</v>
      </c>
      <c r="Z49" s="75">
        <v>0.29239999999999999</v>
      </c>
    </row>
    <row r="50" spans="1:26" x14ac:dyDescent="0.2">
      <c r="A50" s="108" t="s">
        <v>187</v>
      </c>
      <c r="B50" s="13">
        <f t="shared" ref="B50:F50" si="29">B16/C16-1</f>
        <v>0.24091843728581219</v>
      </c>
      <c r="C50" s="13">
        <f t="shared" si="29"/>
        <v>0.47672064777327927</v>
      </c>
      <c r="D50" s="13">
        <f t="shared" si="29"/>
        <v>0.47352721849366142</v>
      </c>
      <c r="E50" s="13">
        <f t="shared" si="29"/>
        <v>-1.7582417582417631E-2</v>
      </c>
      <c r="F50" s="13">
        <f t="shared" si="29"/>
        <v>0.56000000000000005</v>
      </c>
      <c r="G50" s="13">
        <f t="shared" si="10"/>
        <v>0.34671677719406702</v>
      </c>
      <c r="H50" s="13">
        <f t="shared" si="8"/>
        <v>0.21545581209720299</v>
      </c>
      <c r="J50" s="108" t="s">
        <v>187</v>
      </c>
      <c r="K50" s="13">
        <f t="shared" ref="K50:O50" si="30">K16/L16-1</f>
        <v>0.24091843728581219</v>
      </c>
      <c r="L50" s="13">
        <f t="shared" si="30"/>
        <v>0.47672064777327927</v>
      </c>
      <c r="M50" s="13">
        <f t="shared" si="30"/>
        <v>0.47352721849366142</v>
      </c>
      <c r="N50" s="13">
        <f t="shared" si="30"/>
        <v>-1.7582417582417631E-2</v>
      </c>
      <c r="O50" s="13">
        <f t="shared" si="30"/>
        <v>0.56000000000000005</v>
      </c>
      <c r="P50" s="13">
        <f t="shared" si="11"/>
        <v>0.34671677719406702</v>
      </c>
      <c r="Q50" s="13">
        <f t="shared" si="16"/>
        <v>0.21545581209720299</v>
      </c>
      <c r="S50" s="108" t="s">
        <v>187</v>
      </c>
      <c r="T50" s="75">
        <v>0.56000000000000005</v>
      </c>
      <c r="U50" s="75">
        <v>-1.7600000000000001E-2</v>
      </c>
      <c r="V50" s="75">
        <v>0.47349999999999998</v>
      </c>
      <c r="W50" s="75">
        <v>0.47670000000000001</v>
      </c>
      <c r="X50" s="75">
        <v>0.2409</v>
      </c>
      <c r="Y50" s="75">
        <v>0.34670000000000001</v>
      </c>
      <c r="Z50" s="75">
        <v>0.2155</v>
      </c>
    </row>
    <row r="51" spans="1:26" x14ac:dyDescent="0.2">
      <c r="A51" s="108" t="s">
        <v>188</v>
      </c>
      <c r="B51" s="13">
        <f t="shared" ref="B51:F51" si="31">B17/C17-1</f>
        <v>0.5053763440860215</v>
      </c>
      <c r="C51" s="13">
        <f t="shared" si="31"/>
        <v>0.46237364283040061</v>
      </c>
      <c r="D51" s="13">
        <f t="shared" si="31"/>
        <v>-3.5740072202166018E-2</v>
      </c>
      <c r="E51" s="13">
        <f t="shared" si="31"/>
        <v>0.47340425531914887</v>
      </c>
      <c r="F51" s="13">
        <f t="shared" si="31"/>
        <v>0.52969894222945491</v>
      </c>
      <c r="G51" s="13">
        <f t="shared" si="10"/>
        <v>0.38702262245257202</v>
      </c>
      <c r="H51" s="13">
        <f t="shared" si="8"/>
        <v>0.25615692058522632</v>
      </c>
      <c r="J51" s="108" t="s">
        <v>188</v>
      </c>
      <c r="K51" s="13">
        <f t="shared" ref="K51:O51" si="32">K17/L17-1</f>
        <v>0.5053763440860215</v>
      </c>
      <c r="L51" s="13">
        <f t="shared" si="32"/>
        <v>0.46237364283040061</v>
      </c>
      <c r="M51" s="13">
        <f t="shared" si="32"/>
        <v>-3.5740072202166018E-2</v>
      </c>
      <c r="N51" s="13">
        <f t="shared" si="32"/>
        <v>0.47340425531914887</v>
      </c>
      <c r="O51" s="13">
        <f t="shared" si="32"/>
        <v>0.52969894222945491</v>
      </c>
      <c r="P51" s="13">
        <f t="shared" si="11"/>
        <v>0.38702262245257202</v>
      </c>
      <c r="Q51" s="13">
        <f t="shared" si="16"/>
        <v>0.25615692058522632</v>
      </c>
      <c r="S51" s="108" t="s">
        <v>188</v>
      </c>
      <c r="T51" s="75">
        <v>0.52969999999999995</v>
      </c>
      <c r="U51" s="75">
        <v>0.47339999999999999</v>
      </c>
      <c r="V51" s="75">
        <v>-3.5700000000000003E-2</v>
      </c>
      <c r="W51" s="75">
        <v>0.46239999999999998</v>
      </c>
      <c r="X51" s="75">
        <v>0.50539999999999996</v>
      </c>
      <c r="Y51" s="75">
        <v>0.38700000000000001</v>
      </c>
      <c r="Z51" s="75">
        <v>0.25619999999999998</v>
      </c>
    </row>
    <row r="52" spans="1:26" x14ac:dyDescent="0.2">
      <c r="A52" s="105" t="s">
        <v>190</v>
      </c>
      <c r="B52" s="13">
        <f t="shared" ref="B52:F52" si="33">B18/C18-1</f>
        <v>0.50704925777656218</v>
      </c>
      <c r="C52" s="13">
        <f t="shared" si="33"/>
        <v>0.61475146551031878</v>
      </c>
      <c r="D52" s="13">
        <f t="shared" si="33"/>
        <v>0.21439368082305332</v>
      </c>
      <c r="E52" s="13">
        <f t="shared" si="33"/>
        <v>0.1773925024398646</v>
      </c>
      <c r="F52" s="13">
        <f t="shared" si="33"/>
        <v>0.82665687919463093</v>
      </c>
      <c r="G52" s="13">
        <f t="shared" si="10"/>
        <v>0.46804875714888594</v>
      </c>
      <c r="H52" s="13">
        <f t="shared" si="8"/>
        <v>0.28322490503733255</v>
      </c>
      <c r="J52" s="87" t="s">
        <v>177</v>
      </c>
      <c r="K52" s="129">
        <f t="shared" ref="K52:O52" si="34">K18/L18-1</f>
        <v>0.27056110684089152</v>
      </c>
      <c r="L52" s="129">
        <f t="shared" si="34"/>
        <v>0.13426329555361805</v>
      </c>
      <c r="M52" s="129">
        <f t="shared" si="34"/>
        <v>0.18125643666323388</v>
      </c>
      <c r="N52" s="129">
        <f t="shared" si="34"/>
        <v>0.33931034482758626</v>
      </c>
      <c r="O52" s="129">
        <f t="shared" si="34"/>
        <v>0.43564356435643559</v>
      </c>
      <c r="P52" s="129">
        <f t="shared" si="11"/>
        <v>0.27220694964835307</v>
      </c>
      <c r="Q52" s="129">
        <f t="shared" si="16"/>
        <v>0.17919863936946778</v>
      </c>
      <c r="S52" s="130" t="s">
        <v>177</v>
      </c>
      <c r="T52" s="132">
        <v>0.43559999999999999</v>
      </c>
      <c r="U52" s="132">
        <v>0.33929999999999999</v>
      </c>
      <c r="V52" s="132">
        <v>0.18129999999999999</v>
      </c>
      <c r="W52" s="132">
        <v>0.1343</v>
      </c>
      <c r="X52" s="132">
        <v>0.27060000000000001</v>
      </c>
      <c r="Y52" s="132">
        <v>0.2722</v>
      </c>
      <c r="Z52" s="132">
        <v>0.1792</v>
      </c>
    </row>
    <row r="53" spans="1:26" x14ac:dyDescent="0.2">
      <c r="A53" s="109" t="s">
        <v>191</v>
      </c>
      <c r="B53" s="13">
        <f t="shared" ref="B53:F53" si="35">B19/C19-1</f>
        <v>0.53263266206085547</v>
      </c>
      <c r="C53" s="13">
        <f t="shared" si="35"/>
        <v>1.0521870286576167</v>
      </c>
      <c r="D53" s="13">
        <f t="shared" si="35"/>
        <v>0.62939297124600646</v>
      </c>
      <c r="E53" s="13">
        <f t="shared" si="35"/>
        <v>6.6798614547254331E-3</v>
      </c>
      <c r="F53" s="13">
        <f t="shared" si="35"/>
        <v>0.81908190819081916</v>
      </c>
      <c r="G53" s="13">
        <f t="shared" si="10"/>
        <v>0.6079948863220046</v>
      </c>
      <c r="H53" s="13">
        <f t="shared" si="8"/>
        <v>0.38839949428304466</v>
      </c>
      <c r="J53" s="105" t="s">
        <v>190</v>
      </c>
      <c r="K53" s="13">
        <f t="shared" ref="K53:O53" si="36">K19/L19-1</f>
        <v>0.49963871092056467</v>
      </c>
      <c r="L53" s="13">
        <f t="shared" si="36"/>
        <v>0.59359766629562816</v>
      </c>
      <c r="M53" s="13">
        <f t="shared" si="36"/>
        <v>0.21289571694599618</v>
      </c>
      <c r="N53" s="13">
        <f t="shared" si="36"/>
        <v>0.18386243386243395</v>
      </c>
      <c r="O53" s="13">
        <f t="shared" si="36"/>
        <v>0.80681139215295761</v>
      </c>
      <c r="P53" s="13">
        <f t="shared" si="11"/>
        <v>0.45936118403551607</v>
      </c>
      <c r="Q53" s="13">
        <f t="shared" si="16"/>
        <v>0.27967005101916542</v>
      </c>
      <c r="S53" s="105" t="s">
        <v>190</v>
      </c>
      <c r="T53" s="75">
        <v>0.80679999999999996</v>
      </c>
      <c r="U53" s="75">
        <v>0.18390000000000001</v>
      </c>
      <c r="V53" s="75">
        <v>0.21290000000000001</v>
      </c>
      <c r="W53" s="75">
        <v>0.59360000000000002</v>
      </c>
      <c r="X53" s="75">
        <v>0.49959999999999999</v>
      </c>
      <c r="Y53" s="75">
        <v>0.45939999999999998</v>
      </c>
      <c r="Z53" s="75">
        <v>0.2797</v>
      </c>
    </row>
    <row r="54" spans="1:26" x14ac:dyDescent="0.2">
      <c r="A54" s="108" t="s">
        <v>192</v>
      </c>
      <c r="B54" s="13">
        <f t="shared" ref="B54:F54" si="37">B20/C20-1</f>
        <v>0.18588507520246811</v>
      </c>
      <c r="C54" s="13">
        <f t="shared" si="37"/>
        <v>0.73910127431254202</v>
      </c>
      <c r="D54" s="13">
        <f t="shared" si="37"/>
        <v>0.11020104244229345</v>
      </c>
      <c r="E54" s="13">
        <f t="shared" si="37"/>
        <v>-8.0136986301369895E-2</v>
      </c>
      <c r="F54" s="13">
        <f t="shared" si="37"/>
        <v>5.9506531204644331E-2</v>
      </c>
      <c r="G54" s="13">
        <f t="shared" si="10"/>
        <v>0.20291138737211561</v>
      </c>
      <c r="H54" s="13">
        <f t="shared" si="8"/>
        <v>0.16064245591132154</v>
      </c>
      <c r="J54" s="109" t="s">
        <v>191</v>
      </c>
      <c r="K54" s="13">
        <f t="shared" ref="K54:O54" si="38">K20/L20-1</f>
        <v>0.56034132466477038</v>
      </c>
      <c r="L54" s="13">
        <f t="shared" si="38"/>
        <v>1.2442093744300564</v>
      </c>
      <c r="M54" s="13">
        <f t="shared" si="38"/>
        <v>0.76985151710781152</v>
      </c>
      <c r="N54" s="13">
        <f t="shared" si="38"/>
        <v>-6.6023515224600593E-2</v>
      </c>
      <c r="O54" s="13">
        <f t="shared" si="38"/>
        <v>0.93185789167152011</v>
      </c>
      <c r="P54" s="13">
        <f t="shared" si="11"/>
        <v>0.68804731852991152</v>
      </c>
      <c r="Q54" s="13">
        <f t="shared" si="16"/>
        <v>0.42072869263025359</v>
      </c>
      <c r="S54" s="109" t="s">
        <v>191</v>
      </c>
      <c r="T54" s="75">
        <v>0.93189999999999995</v>
      </c>
      <c r="U54" s="75">
        <v>-6.6000000000000003E-2</v>
      </c>
      <c r="V54" s="75">
        <v>0.76990000000000003</v>
      </c>
      <c r="W54" s="75">
        <v>1.2442</v>
      </c>
      <c r="X54" s="75">
        <v>0.56030000000000002</v>
      </c>
      <c r="Y54" s="75">
        <v>0.68799999999999994</v>
      </c>
      <c r="Z54" s="75">
        <v>0.42070000000000002</v>
      </c>
    </row>
    <row r="55" spans="1:26" x14ac:dyDescent="0.2">
      <c r="A55" s="108" t="s">
        <v>193</v>
      </c>
      <c r="B55" s="13">
        <f t="shared" ref="B55:F55" si="39">B21/C21-1</f>
        <v>-0.12641133495682977</v>
      </c>
      <c r="C55" s="13">
        <f t="shared" si="39"/>
        <v>0.43624801271860103</v>
      </c>
      <c r="D55" s="13">
        <f t="shared" si="39"/>
        <v>0.18858654572940292</v>
      </c>
      <c r="E55" s="13">
        <f t="shared" si="39"/>
        <v>-6.6337332392378268E-2</v>
      </c>
      <c r="F55" s="13">
        <f t="shared" si="39"/>
        <v>0.14458804523424873</v>
      </c>
      <c r="G55" s="13">
        <f t="shared" si="10"/>
        <v>0.11533478726660892</v>
      </c>
      <c r="H55" s="13">
        <f t="shared" si="8"/>
        <v>6.844321873610304E-2</v>
      </c>
      <c r="J55" s="108" t="s">
        <v>192</v>
      </c>
      <c r="K55" s="13">
        <f t="shared" ref="K55:O55" si="40">K21/L21-1</f>
        <v>0.18588507520246811</v>
      </c>
      <c r="L55" s="13">
        <f t="shared" si="40"/>
        <v>0.73910127431254202</v>
      </c>
      <c r="M55" s="13">
        <f t="shared" si="40"/>
        <v>0.11020104244229345</v>
      </c>
      <c r="N55" s="13">
        <f t="shared" si="40"/>
        <v>-8.0136986301369895E-2</v>
      </c>
      <c r="O55" s="13">
        <f t="shared" si="40"/>
        <v>5.9506531204644331E-2</v>
      </c>
      <c r="P55" s="13">
        <f t="shared" si="11"/>
        <v>0.20291138737211561</v>
      </c>
      <c r="Q55" s="13">
        <f t="shared" si="16"/>
        <v>0.16064245591132154</v>
      </c>
      <c r="S55" s="108" t="s">
        <v>192</v>
      </c>
      <c r="T55" s="75">
        <v>5.9499999999999997E-2</v>
      </c>
      <c r="U55" s="75">
        <v>-8.0100000000000005E-2</v>
      </c>
      <c r="V55" s="75">
        <v>0.11020000000000001</v>
      </c>
      <c r="W55" s="75">
        <v>0.73909999999999998</v>
      </c>
      <c r="X55" s="75">
        <v>0.18590000000000001</v>
      </c>
      <c r="Y55" s="75">
        <v>0.2029</v>
      </c>
      <c r="Z55" s="75">
        <v>0.16059999999999999</v>
      </c>
    </row>
    <row r="56" spans="1:26" x14ac:dyDescent="0.2">
      <c r="A56" s="108" t="s">
        <v>194</v>
      </c>
      <c r="B56" s="13">
        <f t="shared" ref="B56:F56" si="41">B22/C22-1</f>
        <v>-7.5185185185185182</v>
      </c>
      <c r="C56" s="13" t="e">
        <f t="shared" si="41"/>
        <v>#VALUE!</v>
      </c>
      <c r="D56" s="13" t="e">
        <f>D22/E22-1</f>
        <v>#VALUE!</v>
      </c>
      <c r="E56" s="13">
        <f t="shared" si="41"/>
        <v>0.10370370370370363</v>
      </c>
      <c r="F56" s="13" t="e">
        <f t="shared" si="41"/>
        <v>#DIV/0!</v>
      </c>
      <c r="G56" s="13" t="e">
        <f t="shared" si="10"/>
        <v>#VALUE!</v>
      </c>
      <c r="H56" s="13">
        <f t="shared" si="8"/>
        <v>5.4473766879449714E-2</v>
      </c>
      <c r="J56" s="89" t="s">
        <v>178</v>
      </c>
      <c r="K56" s="129">
        <f t="shared" ref="K56:O56" si="42">K22/L22-1</f>
        <v>0.18588507520246811</v>
      </c>
      <c r="L56" s="129">
        <f t="shared" si="42"/>
        <v>0.73910127431254202</v>
      </c>
      <c r="M56" s="129">
        <f t="shared" si="42"/>
        <v>0.11020104244229345</v>
      </c>
      <c r="N56" s="129">
        <f t="shared" si="42"/>
        <v>-8.0136986301369895E-2</v>
      </c>
      <c r="O56" s="129">
        <f t="shared" si="42"/>
        <v>5.9506531204644331E-2</v>
      </c>
      <c r="P56" s="129">
        <f t="shared" si="11"/>
        <v>0.20291138737211561</v>
      </c>
      <c r="Q56" s="129">
        <f t="shared" si="16"/>
        <v>0.16064245591132154</v>
      </c>
      <c r="S56" s="131" t="s">
        <v>178</v>
      </c>
      <c r="T56" s="132">
        <v>5.9499999999999997E-2</v>
      </c>
      <c r="U56" s="132">
        <v>-8.0100000000000005E-2</v>
      </c>
      <c r="V56" s="132">
        <v>0.11020000000000001</v>
      </c>
      <c r="W56" s="132">
        <v>0.73909999999999998</v>
      </c>
      <c r="X56" s="132">
        <v>0.18590000000000001</v>
      </c>
      <c r="Y56" s="132">
        <v>0.2029</v>
      </c>
      <c r="Z56" s="132">
        <v>0.16059999999999999</v>
      </c>
    </row>
    <row r="57" spans="1:26" ht="32" x14ac:dyDescent="0.2">
      <c r="A57" s="105" t="s">
        <v>195</v>
      </c>
      <c r="B57" s="13">
        <f t="shared" ref="B57:F57" si="43">B23/C23-1</f>
        <v>1.6094875052943713E-2</v>
      </c>
      <c r="C57" s="13">
        <f t="shared" si="43"/>
        <v>0.52782571182053495</v>
      </c>
      <c r="D57" s="13">
        <f t="shared" si="43"/>
        <v>0.12034799420009668</v>
      </c>
      <c r="E57" s="13">
        <f t="shared" si="43"/>
        <v>-6.5914221218961622E-2</v>
      </c>
      <c r="F57" s="13">
        <f t="shared" si="43"/>
        <v>0.14915693904020744</v>
      </c>
      <c r="G57" s="13">
        <f t="shared" si="10"/>
        <v>0.14950225977896422</v>
      </c>
      <c r="H57" s="13">
        <f t="shared" si="8"/>
        <v>0.10191870511195034</v>
      </c>
      <c r="J57" s="108" t="s">
        <v>193</v>
      </c>
      <c r="K57" s="13">
        <f t="shared" ref="K57:O57" si="44">K23/L23-1</f>
        <v>-0.12641133495682977</v>
      </c>
      <c r="L57" s="13">
        <f t="shared" si="44"/>
        <v>0.43624801271860103</v>
      </c>
      <c r="M57" s="13">
        <f t="shared" si="44"/>
        <v>0.18858654572940292</v>
      </c>
      <c r="N57" s="13">
        <f t="shared" si="44"/>
        <v>-6.6337332392378268E-2</v>
      </c>
      <c r="O57" s="13">
        <f t="shared" si="44"/>
        <v>0.14458804523424873</v>
      </c>
      <c r="P57" s="13">
        <f t="shared" si="11"/>
        <v>0.11533478726660892</v>
      </c>
      <c r="Q57" s="13">
        <f t="shared" si="16"/>
        <v>6.844321873610304E-2</v>
      </c>
      <c r="S57" s="108" t="s">
        <v>193</v>
      </c>
      <c r="T57" s="75">
        <v>0.14460000000000001</v>
      </c>
      <c r="U57" s="75">
        <v>-6.6299999999999998E-2</v>
      </c>
      <c r="V57" s="75">
        <v>0.18859999999999999</v>
      </c>
      <c r="W57" s="75">
        <v>0.43619999999999998</v>
      </c>
      <c r="X57" s="75">
        <v>-0.12640000000000001</v>
      </c>
      <c r="Y57" s="75">
        <v>0.1153</v>
      </c>
      <c r="Z57" s="75">
        <v>6.8400000000000002E-2</v>
      </c>
    </row>
    <row r="58" spans="1:26" x14ac:dyDescent="0.2">
      <c r="A58" s="109" t="s">
        <v>196</v>
      </c>
      <c r="B58" s="13">
        <f t="shared" ref="B58:F58" si="45">B24/C24-1</f>
        <v>1.0935152537176145</v>
      </c>
      <c r="C58" s="13">
        <f t="shared" si="45"/>
        <v>2.2713139418254764</v>
      </c>
      <c r="D58" s="13">
        <f t="shared" si="45"/>
        <v>-29.89855072463768</v>
      </c>
      <c r="E58" s="13">
        <f t="shared" si="45"/>
        <v>-0.82216494845360821</v>
      </c>
      <c r="F58" s="13">
        <f t="shared" si="45"/>
        <v>-0.76225490196078427</v>
      </c>
      <c r="G58" s="13">
        <f t="shared" si="10"/>
        <v>-5.6236282759017957</v>
      </c>
      <c r="H58" s="13">
        <f t="shared" si="8"/>
        <v>-3.0384419885666984</v>
      </c>
      <c r="J58" s="108" t="s">
        <v>194</v>
      </c>
      <c r="K58" s="13">
        <f t="shared" ref="K58:O58" si="46">K24/L24-1</f>
        <v>-7.5185185185185182</v>
      </c>
      <c r="L58" s="13" t="e">
        <f t="shared" si="46"/>
        <v>#VALUE!</v>
      </c>
      <c r="M58" s="13" t="e">
        <f t="shared" si="46"/>
        <v>#VALUE!</v>
      </c>
      <c r="N58" s="13">
        <f t="shared" si="46"/>
        <v>0.10370370370370363</v>
      </c>
      <c r="O58" s="13" t="e">
        <f t="shared" si="46"/>
        <v>#DIV/0!</v>
      </c>
      <c r="P58" s="13" t="e">
        <f t="shared" si="11"/>
        <v>#VALUE!</v>
      </c>
      <c r="Q58" s="13">
        <f t="shared" si="16"/>
        <v>5.4473766879449714E-2</v>
      </c>
      <c r="S58" s="108" t="s">
        <v>194</v>
      </c>
      <c r="T58" s="75" t="e">
        <v>#DIV/0!</v>
      </c>
      <c r="U58" s="75">
        <v>0.1037</v>
      </c>
      <c r="V58" s="75" t="e">
        <v>#VALUE!</v>
      </c>
      <c r="W58" s="75" t="e">
        <v>#VALUE!</v>
      </c>
      <c r="X58" s="75">
        <v>-7.5185000000000004</v>
      </c>
      <c r="Y58" s="75" t="e">
        <v>#VALUE!</v>
      </c>
      <c r="Z58" s="75">
        <v>5.45E-2</v>
      </c>
    </row>
    <row r="59" spans="1:26" x14ac:dyDescent="0.2">
      <c r="A59" s="108" t="s">
        <v>197</v>
      </c>
      <c r="B59" s="13">
        <f t="shared" ref="B59:F59" si="47">B25/C25-1</f>
        <v>4.3035714285714288</v>
      </c>
      <c r="C59" s="13">
        <f t="shared" si="47"/>
        <v>0.8666666666666667</v>
      </c>
      <c r="D59" s="13">
        <f t="shared" si="47"/>
        <v>-0.31818181818181823</v>
      </c>
      <c r="E59" s="13">
        <f t="shared" si="47"/>
        <v>0.76</v>
      </c>
      <c r="F59" s="13">
        <f t="shared" si="47"/>
        <v>0.25</v>
      </c>
      <c r="G59" s="13">
        <f t="shared" si="10"/>
        <v>1.1724112554112556</v>
      </c>
      <c r="H59" s="13">
        <f t="shared" si="8"/>
        <v>0.64045109638693543</v>
      </c>
      <c r="J59" s="105" t="s">
        <v>195</v>
      </c>
      <c r="K59" s="13">
        <f t="shared" ref="K59:O59" si="48">K25/L25-1</f>
        <v>-8.1959910913140366E-2</v>
      </c>
      <c r="L59" s="13">
        <f t="shared" si="48"/>
        <v>0.42766295707472168</v>
      </c>
      <c r="M59" s="13">
        <f t="shared" si="48"/>
        <v>0.12522361359570655</v>
      </c>
      <c r="N59" s="13">
        <f t="shared" si="48"/>
        <v>-5.860559110811725E-2</v>
      </c>
      <c r="O59" s="13">
        <f t="shared" si="48"/>
        <v>-0.22983138780804147</v>
      </c>
      <c r="P59" s="13">
        <f t="shared" si="11"/>
        <v>3.6497936168225831E-2</v>
      </c>
      <c r="Q59" s="13">
        <f t="shared" si="16"/>
        <v>6.7823705693694558E-2</v>
      </c>
      <c r="S59" s="105" t="s">
        <v>195</v>
      </c>
      <c r="T59" s="75">
        <v>-0.2298</v>
      </c>
      <c r="U59" s="75">
        <v>-5.8599999999999999E-2</v>
      </c>
      <c r="V59" s="75">
        <v>0.12520000000000001</v>
      </c>
      <c r="W59" s="75">
        <v>0.42770000000000002</v>
      </c>
      <c r="X59" s="75">
        <v>-8.2000000000000003E-2</v>
      </c>
      <c r="Y59" s="75">
        <v>3.6499999999999998E-2</v>
      </c>
      <c r="Z59" s="75">
        <v>6.7799999999999999E-2</v>
      </c>
    </row>
    <row r="60" spans="1:26" x14ac:dyDescent="0.2">
      <c r="A60" s="108" t="s">
        <v>198</v>
      </c>
      <c r="B60" s="13">
        <f t="shared" ref="B60:F60" si="49">B26/C26-1</f>
        <v>-0.48517520215633425</v>
      </c>
      <c r="C60" s="13">
        <f t="shared" si="49"/>
        <v>-0.50401069518716579</v>
      </c>
      <c r="D60" s="13">
        <f t="shared" si="49"/>
        <v>9.1970802919707939E-2</v>
      </c>
      <c r="E60" s="13">
        <f t="shared" si="49"/>
        <v>3.3182503770739169E-2</v>
      </c>
      <c r="F60" s="13">
        <f t="shared" si="49"/>
        <v>0.40764331210191074</v>
      </c>
      <c r="G60" s="13">
        <f t="shared" si="10"/>
        <v>-9.1277855710228437E-2</v>
      </c>
      <c r="H60" s="13">
        <f t="shared" si="8"/>
        <v>-0.22034230830674306</v>
      </c>
      <c r="J60" s="109" t="s">
        <v>196</v>
      </c>
      <c r="K60" s="13">
        <f t="shared" ref="K60:O60" si="50">K26/L26-1</f>
        <v>0.92936660268714011</v>
      </c>
      <c r="L60" s="13">
        <f t="shared" si="50"/>
        <v>2.342600513259196</v>
      </c>
      <c r="M60" s="13">
        <f t="shared" si="50"/>
        <v>6.7161716171617165</v>
      </c>
      <c r="N60" s="13">
        <f t="shared" si="50"/>
        <v>-0.12931034482758619</v>
      </c>
      <c r="O60" s="13">
        <f t="shared" si="50"/>
        <v>-1.213235294117647</v>
      </c>
      <c r="P60" s="13">
        <f t="shared" si="11"/>
        <v>1.729118618832564</v>
      </c>
      <c r="Q60" s="13">
        <f t="shared" si="16"/>
        <v>1.1249704691291864</v>
      </c>
      <c r="S60" s="109" t="s">
        <v>196</v>
      </c>
      <c r="T60" s="75">
        <v>-1.2132000000000001</v>
      </c>
      <c r="U60" s="75">
        <v>-0.1293</v>
      </c>
      <c r="V60" s="75">
        <v>6.7161999999999997</v>
      </c>
      <c r="W60" s="75">
        <v>2.3426</v>
      </c>
      <c r="X60" s="75">
        <v>0.9294</v>
      </c>
      <c r="Y60" s="75">
        <v>1.7291000000000001</v>
      </c>
      <c r="Z60" s="75">
        <v>1.125</v>
      </c>
    </row>
    <row r="61" spans="1:26" x14ac:dyDescent="0.2">
      <c r="A61" s="108" t="s">
        <v>199</v>
      </c>
      <c r="B61" s="13">
        <f t="shared" ref="B61:F61" si="51">B27/C27-1</f>
        <v>-1.3185185185185184</v>
      </c>
      <c r="C61" s="13">
        <f t="shared" si="51"/>
        <v>-2.1065573770491803</v>
      </c>
      <c r="D61" s="13">
        <f t="shared" si="51"/>
        <v>-3.7111111111111112</v>
      </c>
      <c r="E61" s="13">
        <f t="shared" si="51"/>
        <v>1.0454545454545454</v>
      </c>
      <c r="F61" s="13">
        <f t="shared" si="51"/>
        <v>-1.1759999999999999</v>
      </c>
      <c r="G61" s="13">
        <f t="shared" si="10"/>
        <v>-1.4533464922448531</v>
      </c>
      <c r="H61" s="13">
        <f t="shared" si="8"/>
        <v>-2.1434288742094987</v>
      </c>
      <c r="J61" s="108" t="s">
        <v>197</v>
      </c>
      <c r="K61" s="13">
        <f t="shared" ref="K61:O61" si="52">K27/L27-1</f>
        <v>4.3035714285714288</v>
      </c>
      <c r="L61" s="13">
        <f t="shared" si="52"/>
        <v>0.8666666666666667</v>
      </c>
      <c r="M61" s="13">
        <f t="shared" si="52"/>
        <v>-0.31818181818181823</v>
      </c>
      <c r="N61" s="13">
        <f t="shared" si="52"/>
        <v>0.76</v>
      </c>
      <c r="O61" s="13">
        <f t="shared" si="52"/>
        <v>0.25</v>
      </c>
      <c r="P61" s="13">
        <f t="shared" si="11"/>
        <v>1.1724112554112556</v>
      </c>
      <c r="Q61" s="13">
        <f t="shared" si="16"/>
        <v>0.64045109638693543</v>
      </c>
      <c r="S61" s="108" t="s">
        <v>197</v>
      </c>
      <c r="T61" s="75">
        <v>0.25</v>
      </c>
      <c r="U61" s="75">
        <v>0.76</v>
      </c>
      <c r="V61" s="75">
        <v>-0.31819999999999998</v>
      </c>
      <c r="W61" s="75">
        <v>0.86670000000000003</v>
      </c>
      <c r="X61" s="75">
        <v>4.3036000000000003</v>
      </c>
      <c r="Y61" s="75">
        <v>1.1724000000000001</v>
      </c>
      <c r="Z61" s="75">
        <v>0.64049999999999996</v>
      </c>
    </row>
    <row r="62" spans="1:26" x14ac:dyDescent="0.2">
      <c r="A62" s="109" t="s">
        <v>200</v>
      </c>
      <c r="B62" s="13">
        <f t="shared" ref="B62:F62" si="53">B28/C28-1</f>
        <v>1.1628566924168373</v>
      </c>
      <c r="C62" s="13">
        <f t="shared" si="53"/>
        <v>4.4965337954939342</v>
      </c>
      <c r="D62" s="13">
        <f t="shared" si="53"/>
        <v>-2.7353383458646618</v>
      </c>
      <c r="E62" s="13">
        <f t="shared" si="53"/>
        <v>-0.3383084577114428</v>
      </c>
      <c r="F62" s="13">
        <f t="shared" si="53"/>
        <v>-0.54504300588501586</v>
      </c>
      <c r="G62" s="13">
        <f t="shared" si="10"/>
        <v>0.40814013568993024</v>
      </c>
      <c r="H62" s="13">
        <f t="shared" si="8"/>
        <v>-2.6866744991184479</v>
      </c>
      <c r="J62" s="108" t="s">
        <v>198</v>
      </c>
      <c r="K62" s="13">
        <f t="shared" ref="K62:O62" si="54">K28/L28-1</f>
        <v>-0.48517520215633425</v>
      </c>
      <c r="L62" s="13">
        <f t="shared" si="54"/>
        <v>-0.50401069518716579</v>
      </c>
      <c r="M62" s="13">
        <f t="shared" si="54"/>
        <v>9.1970802919707939E-2</v>
      </c>
      <c r="N62" s="13">
        <f t="shared" si="54"/>
        <v>3.3182503770739169E-2</v>
      </c>
      <c r="O62" s="13">
        <f t="shared" si="54"/>
        <v>0.40764331210191074</v>
      </c>
      <c r="P62" s="13">
        <f t="shared" si="11"/>
        <v>-9.1277855710228437E-2</v>
      </c>
      <c r="Q62" s="13">
        <f t="shared" si="16"/>
        <v>-0.22034230830674306</v>
      </c>
      <c r="S62" s="108" t="s">
        <v>198</v>
      </c>
      <c r="T62" s="75">
        <v>0.40760000000000002</v>
      </c>
      <c r="U62" s="75">
        <v>3.32E-2</v>
      </c>
      <c r="V62" s="75">
        <v>9.1999999999999998E-2</v>
      </c>
      <c r="W62" s="75">
        <v>-0.504</v>
      </c>
      <c r="X62" s="75">
        <v>-0.48520000000000002</v>
      </c>
      <c r="Y62" s="75">
        <v>-9.1300000000000006E-2</v>
      </c>
      <c r="Z62" s="75">
        <v>-0.2203</v>
      </c>
    </row>
    <row r="63" spans="1:26" x14ac:dyDescent="0.2">
      <c r="A63" s="108" t="s">
        <v>201</v>
      </c>
      <c r="B63" s="13">
        <f t="shared" ref="B63:F63" si="55">B29/C29-1</f>
        <v>0.61945636623748213</v>
      </c>
      <c r="C63" s="13">
        <f t="shared" si="55"/>
        <v>1.3938356164383561</v>
      </c>
      <c r="D63" s="13">
        <f t="shared" si="55"/>
        <v>1.6545454545454548</v>
      </c>
      <c r="E63" s="13">
        <f t="shared" si="55"/>
        <v>0.89655172413793105</v>
      </c>
      <c r="F63" s="13">
        <f t="shared" si="55"/>
        <v>-2.8125</v>
      </c>
      <c r="G63" s="13">
        <f t="shared" si="10"/>
        <v>0.35037783227184482</v>
      </c>
      <c r="H63" s="13">
        <f t="shared" si="8"/>
        <v>0.8116891636088619</v>
      </c>
      <c r="J63" s="108" t="s">
        <v>199</v>
      </c>
      <c r="K63" s="13">
        <f t="shared" ref="K63:O63" si="56">K29/L29-1</f>
        <v>-1.3185185185185184</v>
      </c>
      <c r="L63" s="13">
        <f t="shared" si="56"/>
        <v>-2.1065573770491803</v>
      </c>
      <c r="M63" s="13">
        <f t="shared" si="56"/>
        <v>-3.7111111111111112</v>
      </c>
      <c r="N63" s="13">
        <f t="shared" si="56"/>
        <v>1.0454545454545454</v>
      </c>
      <c r="O63" s="13">
        <f t="shared" si="56"/>
        <v>-1.1759999999999999</v>
      </c>
      <c r="P63" s="13">
        <f t="shared" si="11"/>
        <v>-1.4533464922448531</v>
      </c>
      <c r="Q63" s="13">
        <f t="shared" si="16"/>
        <v>-2.1434288742094987</v>
      </c>
      <c r="S63" s="108" t="s">
        <v>199</v>
      </c>
      <c r="T63" s="75">
        <v>-1.1759999999999999</v>
      </c>
      <c r="U63" s="75">
        <v>1.0455000000000001</v>
      </c>
      <c r="V63" s="75">
        <v>-3.7111000000000001</v>
      </c>
      <c r="W63" s="75">
        <v>-2.1065999999999998</v>
      </c>
      <c r="X63" s="75">
        <v>-1.3185</v>
      </c>
      <c r="Y63" s="75">
        <v>-1.4533</v>
      </c>
      <c r="Z63" s="75">
        <v>-2.1434000000000002</v>
      </c>
    </row>
    <row r="64" spans="1:26" ht="32" x14ac:dyDescent="0.2">
      <c r="A64" s="109" t="s">
        <v>202</v>
      </c>
      <c r="B64" s="13">
        <f t="shared" ref="B64:F64" si="57">B30/C30-1</f>
        <v>1.2301559177888022</v>
      </c>
      <c r="C64" s="13">
        <f t="shared" si="57"/>
        <v>5.5475638051044083</v>
      </c>
      <c r="D64" s="13">
        <f t="shared" si="57"/>
        <v>-2.1122580645161291</v>
      </c>
      <c r="E64" s="13">
        <f t="shared" si="57"/>
        <v>-0.27093132643461904</v>
      </c>
      <c r="F64" s="13">
        <f t="shared" si="57"/>
        <v>-0.52544642857142865</v>
      </c>
      <c r="G64" s="13">
        <f t="shared" si="10"/>
        <v>0.77381678067420678</v>
      </c>
      <c r="H64" s="13">
        <f t="shared" si="8"/>
        <v>-2.6393730582449235</v>
      </c>
      <c r="J64" s="109" t="s">
        <v>200</v>
      </c>
      <c r="K64" s="13">
        <f t="shared" ref="K64:O64" si="58">K30/L30-1</f>
        <v>0.98310412573673878</v>
      </c>
      <c r="L64" s="13">
        <f t="shared" si="58"/>
        <v>4.0967957276368487</v>
      </c>
      <c r="M64" s="13">
        <f t="shared" si="58"/>
        <v>-6.112627986348123</v>
      </c>
      <c r="N64" s="13">
        <f t="shared" si="58"/>
        <v>9.3283582089552342E-2</v>
      </c>
      <c r="O64" s="13">
        <f t="shared" si="58"/>
        <v>-1.1213218650973291</v>
      </c>
      <c r="P64" s="13">
        <f t="shared" si="11"/>
        <v>-0.41215328319646238</v>
      </c>
      <c r="Q64" s="13">
        <f t="shared" si="16"/>
        <v>-3.2408044231995747</v>
      </c>
      <c r="S64" s="109" t="s">
        <v>200</v>
      </c>
      <c r="T64" s="75">
        <v>-1.1213</v>
      </c>
      <c r="U64" s="75">
        <v>9.3299999999999994E-2</v>
      </c>
      <c r="V64" s="75">
        <v>-6.1125999999999996</v>
      </c>
      <c r="W64" s="75">
        <v>4.0968</v>
      </c>
      <c r="X64" s="75">
        <v>0.98309999999999997</v>
      </c>
      <c r="Y64" s="75">
        <v>-0.41220000000000001</v>
      </c>
      <c r="Z64" s="75">
        <v>-3.2408000000000001</v>
      </c>
    </row>
    <row r="65" spans="1:26" ht="32" x14ac:dyDescent="0.2">
      <c r="A65" s="108" t="s">
        <v>203</v>
      </c>
      <c r="B65" s="13">
        <f t="shared" ref="B65:F65" si="59">B31/C31-1</f>
        <v>-0.752</v>
      </c>
      <c r="C65" s="13">
        <f t="shared" si="59"/>
        <v>-0.11347517730496459</v>
      </c>
      <c r="D65" s="13">
        <f t="shared" si="59"/>
        <v>0.6206896551724137</v>
      </c>
      <c r="E65" s="13">
        <f t="shared" si="59"/>
        <v>-2.0116279069767442</v>
      </c>
      <c r="F65" s="13" t="e">
        <f t="shared" si="59"/>
        <v>#DIV/0!</v>
      </c>
      <c r="G65" s="13" t="e">
        <f t="shared" si="10"/>
        <v>#DIV/0!</v>
      </c>
      <c r="H65" s="13">
        <f t="shared" si="8"/>
        <v>-1.8154036450445434</v>
      </c>
      <c r="J65" s="108" t="s">
        <v>201</v>
      </c>
      <c r="K65" s="13">
        <f t="shared" ref="K65:O65" si="60">K31/L31-1</f>
        <v>0.61945636623748213</v>
      </c>
      <c r="L65" s="13">
        <f t="shared" si="60"/>
        <v>1.3938356164383561</v>
      </c>
      <c r="M65" s="13">
        <f t="shared" si="60"/>
        <v>1.6545454545454548</v>
      </c>
      <c r="N65" s="13">
        <f t="shared" si="60"/>
        <v>0.89655172413793105</v>
      </c>
      <c r="O65" s="13">
        <f t="shared" si="60"/>
        <v>-2.8125</v>
      </c>
      <c r="P65" s="13">
        <f t="shared" si="11"/>
        <v>0.35037783227184482</v>
      </c>
      <c r="Q65" s="13">
        <f t="shared" si="16"/>
        <v>0.8116891636088619</v>
      </c>
      <c r="S65" s="108" t="s">
        <v>201</v>
      </c>
      <c r="T65" s="75">
        <v>-2.8125</v>
      </c>
      <c r="U65" s="75">
        <v>0.89659999999999995</v>
      </c>
      <c r="V65" s="75">
        <v>1.6545000000000001</v>
      </c>
      <c r="W65" s="75">
        <v>1.3937999999999999</v>
      </c>
      <c r="X65" s="75">
        <v>0.61950000000000005</v>
      </c>
      <c r="Y65" s="75">
        <v>0.35039999999999999</v>
      </c>
      <c r="Z65" s="75">
        <v>0.81169999999999998</v>
      </c>
    </row>
    <row r="66" spans="1:26" x14ac:dyDescent="0.2">
      <c r="A66" s="111" t="s">
        <v>204</v>
      </c>
      <c r="B66" s="13">
        <f t="shared" ref="B66:F66" si="61">B32/C32-1</f>
        <v>1.2750498278673672</v>
      </c>
      <c r="C66" s="13">
        <f t="shared" si="61"/>
        <v>6.6546463245492369</v>
      </c>
      <c r="D66" s="13">
        <f t="shared" si="61"/>
        <v>-1.8364269141531322</v>
      </c>
      <c r="E66" s="13">
        <f t="shared" si="61"/>
        <v>-0.11680327868852458</v>
      </c>
      <c r="F66" s="13" t="e">
        <f t="shared" si="61"/>
        <v>#DIV/0!</v>
      </c>
      <c r="G66" s="13" t="e">
        <f t="shared" si="10"/>
        <v>#DIV/0!</v>
      </c>
      <c r="H66" s="13">
        <f t="shared" si="8"/>
        <v>-2.6667877419704888</v>
      </c>
      <c r="J66" s="109" t="s">
        <v>202</v>
      </c>
      <c r="K66" s="13">
        <f t="shared" ref="K66:O66" si="62">K32/L32-1</f>
        <v>1.0197520184544406</v>
      </c>
      <c r="L66" s="13">
        <f t="shared" si="62"/>
        <v>4.7512437810945274</v>
      </c>
      <c r="M66" s="13">
        <f t="shared" si="62"/>
        <v>-3.9925558312655087</v>
      </c>
      <c r="N66" s="13">
        <f t="shared" si="62"/>
        <v>0.23619631901840488</v>
      </c>
      <c r="O66" s="13">
        <f t="shared" si="62"/>
        <v>-0.85446428571428568</v>
      </c>
      <c r="P66" s="13">
        <f t="shared" si="11"/>
        <v>0.23203440031751574</v>
      </c>
      <c r="Q66" s="13">
        <f t="shared" si="16"/>
        <v>-3.1214749450327641</v>
      </c>
      <c r="S66" s="109" t="s">
        <v>202</v>
      </c>
      <c r="T66" s="75">
        <v>-0.85450000000000004</v>
      </c>
      <c r="U66" s="75">
        <v>0.23619999999999999</v>
      </c>
      <c r="V66" s="75">
        <v>-3.9925999999999999</v>
      </c>
      <c r="W66" s="75">
        <v>4.7511999999999999</v>
      </c>
      <c r="X66" s="75">
        <v>1.0198</v>
      </c>
      <c r="Y66" s="75">
        <v>0.23200000000000001</v>
      </c>
      <c r="Z66" s="75">
        <v>-3.1215000000000002</v>
      </c>
    </row>
    <row r="67" spans="1:26" ht="64" x14ac:dyDescent="0.2">
      <c r="J67" s="108" t="s">
        <v>203</v>
      </c>
      <c r="K67" s="13">
        <f t="shared" ref="K67:O67" si="63">K33/L33-1</f>
        <v>-0.752</v>
      </c>
      <c r="L67" s="13">
        <f t="shared" si="63"/>
        <v>-0.11347517730496459</v>
      </c>
      <c r="M67" s="13">
        <f t="shared" si="63"/>
        <v>0.6206896551724137</v>
      </c>
      <c r="N67" s="13">
        <f t="shared" si="63"/>
        <v>-2.0116279069767442</v>
      </c>
      <c r="O67" s="13" t="e">
        <f t="shared" si="63"/>
        <v>#DIV/0!</v>
      </c>
      <c r="P67" s="13" t="e">
        <f t="shared" si="11"/>
        <v>#DIV/0!</v>
      </c>
      <c r="Q67" s="13">
        <f t="shared" si="16"/>
        <v>-1.8154036450445434</v>
      </c>
      <c r="S67" s="108" t="s">
        <v>203</v>
      </c>
      <c r="T67" s="75" t="e">
        <v>#DIV/0!</v>
      </c>
      <c r="U67" s="75">
        <v>-2.0116000000000001</v>
      </c>
      <c r="V67" s="75">
        <v>0.62070000000000003</v>
      </c>
      <c r="W67" s="75">
        <v>-0.1135</v>
      </c>
      <c r="X67" s="75">
        <v>-0.752</v>
      </c>
      <c r="Y67" s="75" t="e">
        <v>#DIV/0!</v>
      </c>
      <c r="Z67" s="75">
        <v>-1.8153999999999999</v>
      </c>
    </row>
    <row r="68" spans="1:26" ht="32" x14ac:dyDescent="0.2">
      <c r="J68" s="111" t="s">
        <v>204</v>
      </c>
      <c r="K68" s="13">
        <f t="shared" ref="K68:O68" si="64">K34/L34-1</f>
        <v>1.2750498278673672</v>
      </c>
      <c r="L68" s="13">
        <f t="shared" si="64"/>
        <v>6.6546463245492369</v>
      </c>
      <c r="M68" s="13">
        <f t="shared" si="64"/>
        <v>-1.8364269141531322</v>
      </c>
      <c r="N68" s="13">
        <f t="shared" si="64"/>
        <v>-0.11680327868852458</v>
      </c>
      <c r="O68" s="13" t="e">
        <f t="shared" si="64"/>
        <v>#DIV/0!</v>
      </c>
      <c r="P68" s="13" t="e">
        <f t="shared" si="11"/>
        <v>#DIV/0!</v>
      </c>
      <c r="Q68" s="13">
        <f t="shared" si="16"/>
        <v>-2.6667877419704888</v>
      </c>
      <c r="S68" s="111" t="s">
        <v>204</v>
      </c>
      <c r="T68" s="75" t="e">
        <v>#DIV/0!</v>
      </c>
      <c r="U68" s="75">
        <v>-0.1168</v>
      </c>
      <c r="V68" s="75">
        <v>-1.8364</v>
      </c>
      <c r="W68" s="75">
        <v>6.6546000000000003</v>
      </c>
      <c r="X68" s="75">
        <v>1.2749999999999999</v>
      </c>
      <c r="Y68" s="75" t="e">
        <v>#DIV/0!</v>
      </c>
      <c r="Z68" s="75">
        <v>-2.6667999999999998</v>
      </c>
    </row>
  </sheetData>
  <phoneticPr fontId="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26EE-E9B4-F94A-A258-F4E48BDD37FF}">
  <dimension ref="A1:O102"/>
  <sheetViews>
    <sheetView workbookViewId="0"/>
  </sheetViews>
  <sheetFormatPr baseColWidth="10" defaultRowHeight="16" x14ac:dyDescent="0.2"/>
  <cols>
    <col min="1" max="1" width="47.6640625" bestFit="1" customWidth="1"/>
    <col min="2" max="6" width="11.33203125" bestFit="1" customWidth="1"/>
    <col min="7" max="7" width="8.1640625" bestFit="1" customWidth="1"/>
    <col min="9" max="9" width="45.1640625" bestFit="1" customWidth="1"/>
    <col min="10" max="15" width="11.33203125" bestFit="1" customWidth="1"/>
    <col min="19" max="19" width="42.33203125" bestFit="1" customWidth="1"/>
    <col min="20" max="20" width="11.33203125" bestFit="1" customWidth="1"/>
  </cols>
  <sheetData>
    <row r="1" spans="1:15" x14ac:dyDescent="0.2">
      <c r="A1" s="110"/>
    </row>
    <row r="2" spans="1:15" ht="21" x14ac:dyDescent="0.25">
      <c r="A2" s="327" t="s">
        <v>527</v>
      </c>
      <c r="I2" s="327" t="s">
        <v>528</v>
      </c>
    </row>
    <row r="5" spans="1:15" x14ac:dyDescent="0.2">
      <c r="A5" s="364" t="s">
        <v>127</v>
      </c>
      <c r="B5" s="365">
        <v>2022</v>
      </c>
      <c r="C5" s="365">
        <v>2021</v>
      </c>
      <c r="D5" s="365">
        <v>2020</v>
      </c>
      <c r="E5" s="365">
        <v>2019</v>
      </c>
      <c r="F5" s="365">
        <v>2018</v>
      </c>
      <c r="G5" s="366">
        <v>2017</v>
      </c>
      <c r="I5" s="364" t="s">
        <v>127</v>
      </c>
      <c r="J5" s="365">
        <v>2022</v>
      </c>
      <c r="K5" s="365">
        <v>2021</v>
      </c>
      <c r="L5" s="365">
        <v>2020</v>
      </c>
      <c r="M5" s="365">
        <v>2019</v>
      </c>
      <c r="N5" s="365">
        <v>2018</v>
      </c>
      <c r="O5" s="366">
        <v>2017</v>
      </c>
    </row>
    <row r="6" spans="1:15" s="416" customFormat="1" x14ac:dyDescent="0.2">
      <c r="A6" s="426" t="s">
        <v>555</v>
      </c>
      <c r="B6" s="427"/>
      <c r="C6" s="427"/>
      <c r="D6" s="427"/>
      <c r="E6" s="427"/>
      <c r="F6" s="427"/>
      <c r="G6" s="425"/>
      <c r="I6" s="426" t="s">
        <v>555</v>
      </c>
      <c r="J6" s="427"/>
      <c r="K6" s="427"/>
      <c r="L6" s="427"/>
      <c r="M6" s="427"/>
      <c r="N6" s="427"/>
      <c r="O6" s="425"/>
    </row>
    <row r="7" spans="1:15" ht="17" x14ac:dyDescent="0.2">
      <c r="A7" s="107" t="s">
        <v>205</v>
      </c>
      <c r="B7" s="103">
        <v>16253</v>
      </c>
      <c r="C7" s="103">
        <v>17576</v>
      </c>
      <c r="D7" s="103">
        <v>19384</v>
      </c>
      <c r="E7" s="103">
        <v>6268</v>
      </c>
      <c r="F7" s="103">
        <v>3686</v>
      </c>
      <c r="I7" s="107" t="s">
        <v>205</v>
      </c>
      <c r="J7" s="103">
        <v>16253</v>
      </c>
      <c r="K7" s="103">
        <v>17576</v>
      </c>
      <c r="L7" s="103">
        <v>19384</v>
      </c>
      <c r="M7" s="103">
        <v>6268</v>
      </c>
      <c r="N7" s="103">
        <v>3686</v>
      </c>
      <c r="O7" s="367">
        <v>3368</v>
      </c>
    </row>
    <row r="8" spans="1:15" ht="17" x14ac:dyDescent="0.2">
      <c r="A8" s="107" t="s">
        <v>206</v>
      </c>
      <c r="B8" s="103">
        <v>5932</v>
      </c>
      <c r="C8" s="103">
        <v>131</v>
      </c>
      <c r="D8" s="103">
        <v>0</v>
      </c>
      <c r="E8" s="103">
        <v>0</v>
      </c>
      <c r="F8" s="103">
        <v>0</v>
      </c>
      <c r="I8" s="107" t="s">
        <v>206</v>
      </c>
      <c r="J8" s="103">
        <v>5932</v>
      </c>
      <c r="K8" s="103">
        <v>131</v>
      </c>
      <c r="L8" s="103">
        <v>0</v>
      </c>
      <c r="M8" s="103">
        <v>0</v>
      </c>
      <c r="N8" s="103">
        <v>0</v>
      </c>
      <c r="O8" s="367"/>
    </row>
    <row r="9" spans="1:15" ht="17" x14ac:dyDescent="0.2">
      <c r="A9" s="107" t="s">
        <v>207</v>
      </c>
      <c r="B9" s="103">
        <v>2952</v>
      </c>
      <c r="C9" s="103">
        <v>1913</v>
      </c>
      <c r="D9" s="103">
        <v>1886</v>
      </c>
      <c r="E9" s="103">
        <v>1324</v>
      </c>
      <c r="F9" s="103">
        <v>949</v>
      </c>
      <c r="I9" s="107" t="s">
        <v>207</v>
      </c>
      <c r="J9" s="103">
        <v>2952</v>
      </c>
      <c r="K9" s="103">
        <v>1913</v>
      </c>
      <c r="L9" s="103">
        <v>1886</v>
      </c>
      <c r="M9" s="103">
        <v>1324</v>
      </c>
      <c r="N9" s="103">
        <v>949</v>
      </c>
      <c r="O9" s="367">
        <v>515</v>
      </c>
    </row>
    <row r="10" spans="1:15" ht="17" x14ac:dyDescent="0.2">
      <c r="A10" s="107" t="s">
        <v>47</v>
      </c>
      <c r="B10" s="103">
        <v>12839</v>
      </c>
      <c r="C10" s="103">
        <v>5757</v>
      </c>
      <c r="D10" s="103">
        <v>4101</v>
      </c>
      <c r="E10" s="103">
        <v>3552</v>
      </c>
      <c r="F10" s="103">
        <v>3113</v>
      </c>
      <c r="G10" s="369"/>
      <c r="I10" s="107" t="s">
        <v>47</v>
      </c>
      <c r="J10" s="103">
        <v>12839</v>
      </c>
      <c r="K10" s="103">
        <v>5757</v>
      </c>
      <c r="L10" s="103">
        <v>4101</v>
      </c>
      <c r="M10" s="103">
        <v>3552</v>
      </c>
      <c r="N10" s="103">
        <v>3113</v>
      </c>
      <c r="O10" s="367">
        <v>2264</v>
      </c>
    </row>
    <row r="11" spans="1:15" ht="17" x14ac:dyDescent="0.2">
      <c r="A11" s="107" t="s">
        <v>48</v>
      </c>
      <c r="B11" s="103">
        <v>2941</v>
      </c>
      <c r="C11" s="103">
        <v>1723</v>
      </c>
      <c r="D11" s="103">
        <v>1346</v>
      </c>
      <c r="E11" s="103">
        <v>959</v>
      </c>
      <c r="F11" s="103">
        <v>558</v>
      </c>
      <c r="G11" s="369"/>
      <c r="I11" s="107" t="s">
        <v>48</v>
      </c>
      <c r="J11" s="103">
        <v>2941</v>
      </c>
      <c r="K11" s="103">
        <v>1723</v>
      </c>
      <c r="L11" s="103">
        <v>1346</v>
      </c>
      <c r="M11" s="103">
        <v>959</v>
      </c>
      <c r="N11" s="103">
        <v>558</v>
      </c>
      <c r="O11" s="367">
        <f>155.3+268.3</f>
        <v>423.6</v>
      </c>
    </row>
    <row r="12" spans="1:15" x14ac:dyDescent="0.2">
      <c r="A12" s="112" t="s">
        <v>208</v>
      </c>
      <c r="B12" s="113">
        <f>SUM(B7:B11)</f>
        <v>40917</v>
      </c>
      <c r="C12" s="113">
        <f t="shared" ref="C12:F12" si="0">SUM(C7:C11)</f>
        <v>27100</v>
      </c>
      <c r="D12" s="113">
        <f t="shared" si="0"/>
        <v>26717</v>
      </c>
      <c r="E12" s="113">
        <f t="shared" si="0"/>
        <v>12103</v>
      </c>
      <c r="F12" s="113">
        <f t="shared" si="0"/>
        <v>8306</v>
      </c>
      <c r="G12" s="369"/>
      <c r="I12" s="112" t="s">
        <v>208</v>
      </c>
      <c r="J12" s="113">
        <f>SUM(J7:J11)</f>
        <v>40917</v>
      </c>
      <c r="K12" s="113">
        <f t="shared" ref="K12:M12" si="1">SUM(K7:K11)</f>
        <v>27100</v>
      </c>
      <c r="L12" s="113">
        <f t="shared" si="1"/>
        <v>26717</v>
      </c>
      <c r="M12" s="113">
        <f t="shared" si="1"/>
        <v>12103</v>
      </c>
      <c r="N12" s="113">
        <f>SUM(N7:N11)</f>
        <v>8306</v>
      </c>
      <c r="O12" s="367">
        <f>SUM(O7:O11)</f>
        <v>6570.6</v>
      </c>
    </row>
    <row r="13" spans="1:15" ht="17" x14ac:dyDescent="0.2">
      <c r="A13" s="107" t="s">
        <v>209</v>
      </c>
      <c r="B13" s="103">
        <v>5035</v>
      </c>
      <c r="C13" s="103">
        <v>4511</v>
      </c>
      <c r="D13" s="103">
        <v>3091</v>
      </c>
      <c r="E13" s="103">
        <v>2447</v>
      </c>
      <c r="F13" s="103">
        <v>2090</v>
      </c>
      <c r="G13" s="369"/>
      <c r="I13" s="107" t="s">
        <v>209</v>
      </c>
      <c r="J13" s="103">
        <v>5035</v>
      </c>
      <c r="K13" s="103">
        <v>4511</v>
      </c>
      <c r="L13" s="103">
        <v>3091</v>
      </c>
      <c r="M13" s="103">
        <v>2447</v>
      </c>
      <c r="N13" s="103">
        <v>2090</v>
      </c>
      <c r="O13" s="367">
        <v>4117</v>
      </c>
    </row>
    <row r="14" spans="1:15" ht="17" x14ac:dyDescent="0.2">
      <c r="A14" s="107" t="s">
        <v>210</v>
      </c>
      <c r="B14" s="103">
        <v>5489</v>
      </c>
      <c r="C14" s="103">
        <v>5765</v>
      </c>
      <c r="D14" s="103">
        <v>5979</v>
      </c>
      <c r="E14" s="103">
        <v>6138</v>
      </c>
      <c r="F14" s="103">
        <v>6271</v>
      </c>
      <c r="G14" s="369"/>
      <c r="I14" s="107" t="s">
        <v>210</v>
      </c>
      <c r="J14" s="103">
        <v>5489</v>
      </c>
      <c r="K14" s="103">
        <v>5765</v>
      </c>
      <c r="L14" s="103">
        <v>5979</v>
      </c>
      <c r="M14" s="103">
        <v>6138</v>
      </c>
      <c r="N14" s="103">
        <v>6271</v>
      </c>
      <c r="O14" s="367">
        <v>6347</v>
      </c>
    </row>
    <row r="15" spans="1:15" ht="17" x14ac:dyDescent="0.2">
      <c r="A15" s="107" t="s">
        <v>211</v>
      </c>
      <c r="B15" s="103">
        <v>23548</v>
      </c>
      <c r="C15" s="103">
        <v>18884</v>
      </c>
      <c r="D15" s="103">
        <v>12747</v>
      </c>
      <c r="E15" s="103">
        <v>10396</v>
      </c>
      <c r="F15" s="103">
        <v>11330</v>
      </c>
      <c r="G15" s="370">
        <v>10028</v>
      </c>
      <c r="I15" s="107" t="s">
        <v>211</v>
      </c>
      <c r="J15" s="103">
        <v>23548</v>
      </c>
      <c r="K15" s="103">
        <v>18884</v>
      </c>
      <c r="L15" s="103">
        <v>12747</v>
      </c>
      <c r="M15" s="103">
        <v>10396</v>
      </c>
      <c r="N15" s="103">
        <v>11330</v>
      </c>
      <c r="O15" s="367">
        <v>10028</v>
      </c>
    </row>
    <row r="16" spans="1:15" ht="17" x14ac:dyDescent="0.2">
      <c r="A16" s="107" t="s">
        <v>212</v>
      </c>
      <c r="B16" s="103">
        <v>2563</v>
      </c>
      <c r="C16" s="103">
        <v>2016</v>
      </c>
      <c r="D16" s="103">
        <v>1558</v>
      </c>
      <c r="E16" s="103">
        <v>1218</v>
      </c>
      <c r="F16" s="103">
        <v>0</v>
      </c>
      <c r="G16" s="369"/>
      <c r="I16" s="107" t="s">
        <v>212</v>
      </c>
      <c r="J16" s="103">
        <v>2563</v>
      </c>
      <c r="K16" s="103">
        <v>2016</v>
      </c>
      <c r="L16" s="103">
        <v>1558</v>
      </c>
      <c r="M16" s="103">
        <v>1218</v>
      </c>
      <c r="N16" s="103">
        <v>0</v>
      </c>
      <c r="O16" s="367"/>
    </row>
    <row r="17" spans="1:15" ht="17" x14ac:dyDescent="0.2">
      <c r="A17" s="107" t="s">
        <v>213</v>
      </c>
      <c r="B17" s="103">
        <v>184</v>
      </c>
      <c r="C17" s="103">
        <v>1260</v>
      </c>
      <c r="D17" s="103">
        <v>0</v>
      </c>
      <c r="E17" s="103">
        <v>0</v>
      </c>
      <c r="F17" s="103">
        <v>0</v>
      </c>
      <c r="G17" s="369"/>
      <c r="I17" s="107" t="s">
        <v>213</v>
      </c>
      <c r="J17" s="103">
        <v>184</v>
      </c>
      <c r="K17" s="103">
        <v>1260</v>
      </c>
      <c r="L17" s="103">
        <v>0</v>
      </c>
      <c r="M17" s="103">
        <v>0</v>
      </c>
      <c r="N17" s="103">
        <v>0</v>
      </c>
      <c r="O17" s="367"/>
    </row>
    <row r="18" spans="1:15" ht="17" x14ac:dyDescent="0.2">
      <c r="A18" s="107" t="s">
        <v>214</v>
      </c>
      <c r="B18" s="103">
        <v>215</v>
      </c>
      <c r="C18" s="103">
        <v>257</v>
      </c>
      <c r="D18" s="103">
        <v>313</v>
      </c>
      <c r="E18" s="103">
        <v>339</v>
      </c>
      <c r="F18" s="103">
        <v>282</v>
      </c>
      <c r="G18" s="369"/>
      <c r="I18" s="107" t="s">
        <v>214</v>
      </c>
      <c r="J18" s="103">
        <v>215</v>
      </c>
      <c r="K18" s="103">
        <v>257</v>
      </c>
      <c r="L18" s="103">
        <v>313</v>
      </c>
      <c r="M18" s="103">
        <v>339</v>
      </c>
      <c r="N18" s="103">
        <v>282</v>
      </c>
      <c r="O18" s="367"/>
    </row>
    <row r="19" spans="1:15" ht="17" x14ac:dyDescent="0.2">
      <c r="A19" s="107" t="s">
        <v>215</v>
      </c>
      <c r="B19" s="103">
        <v>194</v>
      </c>
      <c r="C19" s="103">
        <v>200</v>
      </c>
      <c r="D19" s="103">
        <v>207</v>
      </c>
      <c r="E19" s="103">
        <v>198</v>
      </c>
      <c r="F19" s="103">
        <v>68</v>
      </c>
      <c r="G19" s="369"/>
      <c r="I19" s="87" t="s">
        <v>175</v>
      </c>
      <c r="J19" s="88">
        <f>'Aktivering av historisk F&amp;U'!H10</f>
        <v>6873.2</v>
      </c>
      <c r="K19" s="88">
        <f>'Aktivering av historisk F&amp;U'!I10</f>
        <v>5451.2000000000007</v>
      </c>
      <c r="L19" s="88">
        <f>'Aktivering av historisk F&amp;U'!J10</f>
        <v>4159.4000000000005</v>
      </c>
      <c r="M19" s="88">
        <f>'Aktivering av historisk F&amp;U'!K10</f>
        <v>3815</v>
      </c>
      <c r="N19" s="88">
        <f>'Aktivering av historisk F&amp;U'!L10</f>
        <v>3443</v>
      </c>
      <c r="O19" s="368">
        <f>'Aktivering av historisk F&amp;U'!M10</f>
        <v>2708.4</v>
      </c>
    </row>
    <row r="20" spans="1:15" ht="17" x14ac:dyDescent="0.2">
      <c r="A20" s="107" t="s">
        <v>216</v>
      </c>
      <c r="B20" s="103">
        <v>4193</v>
      </c>
      <c r="C20" s="103">
        <v>2138</v>
      </c>
      <c r="D20" s="103">
        <v>1536</v>
      </c>
      <c r="E20" s="103">
        <v>1470</v>
      </c>
      <c r="F20" s="103">
        <v>1391</v>
      </c>
      <c r="G20" s="369"/>
      <c r="I20" s="107" t="s">
        <v>215</v>
      </c>
      <c r="J20" s="103">
        <v>194</v>
      </c>
      <c r="K20" s="103">
        <v>200</v>
      </c>
      <c r="L20" s="103">
        <v>207</v>
      </c>
      <c r="M20" s="103">
        <v>198</v>
      </c>
      <c r="N20" s="103">
        <v>68</v>
      </c>
      <c r="O20" s="367"/>
    </row>
    <row r="21" spans="1:15" ht="17" x14ac:dyDescent="0.2">
      <c r="A21" s="112" t="s">
        <v>217</v>
      </c>
      <c r="B21" s="113">
        <f>SUM(B13:B20)</f>
        <v>41421</v>
      </c>
      <c r="C21" s="113">
        <f t="shared" ref="C21:E21" si="2">SUM(C13:C20)</f>
        <v>35031</v>
      </c>
      <c r="D21" s="113">
        <f t="shared" si="2"/>
        <v>25431</v>
      </c>
      <c r="E21" s="113">
        <f t="shared" si="2"/>
        <v>22206</v>
      </c>
      <c r="F21" s="113">
        <v>21433</v>
      </c>
      <c r="G21" s="371"/>
      <c r="I21" s="107" t="s">
        <v>216</v>
      </c>
      <c r="J21" s="103">
        <v>4193</v>
      </c>
      <c r="K21" s="103">
        <v>2138</v>
      </c>
      <c r="L21" s="103">
        <v>1536</v>
      </c>
      <c r="M21" s="103">
        <v>1470</v>
      </c>
      <c r="N21" s="103">
        <v>1391</v>
      </c>
      <c r="O21" s="367"/>
    </row>
    <row r="22" spans="1:15" x14ac:dyDescent="0.2">
      <c r="A22" s="114" t="s">
        <v>133</v>
      </c>
      <c r="B22" s="113">
        <f>B21+B12</f>
        <v>82338</v>
      </c>
      <c r="C22" s="113">
        <f t="shared" ref="C22:E22" si="3">C21+C12</f>
        <v>62131</v>
      </c>
      <c r="D22" s="113">
        <f t="shared" si="3"/>
        <v>52148</v>
      </c>
      <c r="E22" s="113">
        <f t="shared" si="3"/>
        <v>34309</v>
      </c>
      <c r="F22" s="113">
        <v>29740</v>
      </c>
      <c r="G22" s="371"/>
      <c r="I22" s="112" t="s">
        <v>217</v>
      </c>
      <c r="J22" s="113">
        <f>SUM(J13:J21)</f>
        <v>48294.2</v>
      </c>
      <c r="K22" s="113">
        <f t="shared" ref="K22:N22" si="4">SUM(K13:K21)</f>
        <v>40482.199999999997</v>
      </c>
      <c r="L22" s="113">
        <f t="shared" si="4"/>
        <v>29590.400000000001</v>
      </c>
      <c r="M22" s="113">
        <f t="shared" si="4"/>
        <v>26021</v>
      </c>
      <c r="N22" s="113">
        <f t="shared" si="4"/>
        <v>24875</v>
      </c>
      <c r="O22" s="367"/>
    </row>
    <row r="23" spans="1:15" x14ac:dyDescent="0.2">
      <c r="A23" s="114"/>
      <c r="B23" s="117"/>
      <c r="C23" s="117"/>
      <c r="D23" s="117"/>
      <c r="E23" s="117"/>
      <c r="F23" s="117"/>
      <c r="G23" s="369"/>
      <c r="I23" s="114" t="s">
        <v>133</v>
      </c>
      <c r="J23" s="113">
        <f>J22+J12</f>
        <v>89211.199999999997</v>
      </c>
      <c r="K23" s="113">
        <f t="shared" ref="K23:N23" si="5">K22+K12</f>
        <v>67582.2</v>
      </c>
      <c r="L23" s="113">
        <f t="shared" si="5"/>
        <v>56307.4</v>
      </c>
      <c r="M23" s="113">
        <f t="shared" si="5"/>
        <v>38124</v>
      </c>
      <c r="N23" s="113">
        <f t="shared" si="5"/>
        <v>33181</v>
      </c>
      <c r="O23" s="367">
        <f>28655+O19</f>
        <v>31363.4</v>
      </c>
    </row>
    <row r="24" spans="1:15" x14ac:dyDescent="0.2">
      <c r="I24" s="114"/>
      <c r="J24" s="117"/>
      <c r="K24" s="117"/>
      <c r="L24" s="117"/>
      <c r="M24" s="117"/>
      <c r="N24" s="117"/>
      <c r="O24" s="367"/>
    </row>
    <row r="25" spans="1:15" x14ac:dyDescent="0.2">
      <c r="A25" s="422" t="s">
        <v>280</v>
      </c>
      <c r="B25" s="423"/>
      <c r="C25" s="423"/>
      <c r="D25" s="423"/>
      <c r="E25" s="423"/>
      <c r="F25" s="423"/>
      <c r="G25" s="369"/>
      <c r="I25" s="422" t="s">
        <v>280</v>
      </c>
      <c r="J25" s="423"/>
      <c r="K25" s="423"/>
      <c r="L25" s="423"/>
      <c r="M25" s="423"/>
      <c r="N25" s="423"/>
      <c r="O25" s="424"/>
    </row>
    <row r="26" spans="1:15" ht="18" customHeight="1" x14ac:dyDescent="0.2">
      <c r="A26" s="362" t="s">
        <v>132</v>
      </c>
      <c r="B26" s="103">
        <v>15255</v>
      </c>
      <c r="C26" s="103">
        <v>10025</v>
      </c>
      <c r="D26" s="103">
        <v>6051</v>
      </c>
      <c r="E26" s="103">
        <v>3771</v>
      </c>
      <c r="F26" s="103">
        <v>3404</v>
      </c>
      <c r="G26" s="370">
        <v>2390</v>
      </c>
      <c r="I26" s="107" t="s">
        <v>132</v>
      </c>
      <c r="J26" s="103">
        <v>15255</v>
      </c>
      <c r="K26" s="103">
        <v>10025</v>
      </c>
      <c r="L26" s="103">
        <v>6051</v>
      </c>
      <c r="M26" s="103">
        <v>3771</v>
      </c>
      <c r="N26" s="103">
        <v>3404</v>
      </c>
      <c r="O26" s="367">
        <v>2390</v>
      </c>
    </row>
    <row r="27" spans="1:15" ht="17" x14ac:dyDescent="0.2">
      <c r="A27" s="107" t="s">
        <v>218</v>
      </c>
      <c r="B27">
        <v>7142</v>
      </c>
      <c r="C27">
        <v>5719</v>
      </c>
      <c r="D27">
        <v>3855</v>
      </c>
      <c r="E27">
        <v>3222</v>
      </c>
      <c r="F27">
        <v>2597</v>
      </c>
      <c r="G27" s="369"/>
      <c r="I27" s="107" t="s">
        <v>218</v>
      </c>
      <c r="J27">
        <v>7142</v>
      </c>
      <c r="K27">
        <v>5719</v>
      </c>
      <c r="L27">
        <v>3855</v>
      </c>
      <c r="M27">
        <v>3222</v>
      </c>
      <c r="N27">
        <v>2597</v>
      </c>
      <c r="O27" s="367"/>
    </row>
    <row r="28" spans="1:15" ht="17" x14ac:dyDescent="0.2">
      <c r="A28" s="362" t="s">
        <v>219</v>
      </c>
      <c r="B28" s="103">
        <v>1747</v>
      </c>
      <c r="C28" s="103">
        <v>1447</v>
      </c>
      <c r="D28" s="103">
        <v>1458</v>
      </c>
      <c r="E28" s="103">
        <v>1163</v>
      </c>
      <c r="F28" s="103">
        <v>630</v>
      </c>
      <c r="G28" s="369"/>
      <c r="I28" s="107" t="s">
        <v>219</v>
      </c>
      <c r="J28" s="103">
        <v>1747</v>
      </c>
      <c r="K28" s="103">
        <v>1447</v>
      </c>
      <c r="L28" s="103">
        <v>1458</v>
      </c>
      <c r="M28" s="103">
        <v>1163</v>
      </c>
      <c r="N28" s="103">
        <v>630</v>
      </c>
      <c r="O28" s="367"/>
    </row>
    <row r="29" spans="1:15" ht="17" x14ac:dyDescent="0.2">
      <c r="A29" s="362" t="s">
        <v>220</v>
      </c>
      <c r="B29" s="103">
        <v>1063</v>
      </c>
      <c r="C29" s="103">
        <v>925</v>
      </c>
      <c r="D29" s="103">
        <v>752</v>
      </c>
      <c r="E29" s="103">
        <v>726</v>
      </c>
      <c r="F29" s="103">
        <v>793</v>
      </c>
      <c r="G29" s="369"/>
      <c r="I29" s="107" t="s">
        <v>220</v>
      </c>
      <c r="J29" s="103">
        <v>1063</v>
      </c>
      <c r="K29" s="103">
        <v>925</v>
      </c>
      <c r="L29" s="103">
        <v>752</v>
      </c>
      <c r="M29" s="103">
        <v>726</v>
      </c>
      <c r="N29" s="103">
        <v>793</v>
      </c>
      <c r="O29" s="367"/>
    </row>
    <row r="30" spans="1:15" ht="17" x14ac:dyDescent="0.2">
      <c r="A30" s="362" t="s">
        <v>43</v>
      </c>
      <c r="B30" s="103">
        <v>1502</v>
      </c>
      <c r="C30" s="103">
        <v>1589</v>
      </c>
      <c r="D30" s="103">
        <v>2132</v>
      </c>
      <c r="E30" s="103">
        <v>1785</v>
      </c>
      <c r="F30" s="103">
        <v>2568</v>
      </c>
      <c r="G30" s="369"/>
      <c r="I30" s="107" t="s">
        <v>43</v>
      </c>
      <c r="J30" s="103">
        <v>1502</v>
      </c>
      <c r="K30" s="103">
        <v>1589</v>
      </c>
      <c r="L30" s="103">
        <v>2132</v>
      </c>
      <c r="M30" s="103">
        <v>1785</v>
      </c>
      <c r="N30" s="103">
        <v>2568</v>
      </c>
      <c r="O30" s="367">
        <v>897</v>
      </c>
    </row>
    <row r="31" spans="1:15" x14ac:dyDescent="0.2">
      <c r="A31" s="363" t="s">
        <v>221</v>
      </c>
      <c r="B31" s="113">
        <f>B26+B27+SUM(B28:B30)</f>
        <v>26709</v>
      </c>
      <c r="C31" s="113">
        <f>C26+C27+SUM(C28:C30)</f>
        <v>19705</v>
      </c>
      <c r="D31" s="113">
        <f>D26+D27+SUM(D28:D30)</f>
        <v>14248</v>
      </c>
      <c r="E31" s="113">
        <f>E26+E27+SUM(E28:E30)</f>
        <v>10667</v>
      </c>
      <c r="F31" s="113">
        <f>F26+F27+SUM(F28:F30)</f>
        <v>9992</v>
      </c>
      <c r="G31" s="372">
        <v>7676</v>
      </c>
      <c r="I31" s="163" t="s">
        <v>221</v>
      </c>
      <c r="J31" s="164">
        <f>J26+J27+SUM(J28:J30)</f>
        <v>26709</v>
      </c>
      <c r="K31" s="164">
        <f>K26+K27+SUM(K28:K30)</f>
        <v>19705</v>
      </c>
      <c r="L31" s="164">
        <f>L26+L27+SUM(L28:L30)</f>
        <v>14248</v>
      </c>
      <c r="M31" s="164">
        <f>M26+M27+SUM(M28:M30)</f>
        <v>10667</v>
      </c>
      <c r="N31" s="164">
        <f>N26+N27+SUM(N28:N30)</f>
        <v>9992</v>
      </c>
      <c r="O31" s="367">
        <v>7676</v>
      </c>
    </row>
    <row r="32" spans="1:15" ht="17" x14ac:dyDescent="0.2">
      <c r="A32" s="107" t="s">
        <v>44</v>
      </c>
      <c r="B32" s="103">
        <v>1597</v>
      </c>
      <c r="C32" s="103">
        <v>5245</v>
      </c>
      <c r="D32" s="103">
        <v>9556</v>
      </c>
      <c r="E32" s="103">
        <v>11634</v>
      </c>
      <c r="F32" s="103">
        <v>9404</v>
      </c>
      <c r="G32" s="369"/>
      <c r="I32" s="107" t="s">
        <v>44</v>
      </c>
      <c r="J32" s="103">
        <v>1597</v>
      </c>
      <c r="K32" s="103">
        <v>5245</v>
      </c>
      <c r="L32" s="103">
        <v>9556</v>
      </c>
      <c r="M32" s="103">
        <v>11634</v>
      </c>
      <c r="N32" s="103">
        <v>9404</v>
      </c>
      <c r="O32" s="367">
        <v>9418</v>
      </c>
    </row>
    <row r="33" spans="1:15" ht="17" x14ac:dyDescent="0.2">
      <c r="A33" s="107" t="s">
        <v>222</v>
      </c>
      <c r="B33" s="103">
        <v>2804</v>
      </c>
      <c r="C33" s="103">
        <v>2052</v>
      </c>
      <c r="D33" s="103">
        <v>1284</v>
      </c>
      <c r="E33" s="103">
        <v>1207</v>
      </c>
      <c r="F33" s="103">
        <v>991</v>
      </c>
      <c r="G33" s="369"/>
      <c r="I33" s="107" t="s">
        <v>222</v>
      </c>
      <c r="J33" s="103">
        <v>2804</v>
      </c>
      <c r="K33" s="103">
        <v>2052</v>
      </c>
      <c r="L33" s="103">
        <v>1284</v>
      </c>
      <c r="M33" s="103">
        <v>1207</v>
      </c>
      <c r="N33" s="103">
        <v>991</v>
      </c>
      <c r="O33" s="367"/>
    </row>
    <row r="34" spans="1:15" ht="17" x14ac:dyDescent="0.2">
      <c r="A34" s="101" t="s">
        <v>223</v>
      </c>
      <c r="B34" s="103">
        <v>2164</v>
      </c>
      <c r="C34" s="103">
        <v>1671</v>
      </c>
      <c r="D34" s="103">
        <v>1254</v>
      </c>
      <c r="E34" s="103">
        <v>956</v>
      </c>
      <c r="F34" s="103">
        <v>0</v>
      </c>
      <c r="G34" s="369"/>
      <c r="I34" s="101" t="s">
        <v>223</v>
      </c>
      <c r="J34" s="103">
        <v>2164</v>
      </c>
      <c r="K34" s="103">
        <v>1671</v>
      </c>
      <c r="L34" s="103">
        <v>1254</v>
      </c>
      <c r="M34" s="103">
        <v>956</v>
      </c>
      <c r="N34" s="103">
        <v>0</v>
      </c>
      <c r="O34" s="367"/>
    </row>
    <row r="35" spans="1:15" ht="17" x14ac:dyDescent="0.2">
      <c r="A35" s="101" t="s">
        <v>224</v>
      </c>
      <c r="B35" s="103">
        <v>2480</v>
      </c>
      <c r="C35" s="103">
        <v>1398</v>
      </c>
      <c r="D35" s="103">
        <v>989</v>
      </c>
      <c r="E35" s="103">
        <v>745</v>
      </c>
      <c r="F35" s="103">
        <v>547</v>
      </c>
      <c r="G35" s="369"/>
      <c r="I35" s="101" t="s">
        <v>224</v>
      </c>
      <c r="J35" s="103">
        <v>2480</v>
      </c>
      <c r="K35" s="103">
        <v>1398</v>
      </c>
      <c r="L35" s="103">
        <v>989</v>
      </c>
      <c r="M35" s="103">
        <v>745</v>
      </c>
      <c r="N35" s="103">
        <v>547</v>
      </c>
      <c r="O35" s="367"/>
    </row>
    <row r="36" spans="1:15" ht="17" x14ac:dyDescent="0.2">
      <c r="A36" s="101" t="s">
        <v>225</v>
      </c>
      <c r="B36" s="103">
        <v>51</v>
      </c>
      <c r="C36" s="103">
        <v>133</v>
      </c>
      <c r="D36" s="103">
        <v>500</v>
      </c>
      <c r="E36" s="103">
        <v>545</v>
      </c>
      <c r="F36" s="103">
        <v>84</v>
      </c>
      <c r="G36" s="369"/>
      <c r="I36" s="101" t="s">
        <v>225</v>
      </c>
      <c r="J36" s="103">
        <v>51</v>
      </c>
      <c r="K36" s="103">
        <v>133</v>
      </c>
      <c r="L36" s="103">
        <v>500</v>
      </c>
      <c r="M36" s="103">
        <v>545</v>
      </c>
      <c r="N36" s="103">
        <v>84</v>
      </c>
      <c r="O36" s="367"/>
    </row>
    <row r="37" spans="1:15" ht="17" x14ac:dyDescent="0.2">
      <c r="A37" s="101" t="s">
        <v>226</v>
      </c>
      <c r="B37" s="103">
        <v>82</v>
      </c>
      <c r="C37" s="103">
        <v>24</v>
      </c>
      <c r="D37" s="103">
        <v>151</v>
      </c>
      <c r="E37" s="103">
        <v>66</v>
      </c>
      <c r="F37" s="103">
        <v>0</v>
      </c>
      <c r="G37" s="369"/>
      <c r="I37" s="101" t="s">
        <v>226</v>
      </c>
      <c r="J37" s="103">
        <v>82</v>
      </c>
      <c r="K37" s="103">
        <v>24</v>
      </c>
      <c r="L37" s="103">
        <v>151</v>
      </c>
      <c r="M37" s="103">
        <v>66</v>
      </c>
      <c r="N37" s="103">
        <v>0</v>
      </c>
      <c r="O37" s="367"/>
    </row>
    <row r="38" spans="1:15" ht="17" x14ac:dyDescent="0.2">
      <c r="A38" s="101" t="s">
        <v>227</v>
      </c>
      <c r="B38" s="103">
        <v>0</v>
      </c>
      <c r="C38" s="103">
        <v>0</v>
      </c>
      <c r="D38" s="103">
        <v>0</v>
      </c>
      <c r="E38" s="103">
        <v>0</v>
      </c>
      <c r="F38" s="103">
        <v>1662</v>
      </c>
      <c r="G38" s="369"/>
      <c r="I38" s="101" t="s">
        <v>227</v>
      </c>
      <c r="J38" s="103">
        <v>0</v>
      </c>
      <c r="K38" s="103">
        <v>0</v>
      </c>
      <c r="L38" s="103">
        <v>0</v>
      </c>
      <c r="M38" s="103">
        <v>0</v>
      </c>
      <c r="N38" s="103">
        <v>1662</v>
      </c>
      <c r="O38" s="367"/>
    </row>
    <row r="39" spans="1:15" ht="17" x14ac:dyDescent="0.2">
      <c r="A39" s="101" t="s">
        <v>228</v>
      </c>
      <c r="B39" s="103">
        <v>0</v>
      </c>
      <c r="C39" s="103">
        <v>0</v>
      </c>
      <c r="D39" s="103">
        <v>0</v>
      </c>
      <c r="E39" s="103">
        <v>0</v>
      </c>
      <c r="F39" s="103">
        <v>59</v>
      </c>
      <c r="G39" s="369"/>
      <c r="I39" s="101" t="s">
        <v>228</v>
      </c>
      <c r="J39" s="103">
        <v>0</v>
      </c>
      <c r="K39" s="103">
        <v>0</v>
      </c>
      <c r="L39" s="103">
        <v>0</v>
      </c>
      <c r="M39" s="103">
        <v>0</v>
      </c>
      <c r="N39" s="103">
        <v>59</v>
      </c>
      <c r="O39" s="367"/>
    </row>
    <row r="40" spans="1:15" ht="17" x14ac:dyDescent="0.2">
      <c r="A40" s="101" t="s">
        <v>229</v>
      </c>
      <c r="B40" s="103">
        <v>553</v>
      </c>
      <c r="C40" s="103">
        <v>320</v>
      </c>
      <c r="D40" s="103">
        <v>436</v>
      </c>
      <c r="E40" s="103">
        <v>379</v>
      </c>
      <c r="F40" s="103">
        <v>687</v>
      </c>
      <c r="G40" s="369"/>
      <c r="I40" s="101" t="s">
        <v>229</v>
      </c>
      <c r="J40" s="103">
        <v>553</v>
      </c>
      <c r="K40" s="103">
        <v>320</v>
      </c>
      <c r="L40" s="103">
        <v>436</v>
      </c>
      <c r="M40" s="103">
        <v>379</v>
      </c>
      <c r="N40" s="103">
        <v>687</v>
      </c>
      <c r="O40" s="367"/>
    </row>
    <row r="41" spans="1:15" x14ac:dyDescent="0.2">
      <c r="A41" s="115" t="s">
        <v>230</v>
      </c>
      <c r="B41" s="113">
        <f>SUM(B34:B40)</f>
        <v>5330</v>
      </c>
      <c r="C41" s="113">
        <f>SUM(C34:C40)</f>
        <v>3546</v>
      </c>
      <c r="D41" s="113">
        <f t="shared" ref="D41:F41" si="6">SUM(D34:D40)</f>
        <v>3330</v>
      </c>
      <c r="E41" s="113">
        <f t="shared" si="6"/>
        <v>2691</v>
      </c>
      <c r="F41" s="113">
        <f t="shared" si="6"/>
        <v>3039</v>
      </c>
      <c r="G41" s="369"/>
      <c r="I41" s="115" t="s">
        <v>230</v>
      </c>
      <c r="J41" s="113">
        <f>SUM(J34:J40)</f>
        <v>5330</v>
      </c>
      <c r="K41" s="113">
        <f t="shared" ref="K41:N41" si="7">SUM(K34:K40)</f>
        <v>3546</v>
      </c>
      <c r="L41" s="113">
        <f t="shared" si="7"/>
        <v>3330</v>
      </c>
      <c r="M41" s="113">
        <f t="shared" si="7"/>
        <v>2691</v>
      </c>
      <c r="N41" s="113">
        <f t="shared" si="7"/>
        <v>3039</v>
      </c>
      <c r="O41" s="367"/>
    </row>
    <row r="42" spans="1:15" x14ac:dyDescent="0.2">
      <c r="A42" s="116" t="s">
        <v>231</v>
      </c>
      <c r="B42" s="113">
        <f>B32+B33+B41</f>
        <v>9731</v>
      </c>
      <c r="C42" s="113">
        <f>C32+C33+C41</f>
        <v>10843</v>
      </c>
      <c r="D42" s="113">
        <f t="shared" ref="D42:F42" si="8">D32+D33+D41</f>
        <v>14170</v>
      </c>
      <c r="E42" s="113">
        <f t="shared" si="8"/>
        <v>15532</v>
      </c>
      <c r="F42" s="113">
        <f t="shared" si="8"/>
        <v>13434</v>
      </c>
      <c r="G42" s="369"/>
      <c r="I42" s="116" t="s">
        <v>231</v>
      </c>
      <c r="J42" s="113">
        <f>J41+J32+J33</f>
        <v>9731</v>
      </c>
      <c r="K42" s="113">
        <f t="shared" ref="K42:N42" si="9">K41+K32+K33</f>
        <v>10843</v>
      </c>
      <c r="L42" s="113">
        <f t="shared" si="9"/>
        <v>14170</v>
      </c>
      <c r="M42" s="113">
        <f t="shared" si="9"/>
        <v>15532</v>
      </c>
      <c r="N42" s="113">
        <f t="shared" si="9"/>
        <v>13434</v>
      </c>
      <c r="O42" s="367"/>
    </row>
    <row r="43" spans="1:15" x14ac:dyDescent="0.2">
      <c r="A43" s="112" t="s">
        <v>232</v>
      </c>
      <c r="B43" s="113">
        <f>B42+B31</f>
        <v>36440</v>
      </c>
      <c r="C43" s="113">
        <f>C42+C31</f>
        <v>30548</v>
      </c>
      <c r="D43" s="113">
        <f t="shared" ref="D43:F43" si="10">D42+D31</f>
        <v>28418</v>
      </c>
      <c r="E43" s="113">
        <f t="shared" si="10"/>
        <v>26199</v>
      </c>
      <c r="F43" s="113">
        <f t="shared" si="10"/>
        <v>23426</v>
      </c>
      <c r="G43" s="369"/>
      <c r="I43" s="112" t="s">
        <v>232</v>
      </c>
      <c r="J43" s="113">
        <f>J42+J31</f>
        <v>36440</v>
      </c>
      <c r="K43" s="113">
        <f>K42+K31</f>
        <v>30548</v>
      </c>
      <c r="L43" s="113">
        <f>L42+L31</f>
        <v>28418</v>
      </c>
      <c r="M43" s="113">
        <f>M42+M31</f>
        <v>26199</v>
      </c>
      <c r="N43" s="113">
        <f>N42+N31</f>
        <v>23426</v>
      </c>
      <c r="O43" s="367">
        <v>23022</v>
      </c>
    </row>
    <row r="44" spans="1:15" ht="34" x14ac:dyDescent="0.2">
      <c r="A44" s="107" t="s">
        <v>233</v>
      </c>
      <c r="B44" s="103">
        <v>409</v>
      </c>
      <c r="C44" s="103">
        <v>568</v>
      </c>
      <c r="D44" s="103">
        <v>604</v>
      </c>
      <c r="E44" s="103">
        <v>643</v>
      </c>
      <c r="F44" s="103">
        <v>556</v>
      </c>
      <c r="G44" s="369"/>
      <c r="I44" s="107" t="s">
        <v>233</v>
      </c>
      <c r="J44" s="103">
        <v>409</v>
      </c>
      <c r="K44" s="103">
        <v>568</v>
      </c>
      <c r="L44" s="103">
        <v>604</v>
      </c>
      <c r="M44" s="103">
        <v>643</v>
      </c>
      <c r="N44" s="103">
        <v>556</v>
      </c>
      <c r="O44" s="367">
        <v>398</v>
      </c>
    </row>
    <row r="45" spans="1:15" ht="17" x14ac:dyDescent="0.2">
      <c r="A45" s="107" t="s">
        <v>234</v>
      </c>
      <c r="B45" s="103">
        <v>0</v>
      </c>
      <c r="C45" s="103">
        <v>0</v>
      </c>
      <c r="D45" s="103">
        <v>51</v>
      </c>
      <c r="E45" s="103">
        <v>0</v>
      </c>
      <c r="F45" s="103">
        <v>0</v>
      </c>
      <c r="G45" s="369"/>
      <c r="I45" s="107" t="s">
        <v>234</v>
      </c>
      <c r="J45" s="103">
        <v>0</v>
      </c>
      <c r="K45" s="103">
        <v>0</v>
      </c>
      <c r="L45" s="103">
        <v>51</v>
      </c>
      <c r="M45" s="103">
        <v>0</v>
      </c>
      <c r="N45" s="103">
        <v>0</v>
      </c>
      <c r="O45" s="367"/>
    </row>
    <row r="46" spans="1:15" ht="34" x14ac:dyDescent="0.2">
      <c r="A46" s="101" t="s">
        <v>235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369"/>
      <c r="I46" s="101" t="s">
        <v>235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367"/>
    </row>
    <row r="47" spans="1:15" ht="17" x14ac:dyDescent="0.2">
      <c r="A47" s="101" t="s">
        <v>236</v>
      </c>
      <c r="B47" s="103">
        <v>3</v>
      </c>
      <c r="C47" s="103">
        <v>1</v>
      </c>
      <c r="D47" s="103">
        <v>1</v>
      </c>
      <c r="E47" s="103">
        <v>1</v>
      </c>
      <c r="F47" s="103">
        <v>0</v>
      </c>
      <c r="G47" s="369"/>
      <c r="I47" s="101" t="s">
        <v>236</v>
      </c>
      <c r="J47" s="103">
        <v>3</v>
      </c>
      <c r="K47" s="103">
        <v>1</v>
      </c>
      <c r="L47" s="103">
        <v>1</v>
      </c>
      <c r="M47" s="103">
        <v>1</v>
      </c>
      <c r="N47" s="103">
        <v>0</v>
      </c>
      <c r="O47" s="367"/>
    </row>
    <row r="48" spans="1:15" ht="17" x14ac:dyDescent="0.2">
      <c r="A48" s="101" t="s">
        <v>237</v>
      </c>
      <c r="B48" s="103">
        <v>32177</v>
      </c>
      <c r="C48" s="103">
        <v>29803</v>
      </c>
      <c r="D48" s="103">
        <v>27260</v>
      </c>
      <c r="E48" s="103">
        <v>12736</v>
      </c>
      <c r="F48" s="103">
        <v>10249</v>
      </c>
      <c r="G48" s="369">
        <f>(B48/F48)^(1/5)-1</f>
        <v>0.25710864059839089</v>
      </c>
      <c r="I48" s="101" t="s">
        <v>237</v>
      </c>
      <c r="J48" s="103">
        <v>32177</v>
      </c>
      <c r="K48" s="103">
        <v>29803</v>
      </c>
      <c r="L48" s="103">
        <v>27260</v>
      </c>
      <c r="M48" s="103">
        <v>12736</v>
      </c>
      <c r="N48" s="103">
        <v>10249</v>
      </c>
      <c r="O48" s="367"/>
    </row>
    <row r="49" spans="1:15" ht="17" x14ac:dyDescent="0.2">
      <c r="A49" s="101" t="s">
        <v>238</v>
      </c>
      <c r="B49" s="103">
        <v>-361</v>
      </c>
      <c r="C49" s="103">
        <v>54</v>
      </c>
      <c r="D49" s="103">
        <v>363</v>
      </c>
      <c r="E49" s="103">
        <v>-36</v>
      </c>
      <c r="F49" s="103">
        <v>-8</v>
      </c>
      <c r="G49" s="373">
        <f>SUM(B44:B50)</f>
        <v>45113</v>
      </c>
      <c r="I49" s="101" t="s">
        <v>238</v>
      </c>
      <c r="J49" s="103">
        <v>-361</v>
      </c>
      <c r="K49" s="103">
        <v>54</v>
      </c>
      <c r="L49" s="103">
        <v>363</v>
      </c>
      <c r="M49" s="103">
        <v>-36</v>
      </c>
      <c r="N49" s="103">
        <v>-8</v>
      </c>
      <c r="O49" s="367"/>
    </row>
    <row r="50" spans="1:15" ht="17" x14ac:dyDescent="0.2">
      <c r="A50" s="101" t="s">
        <v>239</v>
      </c>
      <c r="B50" s="103">
        <v>12885</v>
      </c>
      <c r="C50" s="103">
        <v>331</v>
      </c>
      <c r="D50" s="103">
        <v>-5399</v>
      </c>
      <c r="E50" s="103">
        <v>-6083</v>
      </c>
      <c r="F50" s="103">
        <v>-5318</v>
      </c>
      <c r="G50" s="373">
        <f>G49-B51</f>
        <v>409</v>
      </c>
      <c r="I50" s="101" t="s">
        <v>239</v>
      </c>
      <c r="J50" s="103">
        <v>12885</v>
      </c>
      <c r="K50" s="103">
        <v>331</v>
      </c>
      <c r="L50" s="103">
        <v>-5399</v>
      </c>
      <c r="M50" s="103">
        <v>-6083</v>
      </c>
      <c r="N50" s="103">
        <v>-5318</v>
      </c>
      <c r="O50" s="367"/>
    </row>
    <row r="51" spans="1:15" x14ac:dyDescent="0.2">
      <c r="A51" s="116" t="s">
        <v>240</v>
      </c>
      <c r="B51" s="113">
        <f>SUM(B45:B50)</f>
        <v>44704</v>
      </c>
      <c r="C51" s="113">
        <f t="shared" ref="C51:E51" si="11">SUM(C45:C50)</f>
        <v>30189</v>
      </c>
      <c r="D51" s="113">
        <f t="shared" si="11"/>
        <v>22276</v>
      </c>
      <c r="E51" s="113">
        <f t="shared" si="11"/>
        <v>6618</v>
      </c>
      <c r="F51" s="113">
        <f>SUM(F45:F50)</f>
        <v>4923</v>
      </c>
      <c r="G51" s="369"/>
      <c r="I51" s="87" t="s">
        <v>175</v>
      </c>
      <c r="J51" s="88">
        <f>'Aktivering av historisk F&amp;U'!H10</f>
        <v>6873.2</v>
      </c>
      <c r="K51" s="88">
        <f>'Aktivering av historisk F&amp;U'!I10</f>
        <v>5451.2000000000007</v>
      </c>
      <c r="L51" s="88">
        <f>'Aktivering av historisk F&amp;U'!J10</f>
        <v>4159.4000000000005</v>
      </c>
      <c r="M51" s="88">
        <f>'Aktivering av historisk F&amp;U'!K10</f>
        <v>3815</v>
      </c>
      <c r="N51" s="88">
        <f>'Aktivering av historisk F&amp;U'!L10</f>
        <v>3443</v>
      </c>
      <c r="O51" s="368">
        <v>2708</v>
      </c>
    </row>
    <row r="52" spans="1:15" ht="17" x14ac:dyDescent="0.2">
      <c r="A52" s="107" t="s">
        <v>241</v>
      </c>
      <c r="B52" s="103">
        <v>785</v>
      </c>
      <c r="C52" s="103">
        <v>826</v>
      </c>
      <c r="D52" s="103">
        <v>850</v>
      </c>
      <c r="E52" s="103">
        <v>849</v>
      </c>
      <c r="F52" s="103">
        <v>834</v>
      </c>
      <c r="G52" s="369"/>
      <c r="I52" s="116" t="s">
        <v>240</v>
      </c>
      <c r="J52" s="113">
        <f>SUM(J45:J51)</f>
        <v>51577.2</v>
      </c>
      <c r="K52" s="113">
        <f>SUM(K45:K51)</f>
        <v>35640.199999999997</v>
      </c>
      <c r="L52" s="113">
        <f t="shared" ref="L52:M52" si="12">SUM(L45:L51)</f>
        <v>26435.4</v>
      </c>
      <c r="M52" s="113">
        <f t="shared" si="12"/>
        <v>10433</v>
      </c>
      <c r="N52" s="113">
        <f>SUM(N45:N51)</f>
        <v>8366</v>
      </c>
      <c r="O52" s="367">
        <f>4237+O51</f>
        <v>6945</v>
      </c>
    </row>
    <row r="53" spans="1:15" ht="17" x14ac:dyDescent="0.2">
      <c r="A53" s="112" t="s">
        <v>242</v>
      </c>
      <c r="B53" s="113">
        <f>B51+B52</f>
        <v>45489</v>
      </c>
      <c r="C53" s="113">
        <f>C51+C52</f>
        <v>31015</v>
      </c>
      <c r="D53" s="113">
        <f t="shared" ref="D53:E53" si="13">D51+D52</f>
        <v>23126</v>
      </c>
      <c r="E53" s="113">
        <f t="shared" si="13"/>
        <v>7467</v>
      </c>
      <c r="F53" s="113">
        <v>5758</v>
      </c>
      <c r="G53" s="369"/>
      <c r="I53" s="107" t="s">
        <v>241</v>
      </c>
      <c r="J53" s="103">
        <v>785</v>
      </c>
      <c r="K53" s="103">
        <v>826</v>
      </c>
      <c r="L53" s="103">
        <v>850</v>
      </c>
      <c r="M53" s="103">
        <v>849</v>
      </c>
      <c r="N53" s="103">
        <v>834</v>
      </c>
      <c r="O53" s="367">
        <v>997</v>
      </c>
    </row>
    <row r="54" spans="1:15" x14ac:dyDescent="0.2">
      <c r="A54" s="114" t="s">
        <v>134</v>
      </c>
      <c r="B54" s="113">
        <f>B53+B43+B44</f>
        <v>82338</v>
      </c>
      <c r="C54" s="113">
        <f>C53+C43+C44</f>
        <v>62131</v>
      </c>
      <c r="D54" s="113">
        <f>D53+D43+D44</f>
        <v>52148</v>
      </c>
      <c r="E54" s="113">
        <f>E53+E43+E44</f>
        <v>34309</v>
      </c>
      <c r="F54" s="113">
        <f>F53+F43+F44</f>
        <v>29740</v>
      </c>
      <c r="G54" s="369"/>
      <c r="I54" s="112" t="s">
        <v>242</v>
      </c>
      <c r="J54" s="113">
        <f>J52+J53</f>
        <v>52362.2</v>
      </c>
      <c r="K54" s="113">
        <f t="shared" ref="K54:M54" si="14">K52+K53</f>
        <v>36466.199999999997</v>
      </c>
      <c r="L54" s="113">
        <f t="shared" si="14"/>
        <v>27285.4</v>
      </c>
      <c r="M54" s="113">
        <f t="shared" si="14"/>
        <v>11282</v>
      </c>
      <c r="N54" s="113">
        <f>N52+N53</f>
        <v>9200</v>
      </c>
      <c r="O54" s="367">
        <f>O52+O53</f>
        <v>7942</v>
      </c>
    </row>
    <row r="55" spans="1:15" x14ac:dyDescent="0.2">
      <c r="G55" s="369"/>
      <c r="I55" s="114" t="s">
        <v>134</v>
      </c>
      <c r="J55" s="113">
        <f>J43+J54+J44</f>
        <v>89211.199999999997</v>
      </c>
      <c r="K55" s="113">
        <f>K43+K54+K44</f>
        <v>67582.2</v>
      </c>
      <c r="L55" s="113">
        <f>L43+L54+L44</f>
        <v>56307.4</v>
      </c>
      <c r="M55" s="113">
        <f>M43+M54+M44</f>
        <v>38124</v>
      </c>
      <c r="N55" s="113">
        <f>N43+N54+N44</f>
        <v>33182</v>
      </c>
      <c r="O55" s="367">
        <f>O54+O44+O43</f>
        <v>31362</v>
      </c>
    </row>
    <row r="56" spans="1:15" x14ac:dyDescent="0.2">
      <c r="G56" s="369"/>
      <c r="O56" s="367"/>
    </row>
    <row r="57" spans="1:15" x14ac:dyDescent="0.2">
      <c r="G57" s="369"/>
      <c r="O57" s="367"/>
    </row>
    <row r="58" spans="1:15" x14ac:dyDescent="0.2">
      <c r="A58" s="4" t="s">
        <v>287</v>
      </c>
      <c r="B58" s="121">
        <f>B51+B32+B30+B16-B7-B8</f>
        <v>28181</v>
      </c>
      <c r="C58" s="121">
        <f>C51+C32+C30+C16-C7-C8</f>
        <v>21332</v>
      </c>
      <c r="D58" s="121">
        <f>D51+D32+D30+D16-D7-D8</f>
        <v>16138</v>
      </c>
      <c r="E58" s="121">
        <f>E51+E32+E30+E16-E7-E8</f>
        <v>14987</v>
      </c>
      <c r="F58" s="121">
        <f>F51+F32+F30+F16-F7-F8</f>
        <v>13209</v>
      </c>
      <c r="G58" s="369"/>
      <c r="I58" s="4" t="s">
        <v>529</v>
      </c>
      <c r="J58" s="121">
        <f>J52+J32+J30+J16-J7-J8</f>
        <v>35054.199999999997</v>
      </c>
      <c r="K58" s="121">
        <f>K52+K32+K30+K16-K7-K8</f>
        <v>26783.199999999997</v>
      </c>
      <c r="L58" s="121">
        <f>L52+L32+L30+L16-L7-L8</f>
        <v>20297.400000000001</v>
      </c>
      <c r="M58" s="121">
        <f>M52+M32+M30+M16-M7-M8</f>
        <v>18802</v>
      </c>
      <c r="N58" s="121">
        <f>N52+N32+N30+N16-N7-N8</f>
        <v>16652</v>
      </c>
      <c r="O58" s="367"/>
    </row>
    <row r="63" spans="1:15" x14ac:dyDescent="0.2">
      <c r="B63" s="120"/>
    </row>
    <row r="64" spans="1:15" x14ac:dyDescent="0.2">
      <c r="B64" s="120"/>
    </row>
    <row r="65" spans="1:15" x14ac:dyDescent="0.2">
      <c r="B65" s="120"/>
    </row>
    <row r="66" spans="1:15" x14ac:dyDescent="0.2">
      <c r="G66" s="4"/>
      <c r="H66" s="4"/>
    </row>
    <row r="67" spans="1:15" x14ac:dyDescent="0.2">
      <c r="B67" s="86"/>
      <c r="J67" s="13"/>
      <c r="O67" s="366"/>
    </row>
    <row r="69" spans="1:15" x14ac:dyDescent="0.2">
      <c r="J69" s="120"/>
    </row>
    <row r="71" spans="1:15" x14ac:dyDescent="0.2">
      <c r="B71" s="120"/>
      <c r="C71" s="120"/>
      <c r="D71" s="120"/>
      <c r="E71" s="120"/>
      <c r="F71" s="120"/>
    </row>
    <row r="72" spans="1:15" x14ac:dyDescent="0.2">
      <c r="B72" s="120"/>
      <c r="C72" s="120"/>
      <c r="D72" s="120"/>
      <c r="E72" s="120"/>
      <c r="F72" s="120"/>
    </row>
    <row r="73" spans="1:15" x14ac:dyDescent="0.2">
      <c r="B73" s="120"/>
      <c r="C73" s="120"/>
      <c r="D73" s="120"/>
      <c r="E73" s="120"/>
      <c r="F73" s="120"/>
    </row>
    <row r="75" spans="1:15" x14ac:dyDescent="0.2">
      <c r="A75" s="4"/>
      <c r="B75" s="120"/>
      <c r="C75" s="120"/>
      <c r="D75" s="120"/>
      <c r="E75" s="120"/>
      <c r="F75" s="120"/>
    </row>
    <row r="81" spans="1:8" x14ac:dyDescent="0.2">
      <c r="B81" s="13"/>
      <c r="C81" s="13"/>
      <c r="D81" s="13"/>
      <c r="E81" s="13"/>
      <c r="F81" s="13"/>
    </row>
    <row r="84" spans="1:8" x14ac:dyDescent="0.2">
      <c r="G84" s="91"/>
    </row>
    <row r="85" spans="1:8" x14ac:dyDescent="0.2">
      <c r="G85" s="91"/>
    </row>
    <row r="86" spans="1:8" x14ac:dyDescent="0.2">
      <c r="G86" s="91"/>
    </row>
    <row r="87" spans="1:8" x14ac:dyDescent="0.2">
      <c r="A87" s="4"/>
      <c r="G87" s="91"/>
    </row>
    <row r="88" spans="1:8" x14ac:dyDescent="0.2">
      <c r="A88" s="80"/>
      <c r="B88" s="13"/>
      <c r="C88" s="13"/>
      <c r="D88" s="13"/>
      <c r="E88" s="13"/>
      <c r="F88" s="13"/>
      <c r="G88" s="13"/>
      <c r="H88" s="13"/>
    </row>
    <row r="95" spans="1:8" x14ac:dyDescent="0.2">
      <c r="B95" s="1"/>
      <c r="C95" s="1"/>
      <c r="D95" s="1"/>
      <c r="E95" s="1"/>
      <c r="F95" s="1"/>
    </row>
    <row r="98" spans="1:8" x14ac:dyDescent="0.2">
      <c r="B98" s="5"/>
      <c r="C98" s="5"/>
      <c r="D98" s="5"/>
      <c r="E98" s="5"/>
      <c r="F98" s="5"/>
    </row>
    <row r="100" spans="1:8" x14ac:dyDescent="0.2">
      <c r="G100" s="91"/>
    </row>
    <row r="101" spans="1:8" x14ac:dyDescent="0.2">
      <c r="A101" s="80"/>
      <c r="B101" s="1"/>
      <c r="C101" s="1"/>
      <c r="D101" s="1"/>
      <c r="E101" s="1"/>
      <c r="F101" s="1"/>
      <c r="G101" s="13"/>
      <c r="H101" s="13"/>
    </row>
    <row r="102" spans="1:8" x14ac:dyDescent="0.2">
      <c r="G102" s="13"/>
      <c r="H102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EEC6-353C-C84F-BDEA-43CD814D2C18}">
  <dimension ref="A2:Z99"/>
  <sheetViews>
    <sheetView zoomScale="65" workbookViewId="0">
      <selection activeCell="G96" sqref="G96"/>
    </sheetView>
  </sheetViews>
  <sheetFormatPr baseColWidth="10" defaultRowHeight="16" x14ac:dyDescent="0.2"/>
  <cols>
    <col min="1" max="1" width="34.1640625" bestFit="1" customWidth="1"/>
    <col min="2" max="2" width="11.33203125" bestFit="1" customWidth="1"/>
    <col min="3" max="12" width="9" bestFit="1" customWidth="1"/>
  </cols>
  <sheetData>
    <row r="2" spans="1:21" ht="19" x14ac:dyDescent="0.25">
      <c r="A2" s="85" t="s">
        <v>567</v>
      </c>
    </row>
    <row r="4" spans="1:21" x14ac:dyDescent="0.2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1:21" x14ac:dyDescent="0.2">
      <c r="A5" s="230" t="s">
        <v>127</v>
      </c>
      <c r="B5" s="249">
        <v>2022</v>
      </c>
      <c r="C5" s="249" t="s">
        <v>310</v>
      </c>
      <c r="D5" s="249" t="s">
        <v>311</v>
      </c>
      <c r="E5" s="249" t="s">
        <v>312</v>
      </c>
      <c r="F5" s="249" t="s">
        <v>313</v>
      </c>
      <c r="G5" s="249" t="s">
        <v>314</v>
      </c>
      <c r="H5" s="249" t="s">
        <v>315</v>
      </c>
      <c r="I5" s="249" t="s">
        <v>316</v>
      </c>
      <c r="J5" s="249" t="s">
        <v>317</v>
      </c>
      <c r="K5" s="249" t="s">
        <v>318</v>
      </c>
      <c r="L5" s="249" t="s">
        <v>319</v>
      </c>
      <c r="M5" s="280" t="s">
        <v>150</v>
      </c>
    </row>
    <row r="6" spans="1:21" x14ac:dyDescent="0.2">
      <c r="A6" s="337" t="s">
        <v>371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/>
    </row>
    <row r="7" spans="1:21" x14ac:dyDescent="0.2">
      <c r="A7" s="338" t="s">
        <v>363</v>
      </c>
      <c r="C7" s="313">
        <f>IF('Input for DCF'!$B$4="ja",'Input for DCF'!$B$7,'Vekst for fremtidsregnskap'!O8)</f>
        <v>0.30690000000000001</v>
      </c>
      <c r="D7" s="313">
        <f>IF('Input for DCF'!$B$4="ja",'Input for DCF'!$B$7,'Vekst for fremtidsregnskap'!P8)</f>
        <v>0.30690000000000001</v>
      </c>
      <c r="E7" s="313">
        <f>IF('Input for DCF'!$B$4="ja",'Input for DCF'!$B$7,'Vekst for fremtidsregnskap'!Q8)</f>
        <v>0.30690000000000001</v>
      </c>
      <c r="F7" s="313">
        <f>IF('Input for DCF'!$B$4="ja",'Input for DCF'!$B$7,'Vekst for fremtidsregnskap'!R8)</f>
        <v>0.30690000000000001</v>
      </c>
      <c r="G7" s="313">
        <f>IF('Input for DCF'!$B$4="ja",'Input for DCF'!$B$7,'Vekst for fremtidsregnskap'!S8)</f>
        <v>0.30690000000000001</v>
      </c>
      <c r="H7" s="313">
        <f>IF('Input for DCF'!$B$4="ja",G7-($C$7-$L$7)/5,'Vekst for fremtidsregnskap'!T8)</f>
        <v>0.25152000000000002</v>
      </c>
      <c r="I7" s="313">
        <f>IF('Input for DCF'!$B$4="ja",H7-($C$7-$L$7)/5,'Vekst for fremtidsregnskap'!U8)</f>
        <v>0.19614000000000001</v>
      </c>
      <c r="J7" s="313">
        <f>IF('Input for DCF'!$B$4="ja",I7-($C$7-$L$7)/5,'Vekst for fremtidsregnskap'!V8)</f>
        <v>0.14076</v>
      </c>
      <c r="K7" s="313">
        <f>IF('Input for DCF'!$B$4="ja",J7-($C$7-$L$7)/5,'Vekst for fremtidsregnskap'!W8)</f>
        <v>8.5379999999999984E-2</v>
      </c>
      <c r="L7" s="314">
        <f>IF('Input for DCF'!$B$4="ja",'Input for DCF'!$C$7,'Input for DCF'!$B$16)</f>
        <v>0.03</v>
      </c>
      <c r="M7" s="315">
        <f>IF('Input for DCF'!$B$4="ja",'Input for DCF'!$C$7,'Input for DCF'!$B$16)</f>
        <v>0.03</v>
      </c>
    </row>
    <row r="8" spans="1:21" x14ac:dyDescent="0.2">
      <c r="A8" s="338" t="s">
        <v>340</v>
      </c>
      <c r="B8" s="304">
        <f>'Vekst for fremtidsregnskap'!N11</f>
        <v>71367.072469000006</v>
      </c>
      <c r="C8" s="168">
        <f>B8*(1+C7)</f>
        <v>93269.627009736098</v>
      </c>
      <c r="D8" s="168">
        <f t="shared" ref="D8:L8" si="0">C8*(1+D7)</f>
        <v>121894.0755390241</v>
      </c>
      <c r="E8" s="168">
        <f t="shared" si="0"/>
        <v>159303.36732195059</v>
      </c>
      <c r="F8" s="168">
        <f>E8*(1+F7)</f>
        <v>208193.57075305723</v>
      </c>
      <c r="G8" s="168">
        <f t="shared" si="0"/>
        <v>272088.1776171705</v>
      </c>
      <c r="H8" s="168">
        <f t="shared" si="0"/>
        <v>340523.79605144123</v>
      </c>
      <c r="I8" s="168">
        <f t="shared" si="0"/>
        <v>407314.1334089709</v>
      </c>
      <c r="J8" s="168">
        <f>I8*(1+J7)</f>
        <v>464647.67082761764</v>
      </c>
      <c r="K8" s="168">
        <f t="shared" si="0"/>
        <v>504319.28896287963</v>
      </c>
      <c r="L8" s="304">
        <f t="shared" si="0"/>
        <v>519448.86763176601</v>
      </c>
      <c r="M8" s="316">
        <f>L8*(1+M7)</f>
        <v>535032.33366071898</v>
      </c>
    </row>
    <row r="9" spans="1:21" ht="34" x14ac:dyDescent="0.2">
      <c r="A9" s="341" t="s">
        <v>523</v>
      </c>
      <c r="B9" s="183">
        <f ca="1">'Vekst for fremtidsregnskap'!$N$35</f>
        <v>0.28482270297500767</v>
      </c>
      <c r="C9" s="183">
        <v>0.22</v>
      </c>
      <c r="D9" s="183">
        <f ca="1">E9+($B$9-$L$9)/10</f>
        <v>0.27785816238000605</v>
      </c>
      <c r="E9" s="183">
        <f t="shared" ref="E9:I9" ca="1" si="1">F9+($B$9-$L$9)/10</f>
        <v>0.27437589208250529</v>
      </c>
      <c r="F9" s="183">
        <f t="shared" ca="1" si="1"/>
        <v>0.27089362178500453</v>
      </c>
      <c r="G9" s="183">
        <f t="shared" ca="1" si="1"/>
        <v>0.26741135148750378</v>
      </c>
      <c r="H9" s="183">
        <f t="shared" ca="1" si="1"/>
        <v>0.26392908119000302</v>
      </c>
      <c r="I9" s="183">
        <f t="shared" ca="1" si="1"/>
        <v>0.26044681089250227</v>
      </c>
      <c r="J9" s="183">
        <f ca="1">K9+($B$9-$L$9)/10</f>
        <v>0.25696454059500151</v>
      </c>
      <c r="K9" s="183">
        <f ca="1">L9+($B$9-$L$9)/10</f>
        <v>0.25348227029750076</v>
      </c>
      <c r="L9" s="183">
        <f>'Input for DCF'!$B$19</f>
        <v>0.25</v>
      </c>
      <c r="M9" s="317">
        <f>'Input for DCF'!$B$19</f>
        <v>0.25</v>
      </c>
    </row>
    <row r="10" spans="1:21" x14ac:dyDescent="0.2">
      <c r="A10" s="301" t="s">
        <v>361</v>
      </c>
      <c r="B10" s="168">
        <f t="shared" ref="B10:M10" ca="1" si="2">B8*B9</f>
        <v>20326.962484033837</v>
      </c>
      <c r="C10" s="168">
        <f t="shared" si="2"/>
        <v>20519.317942141941</v>
      </c>
      <c r="D10" s="168">
        <f t="shared" ca="1" si="2"/>
        <v>33869.26383428288</v>
      </c>
      <c r="E10" s="168">
        <f t="shared" ca="1" si="2"/>
        <v>43709.003520707214</v>
      </c>
      <c r="F10" s="168">
        <f t="shared" ca="1" si="2"/>
        <v>56398.310413648265</v>
      </c>
      <c r="G10" s="168">
        <f t="shared" ca="1" si="2"/>
        <v>72759.467300379532</v>
      </c>
      <c r="H10" s="168">
        <f t="shared" ca="1" si="2"/>
        <v>89874.132615188864</v>
      </c>
      <c r="I10" s="168">
        <f t="shared" ca="1" si="2"/>
        <v>106083.66707780969</v>
      </c>
      <c r="J10" s="168">
        <f t="shared" ca="1" si="2"/>
        <v>119397.97527275624</v>
      </c>
      <c r="K10" s="168">
        <f t="shared" ca="1" si="2"/>
        <v>127835.99832113204</v>
      </c>
      <c r="L10" s="304">
        <f t="shared" si="2"/>
        <v>129862.2169079415</v>
      </c>
      <c r="M10" s="316">
        <f t="shared" si="2"/>
        <v>133758.08341517975</v>
      </c>
      <c r="O10" s="171"/>
    </row>
    <row r="11" spans="1:21" x14ac:dyDescent="0.2">
      <c r="A11" s="151"/>
      <c r="B11" s="86"/>
      <c r="M11" s="7"/>
      <c r="U11" s="86"/>
    </row>
    <row r="12" spans="1:21" x14ac:dyDescent="0.2">
      <c r="A12" s="337" t="s">
        <v>372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</row>
    <row r="13" spans="1:21" x14ac:dyDescent="0.2">
      <c r="A13" s="338" t="s">
        <v>363</v>
      </c>
      <c r="C13" s="5">
        <f>'Vekst for fremtidsregnskap'!O18</f>
        <v>0.20250000000000001</v>
      </c>
      <c r="D13" s="5">
        <f>'Vekst for fremtidsregnskap'!P18</f>
        <v>0.20250000000000001</v>
      </c>
      <c r="E13" s="5">
        <f>'Vekst for fremtidsregnskap'!Q18</f>
        <v>0.20250000000000001</v>
      </c>
      <c r="F13" s="5">
        <f>'Vekst for fremtidsregnskap'!R18</f>
        <v>0.20250000000000001</v>
      </c>
      <c r="G13" s="5">
        <f>'Vekst for fremtidsregnskap'!S18</f>
        <v>0.20250000000000001</v>
      </c>
      <c r="H13" s="5">
        <f>G13-($C$13-$L$13)/5</f>
        <v>0.16800000000000001</v>
      </c>
      <c r="I13" s="5">
        <f>H13-($C$13-$L$13)/5</f>
        <v>0.13350000000000001</v>
      </c>
      <c r="J13" s="5">
        <f t="shared" ref="J13" si="3">I13-($C$13-$L$13)/5</f>
        <v>9.9000000000000005E-2</v>
      </c>
      <c r="K13" s="5">
        <f>J13-($C$13-$L$13)/5</f>
        <v>6.4500000000000002E-2</v>
      </c>
      <c r="L13" s="5">
        <f>'Input for DCF'!$B$16</f>
        <v>0.03</v>
      </c>
      <c r="M13" s="267">
        <f>'Input for DCF'!$B$16</f>
        <v>0.03</v>
      </c>
    </row>
    <row r="14" spans="1:21" x14ac:dyDescent="0.2">
      <c r="A14" s="338" t="s">
        <v>340</v>
      </c>
      <c r="B14" s="168">
        <f>'Vekst for fremtidsregnskap'!N19</f>
        <v>3909</v>
      </c>
      <c r="C14" s="168">
        <f t="shared" ref="C14:M14" si="4">B14*(1+C13)</f>
        <v>4700.5725000000002</v>
      </c>
      <c r="D14" s="168">
        <f t="shared" si="4"/>
        <v>5652.4384312500006</v>
      </c>
      <c r="E14" s="168">
        <f t="shared" si="4"/>
        <v>6797.0572135781267</v>
      </c>
      <c r="F14" s="168">
        <f t="shared" si="4"/>
        <v>8173.4612993276978</v>
      </c>
      <c r="G14" s="168">
        <f t="shared" si="4"/>
        <v>9828.5872124415582</v>
      </c>
      <c r="H14" s="168">
        <f t="shared" si="4"/>
        <v>11479.789864131739</v>
      </c>
      <c r="I14" s="168">
        <f t="shared" si="4"/>
        <v>13012.341810993325</v>
      </c>
      <c r="J14" s="168">
        <f t="shared" si="4"/>
        <v>14300.563650281663</v>
      </c>
      <c r="K14" s="168">
        <f t="shared" si="4"/>
        <v>15222.950005724831</v>
      </c>
      <c r="L14" s="304">
        <f t="shared" si="4"/>
        <v>15679.638505896577</v>
      </c>
      <c r="M14" s="316">
        <f t="shared" si="4"/>
        <v>16150.027661073475</v>
      </c>
    </row>
    <row r="15" spans="1:21" x14ac:dyDescent="0.2">
      <c r="A15" s="339" t="s">
        <v>508</v>
      </c>
      <c r="B15" s="167">
        <f>'Vekst for fremtidsregnskap'!N51</f>
        <v>7.3676132003069883E-2</v>
      </c>
      <c r="C15" s="183">
        <f>D15+($B$15-$L$15)/10</f>
        <v>7.3676132003069883E-2</v>
      </c>
      <c r="D15" s="183">
        <f>E15+($B$15-$L$15)/10</f>
        <v>7.3676132003069883E-2</v>
      </c>
      <c r="E15" s="183">
        <f t="shared" ref="E15:I15" si="5">F15+($B$15-$L$15)/10</f>
        <v>7.3676132003069883E-2</v>
      </c>
      <c r="F15" s="183">
        <f>G15+($B$15-$L$15)/10</f>
        <v>7.3676132003069883E-2</v>
      </c>
      <c r="G15" s="183">
        <f t="shared" si="5"/>
        <v>7.3676132003069883E-2</v>
      </c>
      <c r="H15" s="183">
        <f t="shared" si="5"/>
        <v>7.3676132003069883E-2</v>
      </c>
      <c r="I15" s="183">
        <f t="shared" si="5"/>
        <v>7.3676132003069883E-2</v>
      </c>
      <c r="J15" s="183">
        <f>K15+($B$15-$L$15)/10</f>
        <v>7.3676132003069883E-2</v>
      </c>
      <c r="K15" s="183">
        <f>L15+($B$15-$L$15)/10</f>
        <v>7.3676132003069883E-2</v>
      </c>
      <c r="L15" s="183">
        <f>'Input for DCF'!$B$20</f>
        <v>7.3676132003069883E-2</v>
      </c>
      <c r="M15" s="317">
        <f>'Input for DCF'!$B$20</f>
        <v>7.3676132003069883E-2</v>
      </c>
    </row>
    <row r="16" spans="1:21" x14ac:dyDescent="0.2">
      <c r="A16" s="301" t="s">
        <v>362</v>
      </c>
      <c r="B16" s="86">
        <f t="shared" ref="B16:M16" si="6">B14*B15</f>
        <v>288.00000000000017</v>
      </c>
      <c r="C16" s="86">
        <f t="shared" si="6"/>
        <v>346.32000000000022</v>
      </c>
      <c r="D16" s="86">
        <f t="shared" si="6"/>
        <v>416.44980000000027</v>
      </c>
      <c r="E16" s="86">
        <f t="shared" si="6"/>
        <v>500.78088450000041</v>
      </c>
      <c r="F16" s="86">
        <f t="shared" si="6"/>
        <v>602.18901361125052</v>
      </c>
      <c r="G16" s="86">
        <f t="shared" si="6"/>
        <v>724.13228886752893</v>
      </c>
      <c r="H16" s="86">
        <f t="shared" si="6"/>
        <v>845.78651339727367</v>
      </c>
      <c r="I16" s="86">
        <f t="shared" si="6"/>
        <v>958.69901293580961</v>
      </c>
      <c r="J16" s="86">
        <f t="shared" si="6"/>
        <v>1053.6102152164547</v>
      </c>
      <c r="K16" s="86">
        <f t="shared" si="6"/>
        <v>1121.5680740979162</v>
      </c>
      <c r="L16" s="86">
        <f t="shared" si="6"/>
        <v>1155.2151163208537</v>
      </c>
      <c r="M16" s="318">
        <f t="shared" si="6"/>
        <v>1189.8715698104793</v>
      </c>
    </row>
    <row r="17" spans="1:26" x14ac:dyDescent="0.2">
      <c r="A17" s="151"/>
      <c r="M17" s="7"/>
    </row>
    <row r="18" spans="1:26" x14ac:dyDescent="0.2">
      <c r="A18" s="340" t="s">
        <v>510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</row>
    <row r="19" spans="1:26" x14ac:dyDescent="0.2">
      <c r="A19" s="338" t="s">
        <v>363</v>
      </c>
      <c r="C19" s="5">
        <f>'Vekst for fremtidsregnskap'!O25</f>
        <v>0.34360000000000002</v>
      </c>
      <c r="D19" s="5">
        <f>'Vekst for fremtidsregnskap'!P25</f>
        <v>0.34360000000000002</v>
      </c>
      <c r="E19" s="5">
        <f>'Vekst for fremtidsregnskap'!Q25</f>
        <v>0.34360000000000002</v>
      </c>
      <c r="F19" s="5">
        <f>'Vekst for fremtidsregnskap'!R25</f>
        <v>0.34360000000000002</v>
      </c>
      <c r="G19" s="5">
        <f>'Vekst for fremtidsregnskap'!S25</f>
        <v>0.34360000000000002</v>
      </c>
      <c r="H19" s="5">
        <f>G19-($C$19-$L$19)/5</f>
        <v>0.28088000000000002</v>
      </c>
      <c r="I19" s="5">
        <f>H19-($C$19-$L$19)/5</f>
        <v>0.21816000000000002</v>
      </c>
      <c r="J19" s="5">
        <f>I19-($C$19-$L$19)/5</f>
        <v>0.15544000000000002</v>
      </c>
      <c r="K19" s="5">
        <f t="shared" ref="K19" si="7">J19-($C$19-$L$19)/5</f>
        <v>9.2720000000000025E-2</v>
      </c>
      <c r="L19" s="5">
        <f>'Input for DCF'!$B$16</f>
        <v>0.03</v>
      </c>
      <c r="M19" s="267">
        <f>'Input for DCF'!$B$16</f>
        <v>0.03</v>
      </c>
    </row>
    <row r="20" spans="1:26" x14ac:dyDescent="0.2">
      <c r="A20" s="338" t="s">
        <v>340</v>
      </c>
      <c r="B20" s="168">
        <f>'Vekst for fremtidsregnskap'!N26</f>
        <v>6091</v>
      </c>
      <c r="C20" s="168">
        <f t="shared" ref="C20:M20" si="8">B20*(1+C19)</f>
        <v>8183.8675999999996</v>
      </c>
      <c r="D20" s="168">
        <f t="shared" si="8"/>
        <v>10995.844507359998</v>
      </c>
      <c r="E20" s="168">
        <f t="shared" si="8"/>
        <v>14774.016680088893</v>
      </c>
      <c r="F20" s="168">
        <f t="shared" si="8"/>
        <v>19850.368811367436</v>
      </c>
      <c r="G20" s="168">
        <f t="shared" si="8"/>
        <v>26670.955534953286</v>
      </c>
      <c r="H20" s="168">
        <f t="shared" si="8"/>
        <v>34162.293525610963</v>
      </c>
      <c r="I20" s="168">
        <f t="shared" si="8"/>
        <v>41615.139481158258</v>
      </c>
      <c r="J20" s="168">
        <f t="shared" si="8"/>
        <v>48083.796762109501</v>
      </c>
      <c r="K20" s="168">
        <f t="shared" si="8"/>
        <v>52542.126397892287</v>
      </c>
      <c r="L20" s="304">
        <f t="shared" si="8"/>
        <v>54118.390189829057</v>
      </c>
      <c r="M20" s="316">
        <f t="shared" si="8"/>
        <v>55741.941895523931</v>
      </c>
      <c r="W20" s="13"/>
      <c r="X20" s="13"/>
      <c r="Y20" s="13"/>
      <c r="Z20" s="13"/>
    </row>
    <row r="21" spans="1:26" ht="34" x14ac:dyDescent="0.2">
      <c r="A21" s="341" t="s">
        <v>511</v>
      </c>
      <c r="B21" s="167">
        <f>'Vekst for fremtidsregnskap'!N66</f>
        <v>3.464127401083561E-2</v>
      </c>
      <c r="C21" s="183">
        <f>D21+($B$21-$L$21)/10</f>
        <v>3.464127401083561E-2</v>
      </c>
      <c r="D21" s="183">
        <f t="shared" ref="D21:J21" si="9">E21+($B$21-$L$21)/10</f>
        <v>3.464127401083561E-2</v>
      </c>
      <c r="E21" s="183">
        <f t="shared" si="9"/>
        <v>3.464127401083561E-2</v>
      </c>
      <c r="F21" s="183">
        <f t="shared" si="9"/>
        <v>3.464127401083561E-2</v>
      </c>
      <c r="G21" s="183">
        <f t="shared" si="9"/>
        <v>3.464127401083561E-2</v>
      </c>
      <c r="H21" s="183">
        <f t="shared" si="9"/>
        <v>3.464127401083561E-2</v>
      </c>
      <c r="I21" s="183">
        <f t="shared" si="9"/>
        <v>3.464127401083561E-2</v>
      </c>
      <c r="J21" s="183">
        <f t="shared" si="9"/>
        <v>3.464127401083561E-2</v>
      </c>
      <c r="K21" s="183">
        <f>L21+($B$21-$L$21)/10</f>
        <v>3.464127401083561E-2</v>
      </c>
      <c r="L21" s="305">
        <f>'Input for DCF'!$B$21</f>
        <v>3.464127401083561E-2</v>
      </c>
      <c r="M21" s="319">
        <f>'Input for DCF'!$B$21</f>
        <v>3.464127401083561E-2</v>
      </c>
      <c r="P21" s="13"/>
      <c r="Q21" s="13"/>
      <c r="R21" s="13"/>
      <c r="S21" s="13"/>
      <c r="T21" s="13"/>
      <c r="U21" s="13"/>
      <c r="V21" s="13"/>
    </row>
    <row r="22" spans="1:26" x14ac:dyDescent="0.2">
      <c r="A22" s="301" t="s">
        <v>492</v>
      </c>
      <c r="B22" s="86">
        <f t="shared" ref="B22:M22" si="10">B20*B21</f>
        <v>210.99999999999969</v>
      </c>
      <c r="C22" s="86">
        <f t="shared" si="10"/>
        <v>283.49959999999959</v>
      </c>
      <c r="D22" s="86">
        <f t="shared" si="10"/>
        <v>380.9100625599994</v>
      </c>
      <c r="E22" s="86">
        <f t="shared" si="10"/>
        <v>511.79076005561518</v>
      </c>
      <c r="F22" s="86">
        <f t="shared" si="10"/>
        <v>687.64206521072447</v>
      </c>
      <c r="G22" s="86">
        <f t="shared" si="10"/>
        <v>923.9158788171294</v>
      </c>
      <c r="H22" s="86">
        <f t="shared" si="10"/>
        <v>1183.4253708592846</v>
      </c>
      <c r="I22" s="86">
        <f t="shared" si="10"/>
        <v>1441.6014497659464</v>
      </c>
      <c r="J22" s="86">
        <f t="shared" si="10"/>
        <v>1665.6839791175653</v>
      </c>
      <c r="K22" s="86">
        <f t="shared" si="10"/>
        <v>1820.1261976613457</v>
      </c>
      <c r="L22" s="86">
        <f t="shared" si="10"/>
        <v>1874.7299835911861</v>
      </c>
      <c r="M22" s="318">
        <f t="shared" si="10"/>
        <v>1930.9718830989218</v>
      </c>
    </row>
    <row r="23" spans="1:26" x14ac:dyDescent="0.2">
      <c r="A23" s="151"/>
      <c r="M23" s="7"/>
    </row>
    <row r="24" spans="1:26" x14ac:dyDescent="0.2">
      <c r="A24" s="338" t="s">
        <v>364</v>
      </c>
      <c r="B24" s="86">
        <f t="shared" ref="B24:M24" si="11">B8+B14+B20</f>
        <v>81367.072469000006</v>
      </c>
      <c r="C24" s="86">
        <f t="shared" si="11"/>
        <v>106154.06710973609</v>
      </c>
      <c r="D24" s="86">
        <f t="shared" si="11"/>
        <v>138542.35847763409</v>
      </c>
      <c r="E24" s="86">
        <f t="shared" si="11"/>
        <v>180874.44121561761</v>
      </c>
      <c r="F24" s="86">
        <f t="shared" si="11"/>
        <v>236217.40086375235</v>
      </c>
      <c r="G24" s="86">
        <f t="shared" si="11"/>
        <v>308587.72036456532</v>
      </c>
      <c r="H24" s="86">
        <f t="shared" si="11"/>
        <v>386165.87944118388</v>
      </c>
      <c r="I24" s="86">
        <f t="shared" si="11"/>
        <v>461941.61470112251</v>
      </c>
      <c r="J24" s="86">
        <f t="shared" si="11"/>
        <v>527032.03124000877</v>
      </c>
      <c r="K24" s="86">
        <f t="shared" si="11"/>
        <v>572084.36536649673</v>
      </c>
      <c r="L24" s="86">
        <f t="shared" si="11"/>
        <v>589246.89632749162</v>
      </c>
      <c r="M24" s="318">
        <f t="shared" si="11"/>
        <v>606924.3032173164</v>
      </c>
      <c r="O24" s="181"/>
    </row>
    <row r="25" spans="1:26" x14ac:dyDescent="0.2">
      <c r="A25" s="342" t="s">
        <v>509</v>
      </c>
      <c r="B25" s="265">
        <f t="shared" ref="B25:M25" ca="1" si="12">B10+B16+B22</f>
        <v>20825.962484033837</v>
      </c>
      <c r="C25" s="265">
        <f t="shared" si="12"/>
        <v>21149.13754214194</v>
      </c>
      <c r="D25" s="265">
        <f t="shared" ca="1" si="12"/>
        <v>34666.623696842878</v>
      </c>
      <c r="E25" s="265">
        <f t="shared" ca="1" si="12"/>
        <v>44721.575165262831</v>
      </c>
      <c r="F25" s="265">
        <f t="shared" ca="1" si="12"/>
        <v>57688.14149247024</v>
      </c>
      <c r="G25" s="265">
        <f t="shared" ca="1" si="12"/>
        <v>74407.515468064201</v>
      </c>
      <c r="H25" s="265">
        <f t="shared" ca="1" si="12"/>
        <v>91903.344499445418</v>
      </c>
      <c r="I25" s="265">
        <f t="shared" ca="1" si="12"/>
        <v>108483.96754051145</v>
      </c>
      <c r="J25" s="265">
        <f t="shared" ca="1" si="12"/>
        <v>122117.26946709026</v>
      </c>
      <c r="K25" s="265">
        <f t="shared" ca="1" si="12"/>
        <v>130777.6925928913</v>
      </c>
      <c r="L25" s="265">
        <f t="shared" si="12"/>
        <v>132892.16200785353</v>
      </c>
      <c r="M25" s="266">
        <f t="shared" si="12"/>
        <v>136878.92686808915</v>
      </c>
    </row>
    <row r="26" spans="1:26" x14ac:dyDescent="0.2">
      <c r="A26" s="343" t="s">
        <v>508</v>
      </c>
      <c r="B26" s="306">
        <f t="shared" ref="B26:M26" ca="1" si="13">B25/B24</f>
        <v>0.25595074090896297</v>
      </c>
      <c r="C26" s="306">
        <f t="shared" si="13"/>
        <v>0.19923059113956654</v>
      </c>
      <c r="D26" s="306">
        <f t="shared" ca="1" si="13"/>
        <v>0.25022400425238445</v>
      </c>
      <c r="E26" s="306">
        <f t="shared" ca="1" si="13"/>
        <v>0.24725204326658257</v>
      </c>
      <c r="F26" s="306">
        <f t="shared" ca="1" si="13"/>
        <v>0.24421630786524545</v>
      </c>
      <c r="G26" s="306">
        <f t="shared" ca="1" si="13"/>
        <v>0.24112273612235513</v>
      </c>
      <c r="H26" s="306">
        <f t="shared" ca="1" si="13"/>
        <v>0.23798929266469029</v>
      </c>
      <c r="I26" s="306">
        <f t="shared" ca="1" si="13"/>
        <v>0.23484346092243905</v>
      </c>
      <c r="J26" s="306">
        <f t="shared" ca="1" si="13"/>
        <v>0.23170749068091923</v>
      </c>
      <c r="K26" s="306">
        <f t="shared" ca="1" si="13"/>
        <v>0.22859861326416542</v>
      </c>
      <c r="L26" s="307">
        <f t="shared" si="13"/>
        <v>0.22552882812978745</v>
      </c>
      <c r="M26" s="320">
        <f t="shared" si="13"/>
        <v>0.22552882812978745</v>
      </c>
    </row>
    <row r="27" spans="1:26" x14ac:dyDescent="0.2">
      <c r="A27" s="151"/>
      <c r="M27" s="7"/>
    </row>
    <row r="28" spans="1:26" x14ac:dyDescent="0.2">
      <c r="A28" s="337" t="s">
        <v>504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</row>
    <row r="29" spans="1:26" x14ac:dyDescent="0.2">
      <c r="A29" s="151" t="s">
        <v>397</v>
      </c>
      <c r="B29" s="168">
        <f>'Prognose av F&amp;U'!B7</f>
        <v>1653</v>
      </c>
      <c r="C29" s="168">
        <f>'Prognose av F&amp;U'!C7</f>
        <v>1991.683341538816</v>
      </c>
      <c r="D29" s="168">
        <f>'Prognose av F&amp;U'!D7</f>
        <v>2501.0968996700631</v>
      </c>
      <c r="E29" s="168">
        <f>'Prognose av F&amp;U'!E7</f>
        <v>3278.4269095365648</v>
      </c>
      <c r="F29" s="168">
        <f>'Prognose av F&amp;U'!F7</f>
        <v>4345.7443452440712</v>
      </c>
      <c r="G29" s="168">
        <f>'Prognose av F&amp;U'!G7</f>
        <v>5610.4752422415386</v>
      </c>
      <c r="H29" s="168">
        <f>'Prognose av F&amp;U'!H7</f>
        <v>7325.8848621351408</v>
      </c>
      <c r="I29" s="168">
        <f>'Prognose av F&amp;U'!I7</f>
        <v>9439.8430829477948</v>
      </c>
      <c r="J29" s="168">
        <f>'Prognose av F&amp;U'!J7</f>
        <v>11881.356212719289</v>
      </c>
      <c r="K29" s="168">
        <f>'Prognose av F&amp;U'!K7</f>
        <v>14494.68411855269</v>
      </c>
      <c r="L29" s="304">
        <f>'Prognose av F&amp;U'!L7</f>
        <v>17030.322614651333</v>
      </c>
      <c r="M29" s="316">
        <f>'Prognose av F&amp;U'!M7</f>
        <v>19149.168128107911</v>
      </c>
      <c r="N29" s="86"/>
    </row>
    <row r="30" spans="1:26" x14ac:dyDescent="0.2">
      <c r="A30" s="151"/>
      <c r="M30" s="7"/>
    </row>
    <row r="31" spans="1:26" x14ac:dyDescent="0.2">
      <c r="A31" s="151" t="s">
        <v>366</v>
      </c>
      <c r="B31" s="168">
        <f>'Vekst for fremtidsregnskap'!F113</f>
        <v>176</v>
      </c>
      <c r="C31" s="168">
        <f>'Vekst for fremtidsregnskap'!$G$113</f>
        <v>86.6</v>
      </c>
      <c r="D31" s="168">
        <f>'Vekst for fremtidsregnskap'!$G$113</f>
        <v>86.6</v>
      </c>
      <c r="E31" s="168">
        <f>'Vekst for fremtidsregnskap'!$G$113</f>
        <v>86.6</v>
      </c>
      <c r="F31" s="168">
        <f>'Vekst for fremtidsregnskap'!$G$113</f>
        <v>86.6</v>
      </c>
      <c r="G31" s="168">
        <f>'Vekst for fremtidsregnskap'!$G$113</f>
        <v>86.6</v>
      </c>
      <c r="H31" s="168">
        <f>'Vekst for fremtidsregnskap'!$G$113</f>
        <v>86.6</v>
      </c>
      <c r="I31" s="168">
        <f>'Vekst for fremtidsregnskap'!$G$113</f>
        <v>86.6</v>
      </c>
      <c r="J31" s="168">
        <f>'Vekst for fremtidsregnskap'!$G$113</f>
        <v>86.6</v>
      </c>
      <c r="K31" s="168">
        <f>'Vekst for fremtidsregnskap'!$G$113</f>
        <v>86.6</v>
      </c>
      <c r="L31" s="304">
        <f>'Vekst for fremtidsregnskap'!$G$113</f>
        <v>86.6</v>
      </c>
      <c r="M31" s="316">
        <f>'Vekst for fremtidsregnskap'!$G$113</f>
        <v>86.6</v>
      </c>
    </row>
    <row r="32" spans="1:26" x14ac:dyDescent="0.2">
      <c r="A32" s="151"/>
      <c r="M32" s="7"/>
    </row>
    <row r="33" spans="1:15" x14ac:dyDescent="0.2">
      <c r="A33" s="338" t="s">
        <v>367</v>
      </c>
      <c r="B33" s="5">
        <f>'Vekst for fremtidsregnskap'!N98</f>
        <v>4.8439763325231394E-2</v>
      </c>
      <c r="C33" s="321">
        <f>B33+($B$33-$L$33)/10</f>
        <v>4.8439763325231394E-2</v>
      </c>
      <c r="D33" s="321">
        <f t="shared" ref="D33:K33" si="14">C33+($B$33-$L$33)/10</f>
        <v>4.8439763325231394E-2</v>
      </c>
      <c r="E33" s="321">
        <f t="shared" si="14"/>
        <v>4.8439763325231394E-2</v>
      </c>
      <c r="F33" s="321">
        <f t="shared" si="14"/>
        <v>4.8439763325231394E-2</v>
      </c>
      <c r="G33" s="321">
        <f t="shared" si="14"/>
        <v>4.8439763325231394E-2</v>
      </c>
      <c r="H33" s="321">
        <f t="shared" si="14"/>
        <v>4.8439763325231394E-2</v>
      </c>
      <c r="I33" s="321">
        <f t="shared" si="14"/>
        <v>4.8439763325231394E-2</v>
      </c>
      <c r="J33" s="321">
        <f t="shared" si="14"/>
        <v>4.8439763325231394E-2</v>
      </c>
      <c r="K33" s="321">
        <f t="shared" si="14"/>
        <v>4.8439763325231394E-2</v>
      </c>
      <c r="L33" s="5">
        <f>'Input for DCF'!$B$24</f>
        <v>4.8439763325231394E-2</v>
      </c>
      <c r="M33" s="267">
        <f>'Input for DCF'!$B$24</f>
        <v>4.8439763325231394E-2</v>
      </c>
    </row>
    <row r="34" spans="1:15" x14ac:dyDescent="0.2">
      <c r="A34" s="151" t="s">
        <v>368</v>
      </c>
      <c r="B34" s="86">
        <f t="shared" ref="B34:M34" si="15">B24*B33</f>
        <v>3941.4017328653117</v>
      </c>
      <c r="C34" s="86">
        <f t="shared" si="15"/>
        <v>5142.0778868063462</v>
      </c>
      <c r="D34" s="86">
        <f t="shared" si="15"/>
        <v>6710.9590551759602</v>
      </c>
      <c r="E34" s="86">
        <f t="shared" si="15"/>
        <v>8761.5151240679952</v>
      </c>
      <c r="F34" s="86">
        <f t="shared" si="15"/>
        <v>11442.314991141473</v>
      </c>
      <c r="G34" s="86">
        <f t="shared" si="15"/>
        <v>14947.916139532232</v>
      </c>
      <c r="H34" s="86">
        <f t="shared" si="15"/>
        <v>18705.783804410788</v>
      </c>
      <c r="I34" s="86">
        <f t="shared" si="15"/>
        <v>22376.342486197605</v>
      </c>
      <c r="J34" s="86">
        <f t="shared" si="15"/>
        <v>25529.306858081982</v>
      </c>
      <c r="K34" s="86">
        <f t="shared" si="15"/>
        <v>27711.631260418304</v>
      </c>
      <c r="L34" s="86">
        <f t="shared" si="15"/>
        <v>28542.980198230853</v>
      </c>
      <c r="M34" s="318">
        <f t="shared" si="15"/>
        <v>29399.269604177782</v>
      </c>
    </row>
    <row r="35" spans="1:15" x14ac:dyDescent="0.2">
      <c r="A35" s="151"/>
      <c r="M35" s="7"/>
    </row>
    <row r="36" spans="1:15" x14ac:dyDescent="0.2">
      <c r="A36" s="20" t="s">
        <v>512</v>
      </c>
      <c r="B36" s="312">
        <f>B29+B31+B34</f>
        <v>5770.4017328653117</v>
      </c>
      <c r="C36" s="312">
        <f t="shared" ref="C36:L36" si="16">C29+C31+C34</f>
        <v>7220.3612283451621</v>
      </c>
      <c r="D36" s="312">
        <f t="shared" si="16"/>
        <v>9298.6559548460227</v>
      </c>
      <c r="E36" s="312">
        <f t="shared" si="16"/>
        <v>12126.542033604561</v>
      </c>
      <c r="F36" s="312">
        <f t="shared" si="16"/>
        <v>15874.659336385545</v>
      </c>
      <c r="G36" s="312">
        <f t="shared" si="16"/>
        <v>20644.991381773769</v>
      </c>
      <c r="H36" s="312">
        <f t="shared" si="16"/>
        <v>26118.26866654593</v>
      </c>
      <c r="I36" s="312">
        <f t="shared" si="16"/>
        <v>31902.785569145402</v>
      </c>
      <c r="J36" s="312">
        <f t="shared" si="16"/>
        <v>37497.263070801273</v>
      </c>
      <c r="K36" s="312">
        <f t="shared" si="16"/>
        <v>42292.915378970996</v>
      </c>
      <c r="L36" s="312">
        <f t="shared" si="16"/>
        <v>45659.902812882181</v>
      </c>
      <c r="M36" s="322">
        <f>M29+M31+M34</f>
        <v>48635.037732285695</v>
      </c>
    </row>
    <row r="37" spans="1:15" x14ac:dyDescent="0.2">
      <c r="A37" s="151"/>
      <c r="M37" s="7"/>
    </row>
    <row r="38" spans="1:15" x14ac:dyDescent="0.2">
      <c r="A38" s="151" t="s">
        <v>373</v>
      </c>
      <c r="B38" s="86">
        <f t="shared" ref="B38:M38" ca="1" si="17">B36+(B24-B25)</f>
        <v>66311.511717831483</v>
      </c>
      <c r="C38" s="86">
        <f t="shared" si="17"/>
        <v>92225.29079593932</v>
      </c>
      <c r="D38" s="86">
        <f t="shared" ca="1" si="17"/>
        <v>113174.39073563724</v>
      </c>
      <c r="E38" s="86">
        <f t="shared" ca="1" si="17"/>
        <v>148279.40808395934</v>
      </c>
      <c r="F38" s="86">
        <f t="shared" ca="1" si="17"/>
        <v>194403.91870766768</v>
      </c>
      <c r="G38" s="86">
        <f t="shared" ca="1" si="17"/>
        <v>254825.19627827487</v>
      </c>
      <c r="H38" s="86">
        <f t="shared" ca="1" si="17"/>
        <v>320380.80360828439</v>
      </c>
      <c r="I38" s="86">
        <f t="shared" ca="1" si="17"/>
        <v>385360.43272975646</v>
      </c>
      <c r="J38" s="86">
        <f t="shared" ca="1" si="17"/>
        <v>442412.02484371979</v>
      </c>
      <c r="K38" s="86">
        <f t="shared" ca="1" si="17"/>
        <v>483599.58815257647</v>
      </c>
      <c r="L38" s="86">
        <f t="shared" si="17"/>
        <v>502014.63713252032</v>
      </c>
      <c r="M38" s="318">
        <f t="shared" si="17"/>
        <v>518680.41408151295</v>
      </c>
    </row>
    <row r="39" spans="1:15" x14ac:dyDescent="0.2">
      <c r="A39" s="344" t="s">
        <v>56</v>
      </c>
      <c r="B39" s="308">
        <f ca="1">1-B38/B24</f>
        <v>0.18503259726966992</v>
      </c>
      <c r="C39" s="309">
        <f>IF('Input for DCF'!$B$4="ja",'Input for DCF'!$B$8,1-C38/C24)</f>
        <v>0.13121283708704246</v>
      </c>
      <c r="D39" s="309">
        <f ca="1">IF('Input for DCF'!$B$4="ja",'Input for DCF'!$B$8,1-D38/D24)</f>
        <v>0.18310622123624509</v>
      </c>
      <c r="E39" s="309">
        <f ca="1">IF('Input for DCF'!$B$4="ja",'Input for DCF'!$B$8,1-E38/E24)</f>
        <v>0.18020806539936862</v>
      </c>
      <c r="F39" s="309">
        <f ca="1">IF('Input for DCF'!$B$4="ja",'Input for DCF'!$B$8,1-F38/F24)</f>
        <v>0.17701270949214376</v>
      </c>
      <c r="G39" s="309">
        <f ca="1">IF('Input for DCF'!$B$4="ja",'Input for DCF'!$B$8,1-G38/G24)</f>
        <v>0.17422120369136995</v>
      </c>
      <c r="H39" s="309">
        <f ca="1">IF('Input for DCF'!$B$4="ja",G39-($C$39-$L$39)/5,1-H38/H24)</f>
        <v>0.1703544495647733</v>
      </c>
      <c r="I39" s="309">
        <f ca="1">IF('Input for DCF'!$B$4="ja",H39-($C$39-$L$39)/5,1-I38/I24)</f>
        <v>0.16578108473927877</v>
      </c>
      <c r="J39" s="309">
        <f ca="1">IF('Input for DCF'!$B$4="ja",I39-($C$39-$L$39)/5,1-J38/J24)</f>
        <v>0.16055951323716278</v>
      </c>
      <c r="K39" s="309">
        <f ca="1">IF('Input for DCF'!$B$4="ja",J39-($C$39-$L$39)/5,1-K38/K24)</f>
        <v>0.15467085375988887</v>
      </c>
      <c r="L39" s="310">
        <f>IF('Input for DCF'!$B$4="ja",'Input for DCF'!$C$8,1-L38/L24)</f>
        <v>0.1480402522926304</v>
      </c>
      <c r="M39" s="323">
        <f>IF('Input for DCF'!$B$4="ja",'Input for DCF'!$C$8,1-M38/M24)</f>
        <v>0.14539521430929858</v>
      </c>
      <c r="N39" s="178"/>
    </row>
    <row r="40" spans="1:15" x14ac:dyDescent="0.2">
      <c r="A40" s="151"/>
      <c r="M40" s="7"/>
    </row>
    <row r="41" spans="1:15" x14ac:dyDescent="0.2">
      <c r="A41" s="151" t="s">
        <v>370</v>
      </c>
      <c r="B41" s="86">
        <f t="shared" ref="B41:M41" ca="1" si="18">B10+B16+B22-B36</f>
        <v>15055.560751168525</v>
      </c>
      <c r="C41" s="86">
        <f t="shared" si="18"/>
        <v>13928.776313796778</v>
      </c>
      <c r="D41" s="86">
        <f t="shared" ca="1" si="18"/>
        <v>25367.967741996858</v>
      </c>
      <c r="E41" s="86">
        <f t="shared" ca="1" si="18"/>
        <v>32595.033131658271</v>
      </c>
      <c r="F41" s="86">
        <f t="shared" ca="1" si="18"/>
        <v>41813.482156084698</v>
      </c>
      <c r="G41" s="86">
        <f t="shared" ca="1" si="18"/>
        <v>53762.524086290432</v>
      </c>
      <c r="H41" s="86">
        <f t="shared" ca="1" si="18"/>
        <v>65785.075832899485</v>
      </c>
      <c r="I41" s="86">
        <f t="shared" ca="1" si="18"/>
        <v>76581.181971366052</v>
      </c>
      <c r="J41" s="86">
        <f t="shared" ca="1" si="18"/>
        <v>84620.006396288984</v>
      </c>
      <c r="K41" s="86">
        <f t="shared" ca="1" si="18"/>
        <v>88484.777213920301</v>
      </c>
      <c r="L41" s="86">
        <f t="shared" si="18"/>
        <v>87232.259194971353</v>
      </c>
      <c r="M41" s="318">
        <f t="shared" si="18"/>
        <v>88243.88913580346</v>
      </c>
    </row>
    <row r="42" spans="1:15" x14ac:dyDescent="0.2">
      <c r="A42" s="151" t="s">
        <v>337</v>
      </c>
      <c r="B42" s="321">
        <f>'Vekst for fremtidsregnskap'!N120</f>
        <v>8.2513302718857054E-2</v>
      </c>
      <c r="C42" s="321">
        <f>'Vekst for fremtidsregnskap'!O120</f>
        <v>8.2513302718857054E-2</v>
      </c>
      <c r="D42" s="321">
        <f>'Vekst for fremtidsregnskap'!P120</f>
        <v>8.2513302718857054E-2</v>
      </c>
      <c r="E42" s="321">
        <f>'Vekst for fremtidsregnskap'!Q120</f>
        <v>8.2513302718857054E-2</v>
      </c>
      <c r="F42" s="321">
        <f>'Vekst for fremtidsregnskap'!R120</f>
        <v>8.2513302718857054E-2</v>
      </c>
      <c r="G42" s="321">
        <f>'Vekst for fremtidsregnskap'!S120</f>
        <v>8.2513302718857054E-2</v>
      </c>
      <c r="H42" s="321">
        <f>G42+($L$42-$G$42)/5</f>
        <v>8.7170642175085647E-2</v>
      </c>
      <c r="I42" s="321">
        <f>H42+($L$42-$G$42)/5</f>
        <v>9.182798163131424E-2</v>
      </c>
      <c r="J42" s="321">
        <f>I42+($L$42-$G$42)/5</f>
        <v>9.6485321087542833E-2</v>
      </c>
      <c r="K42" s="321">
        <f>J42+($L$42-$G$42)/5</f>
        <v>0.10114266054377143</v>
      </c>
      <c r="L42" s="321">
        <f>'Input for DCF'!$B$25</f>
        <v>0.10580000000000001</v>
      </c>
      <c r="M42" s="324">
        <f>'Input for DCF'!$B$25</f>
        <v>0.10580000000000001</v>
      </c>
    </row>
    <row r="43" spans="1:15" ht="34" x14ac:dyDescent="0.2">
      <c r="A43" s="346" t="s">
        <v>524</v>
      </c>
      <c r="B43" s="290">
        <f t="shared" ref="B43:M43" ca="1" si="19">B41*(1-B42)</f>
        <v>13813.276709305213</v>
      </c>
      <c r="C43" s="290">
        <f>C41*(1-C42)</f>
        <v>12779.466977313219</v>
      </c>
      <c r="D43" s="290">
        <f t="shared" ca="1" si="19"/>
        <v>23274.77294033927</v>
      </c>
      <c r="E43" s="290">
        <f t="shared" ca="1" si="19"/>
        <v>29905.509295734577</v>
      </c>
      <c r="F43" s="290">
        <f t="shared" ca="1" si="19"/>
        <v>38363.313645210153</v>
      </c>
      <c r="G43" s="290">
        <f t="shared" ca="1" si="19"/>
        <v>49326.40066142851</v>
      </c>
      <c r="H43" s="290">
        <f t="shared" ca="1" si="19"/>
        <v>60050.548527008934</v>
      </c>
      <c r="I43" s="290">
        <f t="shared" ca="1" si="19"/>
        <v>69548.886599995123</v>
      </c>
      <c r="J43" s="290">
        <f t="shared" ca="1" si="19"/>
        <v>76455.41790871312</v>
      </c>
      <c r="K43" s="290">
        <f t="shared" ca="1" si="19"/>
        <v>79535.191428881517</v>
      </c>
      <c r="L43" s="290">
        <f t="shared" si="19"/>
        <v>78003.08617214339</v>
      </c>
      <c r="M43" s="291">
        <f t="shared" si="19"/>
        <v>78907.685665235447</v>
      </c>
    </row>
    <row r="44" spans="1:15" x14ac:dyDescent="0.2">
      <c r="A44" s="345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286"/>
    </row>
    <row r="45" spans="1:15" x14ac:dyDescent="0.2">
      <c r="A45" s="151" t="s">
        <v>408</v>
      </c>
      <c r="B45" s="325">
        <f t="shared" ref="B45:F45" si="20">$B$62</f>
        <v>5.4024628616106334</v>
      </c>
      <c r="C45" s="325">
        <f t="shared" si="20"/>
        <v>5.4024628616106334</v>
      </c>
      <c r="D45" s="325">
        <f t="shared" si="20"/>
        <v>5.4024628616106334</v>
      </c>
      <c r="E45" s="325">
        <f t="shared" si="20"/>
        <v>5.4024628616106334</v>
      </c>
      <c r="F45" s="325">
        <f t="shared" si="20"/>
        <v>5.4024628616106334</v>
      </c>
      <c r="G45" s="325">
        <f>$B$62</f>
        <v>5.4024628616106334</v>
      </c>
      <c r="H45" s="325">
        <f>$G$45*$B$63</f>
        <v>3.6016419077404223</v>
      </c>
      <c r="I45" s="325">
        <f>$G$45*$B$63</f>
        <v>3.6016419077404223</v>
      </c>
      <c r="J45" s="325">
        <f>$G$45*$B$63</f>
        <v>3.6016419077404223</v>
      </c>
      <c r="K45" s="325">
        <f>$G$45*$B$63</f>
        <v>3.6016419077404223</v>
      </c>
      <c r="L45" s="325">
        <f>$G$45*$B$63</f>
        <v>3.6016419077404223</v>
      </c>
      <c r="M45" s="7"/>
    </row>
    <row r="46" spans="1:15" ht="35" customHeight="1" x14ac:dyDescent="0.2">
      <c r="A46" s="296" t="s">
        <v>525</v>
      </c>
      <c r="B46" s="168">
        <f>(Resultatregnskap!B12-Resultatregnskap!C12)/B45</f>
        <v>5116</v>
      </c>
      <c r="C46" s="168">
        <f t="shared" ref="C46:L46" si="21">(C24-B24)/C45</f>
        <v>4588.0916307393827</v>
      </c>
      <c r="D46" s="168">
        <f t="shared" si="21"/>
        <v>5995.0974578735177</v>
      </c>
      <c r="E46" s="168">
        <f t="shared" si="21"/>
        <v>7835.7008317060572</v>
      </c>
      <c r="F46" s="168">
        <f t="shared" si="21"/>
        <v>10244.024080460846</v>
      </c>
      <c r="G46" s="168">
        <f t="shared" si="21"/>
        <v>13395.801388116761</v>
      </c>
      <c r="H46" s="168">
        <f t="shared" si="21"/>
        <v>21539.664704004153</v>
      </c>
      <c r="I46" s="168">
        <f t="shared" si="21"/>
        <v>21039.219667309564</v>
      </c>
      <c r="J46" s="168">
        <f t="shared" si="21"/>
        <v>18072.428688426251</v>
      </c>
      <c r="K46" s="168">
        <f t="shared" si="21"/>
        <v>12508.832160594398</v>
      </c>
      <c r="L46" s="168">
        <f t="shared" si="21"/>
        <v>4765.19637449527</v>
      </c>
      <c r="M46" s="7"/>
      <c r="O46" s="86"/>
    </row>
    <row r="47" spans="1:15" ht="17" x14ac:dyDescent="0.2">
      <c r="A47" s="296" t="s">
        <v>445</v>
      </c>
      <c r="B47" s="168">
        <f>'Prognose av F&amp;U'!B8-'Prognose av F&amp;U'!B7</f>
        <v>1418.4167076940785</v>
      </c>
      <c r="C47" s="168">
        <f>'Prognose av F&amp;U'!C8-'Prognose av F&amp;U'!C7</f>
        <v>2015.3844491174223</v>
      </c>
      <c r="D47" s="168">
        <f>'Prognose av F&amp;U'!D8-'Prognose av F&amp;U'!D7</f>
        <v>2728.5531496624453</v>
      </c>
      <c r="E47" s="168">
        <f>'Prognose av F&amp;U'!E8-'Prognose av F&amp;U'!E7</f>
        <v>3549.1602690009636</v>
      </c>
      <c r="F47" s="168">
        <f>'Prognose av F&amp;U'!F8-'Prognose av F&amp;U'!F7</f>
        <v>4570.910139743266</v>
      </c>
      <c r="G47" s="168">
        <f>'Prognose av F&amp;U'!G8-'Prognose av F&amp;U'!G7</f>
        <v>6037.9895649205537</v>
      </c>
      <c r="H47" s="168">
        <f>'Prognose av F&amp;U'!H8-'Prognose av F&amp;U'!H7</f>
        <v>7250.974032584365</v>
      </c>
      <c r="I47" s="168">
        <f>'Prognose av F&amp;U'!I8-'Prognose av F&amp;U'!I7</f>
        <v>7997.3726152421805</v>
      </c>
      <c r="J47" s="168">
        <f>'Prognose av F&amp;U'!J8-'Prognose av F&amp;U'!J7</f>
        <v>8012.8704949852472</v>
      </c>
      <c r="K47" s="168">
        <f>'Prognose av F&amp;U'!K8-'Prognose av F&amp;U'!K7</f>
        <v>7100.1628469278694</v>
      </c>
      <c r="L47" s="168">
        <f>'Prognose av F&amp;U'!L8-'Prognose av F&amp;U'!L7</f>
        <v>5212.3697597936443</v>
      </c>
      <c r="M47" s="202"/>
      <c r="O47" s="86"/>
    </row>
    <row r="48" spans="1:15" ht="17" x14ac:dyDescent="0.2">
      <c r="A48" s="72" t="s">
        <v>444</v>
      </c>
      <c r="B48" s="311">
        <f>B46+B47</f>
        <v>6534.4167076940785</v>
      </c>
      <c r="C48" s="311">
        <f t="shared" ref="C48:K48" si="22">C46+C47</f>
        <v>6603.476079856805</v>
      </c>
      <c r="D48" s="311">
        <f t="shared" si="22"/>
        <v>8723.650607535963</v>
      </c>
      <c r="E48" s="311">
        <f t="shared" si="22"/>
        <v>11384.861100707021</v>
      </c>
      <c r="F48" s="311">
        <f t="shared" si="22"/>
        <v>14814.934220204112</v>
      </c>
      <c r="G48" s="311">
        <f t="shared" si="22"/>
        <v>19433.790953037314</v>
      </c>
      <c r="H48" s="311">
        <f>H46+H47</f>
        <v>28790.638736588517</v>
      </c>
      <c r="I48" s="311">
        <f t="shared" si="22"/>
        <v>29036.592282551745</v>
      </c>
      <c r="J48" s="311">
        <f t="shared" si="22"/>
        <v>26085.299183411498</v>
      </c>
      <c r="K48" s="311">
        <f t="shared" si="22"/>
        <v>19608.995007522266</v>
      </c>
      <c r="L48" s="311">
        <f>L46+L47</f>
        <v>9977.5661342889143</v>
      </c>
      <c r="M48" s="326">
        <f>M7/B64*M43</f>
        <v>23580.630779082167</v>
      </c>
    </row>
    <row r="49" spans="1:13" x14ac:dyDescent="0.2">
      <c r="A49" s="151"/>
      <c r="M49" s="7"/>
    </row>
    <row r="50" spans="1:13" x14ac:dyDescent="0.2">
      <c r="A50" s="19" t="s">
        <v>513</v>
      </c>
      <c r="B50" s="290">
        <f ca="1">B43-B48</f>
        <v>7278.860001611135</v>
      </c>
      <c r="C50" s="290">
        <f t="shared" ref="C50:L50" si="23">C43-C48</f>
        <v>6175.9908974564141</v>
      </c>
      <c r="D50" s="290">
        <f ca="1">D43-D48</f>
        <v>14551.122332803307</v>
      </c>
      <c r="E50" s="290">
        <f t="shared" ca="1" si="23"/>
        <v>18520.648195027556</v>
      </c>
      <c r="F50" s="290">
        <f t="shared" ca="1" si="23"/>
        <v>23548.379425006042</v>
      </c>
      <c r="G50" s="290">
        <f t="shared" ca="1" si="23"/>
        <v>29892.609708391195</v>
      </c>
      <c r="H50" s="290">
        <f t="shared" ca="1" si="23"/>
        <v>31259.909790420417</v>
      </c>
      <c r="I50" s="290">
        <f t="shared" ca="1" si="23"/>
        <v>40512.294317443375</v>
      </c>
      <c r="J50" s="290">
        <f t="shared" ca="1" si="23"/>
        <v>50370.118725301625</v>
      </c>
      <c r="K50" s="290">
        <f t="shared" ca="1" si="23"/>
        <v>59926.196421359251</v>
      </c>
      <c r="L50" s="290">
        <f t="shared" si="23"/>
        <v>68025.520037854469</v>
      </c>
      <c r="M50" s="291">
        <f>M43-M48</f>
        <v>55327.054886153281</v>
      </c>
    </row>
    <row r="51" spans="1:13" x14ac:dyDescent="0.2">
      <c r="A51" s="151"/>
      <c r="M51" s="7"/>
    </row>
    <row r="52" spans="1:13" x14ac:dyDescent="0.2">
      <c r="A52" s="151" t="s">
        <v>4</v>
      </c>
      <c r="C52" s="5">
        <f>IF('Input for DCF'!$B$32="markedsverdi",'CAPM og WACC'!$B$23,IF('Input for DCF'!$B$32="bokverdi",'CAPM og WACC'!$B$22,IF('Input for DCF'!$B$32="egendefinert",'Input for DCF'!$B$33,)))</f>
        <v>0.10038877212975061</v>
      </c>
      <c r="D52" s="5">
        <f>IF('Input for DCF'!$B$32="markedsverdi",'CAPM og WACC'!$B$23,IF('Input for DCF'!$B$32="bokverdi",'CAPM og WACC'!$B$22,IF('Input for DCF'!$B$32="egendefinert",'Input for DCF'!$B$33,)))</f>
        <v>0.10038877212975061</v>
      </c>
      <c r="E52" s="5">
        <f>IF('Input for DCF'!$B$32="markedsverdi",'CAPM og WACC'!$B$23,IF('Input for DCF'!$B$32="bokverdi",'CAPM og WACC'!$B$22,IF('Input for DCF'!$B$32="egendefinert",'Input for DCF'!$B$33,)))</f>
        <v>0.10038877212975061</v>
      </c>
      <c r="F52" s="5">
        <f>IF('Input for DCF'!$B$32="markedsverdi",'CAPM og WACC'!$B$23,IF('Input for DCF'!$B$32="bokverdi",'CAPM og WACC'!$B$22,IF('Input for DCF'!$B$32="egendefinert",'Input for DCF'!$B$33,)))</f>
        <v>0.10038877212975061</v>
      </c>
      <c r="G52" s="5">
        <f>IF('Input for DCF'!$B$32="markedsverdi",'CAPM og WACC'!$B$23,IF('Input for DCF'!$B$32="bokverdi",'CAPM og WACC'!$B$22,IF('Input for DCF'!$B$32="egendefinert",'Input for DCF'!$B$33,)))</f>
        <v>0.10038877212975061</v>
      </c>
      <c r="H52" s="5">
        <f>IF('Input for DCF'!$B$32="markedsverdi",'CAPM og WACC'!$B$23,IF('Input for DCF'!$B$32="bokverdi",'CAPM og WACC'!$B$22,IF('Input for DCF'!$B$32="egendefinert",'Input for DCF'!$B$33,)))</f>
        <v>0.10038877212975061</v>
      </c>
      <c r="I52" s="5">
        <f>IF('Input for DCF'!$B$32="markedsverdi",'CAPM og WACC'!$B$23,IF('Input for DCF'!$B$32="bokverdi",'CAPM og WACC'!$B$22,IF('Input for DCF'!$B$32="egendefinert",'Input for DCF'!$B$33,)))</f>
        <v>0.10038877212975061</v>
      </c>
      <c r="J52" s="5">
        <f>IF('Input for DCF'!$B$32="markedsverdi",'CAPM og WACC'!$B$23,IF('Input for DCF'!$B$32="bokverdi",'CAPM og WACC'!$B$22,IF('Input for DCF'!$B$32="egendefinert",'Input for DCF'!$B$33,)))</f>
        <v>0.10038877212975061</v>
      </c>
      <c r="K52" s="5">
        <f>IF('Input for DCF'!$B$32="markedsverdi",'CAPM og WACC'!$B$23,IF('Input for DCF'!$B$32="bokverdi",'CAPM og WACC'!$B$22,IF('Input for DCF'!$B$32="egendefinert",'Input for DCF'!$B$33,)))</f>
        <v>0.10038877212975061</v>
      </c>
      <c r="L52" s="5">
        <f>IF('Input for DCF'!$B$32="markedsverdi",'CAPM og WACC'!$B$23,IF('Input for DCF'!$B$32="bokverdi",'CAPM og WACC'!$B$22,IF('Input for DCF'!$B$32="egendefinert",'Input for DCF'!$B$33,)))</f>
        <v>0.10038877212975061</v>
      </c>
      <c r="M52" s="267">
        <f>IF('Input for DCF'!$B$32="markedsverdi",'CAPM og WACC'!$B$23,IF('Input for DCF'!$B$32="bokverdi",'CAPM og WACC'!$B$22,IF('Input for DCF'!$B$32="egendefinert",'Input for DCF'!$B$33,)))</f>
        <v>0.10038877212975061</v>
      </c>
    </row>
    <row r="53" spans="1:13" x14ac:dyDescent="0.2">
      <c r="A53" s="151" t="s">
        <v>473</v>
      </c>
      <c r="C53" s="293">
        <f t="shared" ref="C53:L53" si="24">(1+C52)^C4</f>
        <v>1.1003887721297505</v>
      </c>
      <c r="D53" s="293">
        <f t="shared" si="24"/>
        <v>1.2108554498292199</v>
      </c>
      <c r="E53" s="293">
        <f t="shared" si="24"/>
        <v>1.3324117416641921</v>
      </c>
      <c r="F53" s="293">
        <f t="shared" si="24"/>
        <v>1.4661709203811224</v>
      </c>
      <c r="G53" s="293">
        <f t="shared" si="24"/>
        <v>1.6133580188105294</v>
      </c>
      <c r="H53" s="293">
        <f t="shared" si="24"/>
        <v>1.7753210493246052</v>
      </c>
      <c r="I53" s="293">
        <f t="shared" si="24"/>
        <v>1.9535433496024028</v>
      </c>
      <c r="J53" s="293">
        <f t="shared" si="24"/>
        <v>2.1496571677712275</v>
      </c>
      <c r="K53" s="293">
        <f t="shared" si="24"/>
        <v>2.3654586113436982</v>
      </c>
      <c r="L53" s="293">
        <f t="shared" si="24"/>
        <v>2.6029240968602365</v>
      </c>
      <c r="M53" s="294">
        <f>(1+M52)^L4</f>
        <v>2.6029240968602365</v>
      </c>
    </row>
    <row r="54" spans="1:13" x14ac:dyDescent="0.2">
      <c r="A54" s="19" t="s">
        <v>514</v>
      </c>
      <c r="B54" s="169"/>
      <c r="C54" s="97">
        <f>C50/C53</f>
        <v>5612.553539148782</v>
      </c>
      <c r="D54" s="97">
        <f t="shared" ref="D54:L54" ca="1" si="25">D50/D53</f>
        <v>12017.224958483368</v>
      </c>
      <c r="E54" s="97">
        <f t="shared" ca="1" si="25"/>
        <v>13900.093804258382</v>
      </c>
      <c r="F54" s="97">
        <f t="shared" ca="1" si="25"/>
        <v>16061.14205217273</v>
      </c>
      <c r="G54" s="97">
        <f t="shared" ca="1" si="25"/>
        <v>18528.193593651293</v>
      </c>
      <c r="H54" s="97">
        <f t="shared" ca="1" si="25"/>
        <v>17608.031968253174</v>
      </c>
      <c r="I54" s="97">
        <f t="shared" ca="1" si="25"/>
        <v>20737.852746236058</v>
      </c>
      <c r="J54" s="97">
        <f t="shared" ca="1" si="25"/>
        <v>23431.698542668342</v>
      </c>
      <c r="K54" s="97">
        <f t="shared" ca="1" si="25"/>
        <v>25333.859630424136</v>
      </c>
      <c r="L54" s="97">
        <f t="shared" si="25"/>
        <v>26134.269577783652</v>
      </c>
      <c r="M54" s="201"/>
    </row>
    <row r="56" spans="1:13" x14ac:dyDescent="0.2">
      <c r="M56" s="170"/>
    </row>
    <row r="57" spans="1:13" x14ac:dyDescent="0.2"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70"/>
    </row>
    <row r="58" spans="1:13" x14ac:dyDescent="0.2">
      <c r="A58" s="60" t="s">
        <v>519</v>
      </c>
      <c r="B58" s="276">
        <f>Balanse!J58</f>
        <v>35054.199999999997</v>
      </c>
      <c r="C58" s="265">
        <f>B58+C48</f>
        <v>41657.676079856799</v>
      </c>
      <c r="D58" s="265">
        <f t="shared" ref="D58:K58" si="26">C58+D48</f>
        <v>50381.326687392764</v>
      </c>
      <c r="E58" s="265">
        <f t="shared" si="26"/>
        <v>61766.187788099785</v>
      </c>
      <c r="F58" s="265">
        <f t="shared" si="26"/>
        <v>76581.122008303893</v>
      </c>
      <c r="G58" s="265">
        <f>F58+G48</f>
        <v>96014.912961341208</v>
      </c>
      <c r="H58" s="265">
        <f t="shared" si="26"/>
        <v>124805.55169792972</v>
      </c>
      <c r="I58" s="265">
        <f t="shared" si="26"/>
        <v>153842.14398048146</v>
      </c>
      <c r="J58" s="265">
        <f t="shared" si="26"/>
        <v>179927.44316389295</v>
      </c>
      <c r="K58" s="265">
        <f t="shared" si="26"/>
        <v>199536.43817141521</v>
      </c>
      <c r="L58" s="266">
        <f>K58+L48</f>
        <v>209514.00430570412</v>
      </c>
      <c r="M58" s="86"/>
    </row>
    <row r="59" spans="1:13" x14ac:dyDescent="0.2">
      <c r="A59" s="63" t="s">
        <v>520</v>
      </c>
      <c r="B59" s="444">
        <f ca="1">B43/B58</f>
        <v>0.39405482679123227</v>
      </c>
      <c r="C59" s="444">
        <f t="shared" ref="C59:L59" si="27">C43/C58</f>
        <v>0.30677340120498509</v>
      </c>
      <c r="D59" s="444">
        <f t="shared" ca="1" si="27"/>
        <v>0.46197221214032586</v>
      </c>
      <c r="E59" s="444">
        <f t="shared" ca="1" si="27"/>
        <v>0.48417281957453651</v>
      </c>
      <c r="F59" s="444">
        <f t="shared" ca="1" si="27"/>
        <v>0.50095000751034069</v>
      </c>
      <c r="G59" s="444">
        <f t="shared" ca="1" si="27"/>
        <v>0.5137368679518457</v>
      </c>
      <c r="H59" s="444">
        <f t="shared" ca="1" si="27"/>
        <v>0.48115286307415966</v>
      </c>
      <c r="I59" s="444">
        <f t="shared" ca="1" si="27"/>
        <v>0.45207954595860972</v>
      </c>
      <c r="J59" s="444">
        <f t="shared" ca="1" si="27"/>
        <v>0.42492360567293302</v>
      </c>
      <c r="K59" s="444">
        <f t="shared" ca="1" si="27"/>
        <v>0.39859983548746841</v>
      </c>
      <c r="L59" s="66">
        <f t="shared" si="27"/>
        <v>0.37230487971738757</v>
      </c>
      <c r="M59" s="13"/>
    </row>
    <row r="60" spans="1:13" x14ac:dyDescent="0.2">
      <c r="A60" s="12"/>
      <c r="B60" s="13"/>
      <c r="C60" s="182"/>
      <c r="D60" s="13"/>
      <c r="E60" s="13"/>
      <c r="F60" s="13"/>
      <c r="G60" s="13"/>
      <c r="H60" s="13"/>
      <c r="I60" s="13"/>
      <c r="J60" s="13"/>
      <c r="K60" s="13"/>
      <c r="L60" s="13"/>
    </row>
    <row r="62" spans="1:13" x14ac:dyDescent="0.2">
      <c r="A62" s="60" t="s">
        <v>446</v>
      </c>
      <c r="B62" s="445">
        <f>'Input for DCF'!B28</f>
        <v>5.4024628616106334</v>
      </c>
    </row>
    <row r="63" spans="1:13" x14ac:dyDescent="0.2">
      <c r="A63" s="151" t="s">
        <v>447</v>
      </c>
      <c r="B63" s="446">
        <f>'Input for DCF'!B29</f>
        <v>0.66666666666666663</v>
      </c>
    </row>
    <row r="64" spans="1:13" x14ac:dyDescent="0.2">
      <c r="A64" s="63" t="s">
        <v>388</v>
      </c>
      <c r="B64" s="447">
        <f>'Input for DCF'!B17</f>
        <v>0.10038877212975061</v>
      </c>
    </row>
    <row r="66" spans="1:12" x14ac:dyDescent="0.2">
      <c r="A66" s="20" t="s">
        <v>289</v>
      </c>
      <c r="B66" s="448">
        <f ca="1">B48/B43</f>
        <v>0.47305334173840274</v>
      </c>
      <c r="C66" s="448">
        <f>C48/C43</f>
        <v>0.51672546997301549</v>
      </c>
      <c r="D66" s="448">
        <f t="shared" ref="D66:L66" ca="1" si="28">D48/D43</f>
        <v>0.37481141620145925</v>
      </c>
      <c r="E66" s="448">
        <f t="shared" ca="1" si="28"/>
        <v>0.38069443954699156</v>
      </c>
      <c r="F66" s="448">
        <f t="shared" ca="1" si="28"/>
        <v>0.38617451967822464</v>
      </c>
      <c r="G66" s="448">
        <f t="shared" ca="1" si="28"/>
        <v>0.39398356037426924</v>
      </c>
      <c r="H66" s="448">
        <f t="shared" ca="1" si="28"/>
        <v>0.47944006246070092</v>
      </c>
      <c r="I66" s="448">
        <f t="shared" ca="1" si="28"/>
        <v>0.41749902409729994</v>
      </c>
      <c r="J66" s="448">
        <f t="shared" ca="1" si="28"/>
        <v>0.34118313517764093</v>
      </c>
      <c r="K66" s="448">
        <f t="shared" ca="1" si="28"/>
        <v>0.24654488981844175</v>
      </c>
      <c r="L66" s="449">
        <f t="shared" si="28"/>
        <v>0.12791245351843683</v>
      </c>
    </row>
    <row r="69" spans="1:12" x14ac:dyDescent="0.2">
      <c r="A69" s="60" t="s">
        <v>435</v>
      </c>
      <c r="B69" s="266">
        <f>M43</f>
        <v>78907.685665235447</v>
      </c>
    </row>
    <row r="70" spans="1:12" x14ac:dyDescent="0.2">
      <c r="A70" s="151" t="s">
        <v>516</v>
      </c>
      <c r="B70" s="267">
        <f>'Input for DCF'!B16</f>
        <v>0.03</v>
      </c>
      <c r="D70" s="11"/>
    </row>
    <row r="71" spans="1:12" x14ac:dyDescent="0.2">
      <c r="A71" s="151" t="s">
        <v>436</v>
      </c>
      <c r="B71" s="453">
        <f>(1-M7/B64)</f>
        <v>0.70116179963606329</v>
      </c>
      <c r="C71" t="s">
        <v>566</v>
      </c>
      <c r="D71" s="11"/>
    </row>
    <row r="72" spans="1:12" x14ac:dyDescent="0.2">
      <c r="A72" s="63" t="s">
        <v>515</v>
      </c>
      <c r="B72" s="452">
        <f>M52</f>
        <v>0.10038877212975061</v>
      </c>
    </row>
    <row r="73" spans="1:12" x14ac:dyDescent="0.2">
      <c r="A73" s="151"/>
      <c r="B73" s="267"/>
    </row>
    <row r="74" spans="1:12" x14ac:dyDescent="0.2">
      <c r="A74" s="151" t="s">
        <v>320</v>
      </c>
      <c r="B74" s="202">
        <f>(B69*B71)/(B72-B70)</f>
        <v>786021.02596940554</v>
      </c>
    </row>
    <row r="75" spans="1:12" x14ac:dyDescent="0.2">
      <c r="A75" s="151"/>
      <c r="B75" s="202"/>
    </row>
    <row r="76" spans="1:12" x14ac:dyDescent="0.2">
      <c r="A76" s="151" t="s">
        <v>355</v>
      </c>
      <c r="B76" s="202">
        <f>B74/(1+L52)^L4</f>
        <v>301976.16093282908</v>
      </c>
    </row>
    <row r="77" spans="1:12" x14ac:dyDescent="0.2">
      <c r="A77" s="151" t="s">
        <v>354</v>
      </c>
      <c r="B77" s="202">
        <f ca="1">SUM(C54:L54)</f>
        <v>179364.9204130799</v>
      </c>
    </row>
    <row r="78" spans="1:12" x14ac:dyDescent="0.2">
      <c r="A78" s="151"/>
      <c r="B78" s="202"/>
    </row>
    <row r="79" spans="1:12" x14ac:dyDescent="0.2">
      <c r="A79" s="20" t="s">
        <v>356</v>
      </c>
      <c r="B79" s="451">
        <f ca="1">B76+B77</f>
        <v>481341.08134590898</v>
      </c>
    </row>
    <row r="80" spans="1:12" x14ac:dyDescent="0.2">
      <c r="A80" s="151" t="s">
        <v>518</v>
      </c>
      <c r="B80" s="348">
        <v>5748</v>
      </c>
    </row>
    <row r="81" spans="1:3" x14ac:dyDescent="0.2">
      <c r="A81" s="151" t="s">
        <v>358</v>
      </c>
      <c r="B81" s="202">
        <f>Balanse!B7+Balanse!B8</f>
        <v>22185</v>
      </c>
    </row>
    <row r="82" spans="1:3" x14ac:dyDescent="0.2">
      <c r="A82" s="151" t="s">
        <v>359</v>
      </c>
      <c r="B82" s="202">
        <f ca="1">B79-B80+B81</f>
        <v>497778.08134590898</v>
      </c>
    </row>
    <row r="83" spans="1:3" x14ac:dyDescent="0.2">
      <c r="A83" s="151" t="s">
        <v>517</v>
      </c>
      <c r="B83" s="202">
        <v>3146</v>
      </c>
    </row>
    <row r="84" spans="1:3" x14ac:dyDescent="0.2">
      <c r="A84" s="344" t="s">
        <v>360</v>
      </c>
      <c r="B84" s="450">
        <f ca="1">B82/B83</f>
        <v>158.22570926443387</v>
      </c>
    </row>
    <row r="86" spans="1:3" x14ac:dyDescent="0.2">
      <c r="A86" s="246" t="s">
        <v>457</v>
      </c>
      <c r="B86" s="359"/>
    </row>
    <row r="87" spans="1:3" x14ac:dyDescent="0.2">
      <c r="A87" s="454">
        <f ca="1">(B84*0.75)+('Multippel analyse'!C47*0.25)</f>
        <v>141.38778744625748</v>
      </c>
      <c r="B87" s="7" t="s">
        <v>461</v>
      </c>
    </row>
    <row r="88" spans="1:3" x14ac:dyDescent="0.2">
      <c r="A88" s="455">
        <f ca="1">(B84*0.8)+('Multippel analyse'!C47*0.2)</f>
        <v>144.75537180989278</v>
      </c>
      <c r="B88" s="7" t="s">
        <v>458</v>
      </c>
    </row>
    <row r="89" spans="1:3" x14ac:dyDescent="0.2">
      <c r="A89" s="521">
        <f ca="1">(B84*0.9)+('Multippel analyse'!C47*0.1)</f>
        <v>151.49054053716333</v>
      </c>
      <c r="B89" s="124" t="s">
        <v>459</v>
      </c>
      <c r="C89" t="s">
        <v>581</v>
      </c>
    </row>
    <row r="90" spans="1:3" x14ac:dyDescent="0.2">
      <c r="A90" s="456">
        <f ca="1">(B84*0.95)+('Multippel analyse'!C47*0.05)</f>
        <v>154.8581249007986</v>
      </c>
      <c r="B90" s="8" t="s">
        <v>460</v>
      </c>
    </row>
    <row r="93" spans="1:3" x14ac:dyDescent="0.2">
      <c r="A93" s="80"/>
    </row>
    <row r="94" spans="1:3" x14ac:dyDescent="0.2">
      <c r="A94" s="80"/>
    </row>
    <row r="95" spans="1:3" x14ac:dyDescent="0.2">
      <c r="A95" s="80"/>
    </row>
    <row r="96" spans="1:3" x14ac:dyDescent="0.2">
      <c r="A96" s="80"/>
    </row>
    <row r="97" spans="1:3" x14ac:dyDescent="0.2">
      <c r="A97" s="166"/>
    </row>
    <row r="99" spans="1:3" x14ac:dyDescent="0.2">
      <c r="A99" s="80"/>
      <c r="B99" s="11"/>
      <c r="C99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1AD90-1A8D-744A-881F-0456F4F8C710}">
  <dimension ref="A1:Y65"/>
  <sheetViews>
    <sheetView topLeftCell="A3" zoomScale="61" workbookViewId="0">
      <selection activeCell="H68" sqref="H68"/>
    </sheetView>
  </sheetViews>
  <sheetFormatPr baseColWidth="10" defaultRowHeight="16" x14ac:dyDescent="0.2"/>
  <cols>
    <col min="1" max="1" width="43.5" bestFit="1" customWidth="1"/>
    <col min="2" max="6" width="11.33203125" bestFit="1" customWidth="1"/>
    <col min="9" max="9" width="36.33203125" bestFit="1" customWidth="1"/>
    <col min="19" max="19" width="30.33203125" customWidth="1"/>
  </cols>
  <sheetData>
    <row r="1" spans="1:15" ht="29" x14ac:dyDescent="0.35">
      <c r="A1" s="118"/>
      <c r="B1" s="100"/>
      <c r="C1" s="100"/>
      <c r="D1" s="100"/>
      <c r="E1" s="100"/>
      <c r="F1" s="100"/>
    </row>
    <row r="2" spans="1:15" ht="21" x14ac:dyDescent="0.25">
      <c r="A2" s="327" t="s">
        <v>530</v>
      </c>
      <c r="B2" s="100"/>
      <c r="C2" s="100"/>
      <c r="D2" s="100"/>
      <c r="E2" s="100"/>
      <c r="F2" s="100"/>
      <c r="I2" s="327" t="s">
        <v>531</v>
      </c>
    </row>
    <row r="3" spans="1:15" x14ac:dyDescent="0.2">
      <c r="A3" s="100"/>
      <c r="B3" s="100"/>
      <c r="C3" s="100"/>
      <c r="D3" s="100"/>
      <c r="E3" s="100"/>
      <c r="F3" s="100"/>
      <c r="I3" t="s">
        <v>532</v>
      </c>
    </row>
    <row r="4" spans="1:15" x14ac:dyDescent="0.2">
      <c r="A4" s="100"/>
      <c r="B4" s="100"/>
      <c r="C4" s="100"/>
      <c r="D4" s="100"/>
      <c r="E4" s="100"/>
      <c r="F4" s="100"/>
    </row>
    <row r="5" spans="1:15" x14ac:dyDescent="0.2">
      <c r="A5" s="249" t="s">
        <v>127</v>
      </c>
      <c r="B5" s="376">
        <v>2022</v>
      </c>
      <c r="C5" s="376">
        <v>2021</v>
      </c>
      <c r="D5" s="376">
        <v>2020</v>
      </c>
      <c r="E5" s="376">
        <v>2019</v>
      </c>
      <c r="F5" s="376">
        <v>2018</v>
      </c>
      <c r="G5" s="377">
        <v>2017</v>
      </c>
      <c r="I5" s="249" t="s">
        <v>127</v>
      </c>
      <c r="J5" s="376">
        <v>2022</v>
      </c>
      <c r="K5" s="376">
        <v>2021</v>
      </c>
      <c r="L5" s="376">
        <v>2020</v>
      </c>
      <c r="M5" s="376">
        <v>2019</v>
      </c>
      <c r="N5" s="376">
        <v>2018</v>
      </c>
      <c r="O5" s="377">
        <v>2017</v>
      </c>
    </row>
    <row r="6" spans="1:15" x14ac:dyDescent="0.2">
      <c r="A6" s="415"/>
      <c r="B6" s="374"/>
      <c r="C6" s="374"/>
      <c r="D6" s="374"/>
      <c r="E6" s="374"/>
      <c r="F6" s="374"/>
      <c r="G6" s="377"/>
      <c r="H6" s="416"/>
      <c r="I6" s="415"/>
      <c r="J6" s="374"/>
      <c r="K6" s="374"/>
      <c r="L6" s="374"/>
      <c r="M6" s="374"/>
      <c r="N6" s="374"/>
      <c r="O6" s="377"/>
    </row>
    <row r="7" spans="1:15" x14ac:dyDescent="0.2">
      <c r="A7" s="414" t="s">
        <v>533</v>
      </c>
      <c r="B7" s="417"/>
      <c r="C7" s="417"/>
      <c r="D7" s="417"/>
      <c r="E7" s="417"/>
      <c r="F7" s="417"/>
      <c r="G7" s="383"/>
      <c r="H7" s="384"/>
      <c r="I7" s="414" t="s">
        <v>533</v>
      </c>
      <c r="J7" s="417"/>
      <c r="K7" s="417"/>
      <c r="L7" s="417"/>
      <c r="M7" s="417"/>
      <c r="N7" s="417"/>
      <c r="O7" s="378"/>
    </row>
    <row r="8" spans="1:15" x14ac:dyDescent="0.2">
      <c r="A8" s="108" t="s">
        <v>202</v>
      </c>
      <c r="B8" s="104">
        <v>12587</v>
      </c>
      <c r="C8" s="104">
        <v>5644</v>
      </c>
      <c r="D8" s="104">
        <v>862</v>
      </c>
      <c r="E8" s="104">
        <v>-775</v>
      </c>
      <c r="F8" s="104">
        <v>-1063</v>
      </c>
      <c r="G8" s="328"/>
      <c r="I8" s="108" t="s">
        <v>202</v>
      </c>
      <c r="J8" s="125">
        <f>Resultatregnskap!K32</f>
        <v>14009</v>
      </c>
      <c r="K8" s="125">
        <f>Resultatregnskap!L32</f>
        <v>6936</v>
      </c>
      <c r="L8" s="125">
        <f>Resultatregnskap!M32</f>
        <v>1206</v>
      </c>
      <c r="M8" s="125">
        <f>Resultatregnskap!N32</f>
        <v>-403</v>
      </c>
      <c r="N8" s="125">
        <f>Resultatregnskap!O32</f>
        <v>-326</v>
      </c>
      <c r="O8" s="379">
        <f>Resultatregnskap!P32</f>
        <v>-2240</v>
      </c>
    </row>
    <row r="9" spans="1:15" ht="32" x14ac:dyDescent="0.2">
      <c r="A9" s="102" t="s">
        <v>243</v>
      </c>
      <c r="B9" s="104">
        <v>3747</v>
      </c>
      <c r="C9" s="104">
        <v>2911</v>
      </c>
      <c r="D9" s="104">
        <v>2322</v>
      </c>
      <c r="E9" s="104">
        <v>2154</v>
      </c>
      <c r="F9" s="104">
        <v>1901</v>
      </c>
      <c r="G9" s="330">
        <v>1636</v>
      </c>
      <c r="I9" s="119" t="s">
        <v>243</v>
      </c>
      <c r="J9" s="125">
        <v>3747</v>
      </c>
      <c r="K9" s="125">
        <v>2911</v>
      </c>
      <c r="L9" s="125">
        <v>2322</v>
      </c>
      <c r="M9" s="125">
        <v>2154</v>
      </c>
      <c r="N9" s="125">
        <v>1901</v>
      </c>
      <c r="O9" s="379">
        <v>1636</v>
      </c>
    </row>
    <row r="10" spans="1:15" x14ac:dyDescent="0.2">
      <c r="A10" s="102" t="s">
        <v>244</v>
      </c>
      <c r="B10" s="104">
        <v>1560</v>
      </c>
      <c r="C10" s="104">
        <v>2121</v>
      </c>
      <c r="D10" s="104">
        <v>1734</v>
      </c>
      <c r="E10" s="104">
        <v>898</v>
      </c>
      <c r="F10" s="104">
        <v>749</v>
      </c>
      <c r="G10" s="328"/>
      <c r="I10" s="122" t="s">
        <v>177</v>
      </c>
      <c r="J10" s="126">
        <f>-Resultatregnskap!K18</f>
        <v>1653</v>
      </c>
      <c r="K10" s="126">
        <f>-Resultatregnskap!L18</f>
        <v>1301</v>
      </c>
      <c r="L10" s="126">
        <f>-Resultatregnskap!M18</f>
        <v>1147</v>
      </c>
      <c r="M10" s="126">
        <f>-Resultatregnskap!N18</f>
        <v>971</v>
      </c>
      <c r="N10" s="126">
        <f>-Resultatregnskap!O18</f>
        <v>725</v>
      </c>
      <c r="O10" s="380">
        <f>-Resultatregnskap!P18</f>
        <v>505</v>
      </c>
    </row>
    <row r="11" spans="1:15" ht="32" x14ac:dyDescent="0.2">
      <c r="A11" s="102" t="s">
        <v>245</v>
      </c>
      <c r="B11" s="104">
        <v>177</v>
      </c>
      <c r="C11" s="104">
        <v>140</v>
      </c>
      <c r="D11" s="104">
        <v>202</v>
      </c>
      <c r="E11" s="104">
        <v>193</v>
      </c>
      <c r="F11" s="104">
        <v>85</v>
      </c>
      <c r="G11" s="328"/>
      <c r="I11" s="102" t="s">
        <v>244</v>
      </c>
      <c r="J11" s="125">
        <v>1560</v>
      </c>
      <c r="K11" s="125">
        <v>2121</v>
      </c>
      <c r="L11" s="125">
        <v>1734</v>
      </c>
      <c r="M11" s="125">
        <v>898</v>
      </c>
      <c r="N11" s="125">
        <v>749</v>
      </c>
      <c r="O11" s="96"/>
    </row>
    <row r="12" spans="1:15" ht="32" x14ac:dyDescent="0.2">
      <c r="A12" s="102" t="s">
        <v>246</v>
      </c>
      <c r="B12" s="104">
        <v>81</v>
      </c>
      <c r="C12" s="104">
        <v>-55</v>
      </c>
      <c r="D12" s="104">
        <v>114</v>
      </c>
      <c r="E12" s="104">
        <v>-48</v>
      </c>
      <c r="F12" s="104">
        <v>-2</v>
      </c>
      <c r="G12" s="328"/>
      <c r="I12" s="102" t="s">
        <v>245</v>
      </c>
      <c r="J12" s="125">
        <v>177</v>
      </c>
      <c r="K12" s="125">
        <v>140</v>
      </c>
      <c r="L12" s="125">
        <v>202</v>
      </c>
      <c r="M12" s="125">
        <v>193</v>
      </c>
      <c r="N12" s="125">
        <v>85</v>
      </c>
      <c r="O12" s="96"/>
    </row>
    <row r="13" spans="1:15" ht="32" x14ac:dyDescent="0.2">
      <c r="A13" s="102" t="s">
        <v>247</v>
      </c>
      <c r="B13" s="104">
        <v>340</v>
      </c>
      <c r="C13" s="104">
        <v>245</v>
      </c>
      <c r="D13" s="104">
        <v>525</v>
      </c>
      <c r="E13" s="104">
        <v>520</v>
      </c>
      <c r="F13" s="104">
        <v>369</v>
      </c>
      <c r="G13" s="328"/>
      <c r="I13" s="102" t="s">
        <v>246</v>
      </c>
      <c r="J13" s="125">
        <v>81</v>
      </c>
      <c r="K13" s="125">
        <v>-55</v>
      </c>
      <c r="L13" s="125">
        <v>114</v>
      </c>
      <c r="M13" s="125">
        <v>-48</v>
      </c>
      <c r="N13" s="125">
        <v>-2</v>
      </c>
      <c r="O13" s="96"/>
    </row>
    <row r="14" spans="1:15" ht="32" x14ac:dyDescent="0.2">
      <c r="A14" s="102" t="s">
        <v>248</v>
      </c>
      <c r="B14" s="104">
        <v>140</v>
      </c>
      <c r="C14" s="104">
        <v>-27</v>
      </c>
      <c r="D14" s="104" t="s">
        <v>184</v>
      </c>
      <c r="E14" s="104" t="s">
        <v>184</v>
      </c>
      <c r="F14" s="104" t="s">
        <v>184</v>
      </c>
      <c r="G14" s="328"/>
      <c r="I14" s="102" t="s">
        <v>247</v>
      </c>
      <c r="J14" s="125">
        <v>340</v>
      </c>
      <c r="K14" s="125">
        <v>245</v>
      </c>
      <c r="L14" s="125">
        <v>525</v>
      </c>
      <c r="M14" s="125">
        <v>520</v>
      </c>
      <c r="N14" s="125">
        <v>369</v>
      </c>
      <c r="O14" s="96"/>
    </row>
    <row r="15" spans="1:15" ht="32" x14ac:dyDescent="0.2">
      <c r="A15" s="102" t="s">
        <v>249</v>
      </c>
      <c r="B15" s="104" t="s">
        <v>184</v>
      </c>
      <c r="C15" s="104" t="s">
        <v>184</v>
      </c>
      <c r="D15" s="104" t="s">
        <v>184</v>
      </c>
      <c r="E15" s="104">
        <v>-188</v>
      </c>
      <c r="F15" s="104" t="s">
        <v>184</v>
      </c>
      <c r="G15" s="328"/>
      <c r="I15" s="102" t="s">
        <v>248</v>
      </c>
      <c r="J15" s="125">
        <v>140</v>
      </c>
      <c r="K15" s="125">
        <v>-27</v>
      </c>
      <c r="L15" s="125" t="s">
        <v>184</v>
      </c>
      <c r="M15" s="125" t="s">
        <v>184</v>
      </c>
      <c r="N15" s="125" t="s">
        <v>184</v>
      </c>
      <c r="O15" s="96"/>
    </row>
    <row r="16" spans="1:15" ht="32" x14ac:dyDescent="0.2">
      <c r="A16" s="375" t="s">
        <v>250</v>
      </c>
      <c r="B16" s="104">
        <v>-1124</v>
      </c>
      <c r="C16" s="104">
        <v>-130</v>
      </c>
      <c r="D16" s="104">
        <v>-652</v>
      </c>
      <c r="E16" s="104">
        <v>-367</v>
      </c>
      <c r="F16" s="104">
        <v>-497</v>
      </c>
      <c r="G16" s="330">
        <v>-25</v>
      </c>
      <c r="I16" s="102" t="s">
        <v>249</v>
      </c>
      <c r="J16" s="125" t="s">
        <v>184</v>
      </c>
      <c r="K16" s="125" t="s">
        <v>184</v>
      </c>
      <c r="L16" s="125" t="s">
        <v>184</v>
      </c>
      <c r="M16" s="125">
        <v>-188</v>
      </c>
      <c r="N16" s="125" t="s">
        <v>184</v>
      </c>
      <c r="O16" s="96"/>
    </row>
    <row r="17" spans="1:25" x14ac:dyDescent="0.2">
      <c r="A17" s="375" t="s">
        <v>47</v>
      </c>
      <c r="B17" s="104">
        <v>-6465</v>
      </c>
      <c r="C17" s="104">
        <v>-1709</v>
      </c>
      <c r="D17" s="104">
        <v>-422</v>
      </c>
      <c r="E17" s="104">
        <v>-429</v>
      </c>
      <c r="F17" s="104">
        <v>-1023</v>
      </c>
      <c r="G17" s="330">
        <v>-179</v>
      </c>
      <c r="I17" s="119" t="s">
        <v>250</v>
      </c>
      <c r="J17" s="125">
        <v>-1124</v>
      </c>
      <c r="K17" s="125">
        <v>-130</v>
      </c>
      <c r="L17" s="125">
        <v>-652</v>
      </c>
      <c r="M17" s="125">
        <v>-367</v>
      </c>
      <c r="N17" s="125">
        <v>-497</v>
      </c>
      <c r="O17" s="379">
        <v>-25</v>
      </c>
    </row>
    <row r="18" spans="1:25" x14ac:dyDescent="0.2">
      <c r="A18" s="375" t="s">
        <v>251</v>
      </c>
      <c r="B18" s="104">
        <v>-1570</v>
      </c>
      <c r="C18" s="104">
        <v>-2114</v>
      </c>
      <c r="D18" s="104">
        <v>-1072</v>
      </c>
      <c r="E18" s="104">
        <v>-764</v>
      </c>
      <c r="F18" s="104">
        <v>-215</v>
      </c>
      <c r="G18" s="330">
        <v>-1523</v>
      </c>
      <c r="I18" s="119" t="s">
        <v>47</v>
      </c>
      <c r="J18" s="125">
        <v>-6465</v>
      </c>
      <c r="K18" s="125">
        <v>-1709</v>
      </c>
      <c r="L18" s="125">
        <v>-422</v>
      </c>
      <c r="M18" s="125">
        <v>-429</v>
      </c>
      <c r="N18" s="125">
        <v>-1023</v>
      </c>
      <c r="O18" s="379">
        <v>-179</v>
      </c>
      <c r="S18" s="119"/>
      <c r="T18" s="125"/>
      <c r="U18" s="125"/>
      <c r="V18" s="125"/>
      <c r="W18" s="125"/>
      <c r="X18" s="125"/>
      <c r="Y18" s="125"/>
    </row>
    <row r="19" spans="1:25" x14ac:dyDescent="0.2">
      <c r="A19" s="375" t="s">
        <v>48</v>
      </c>
      <c r="B19" s="104">
        <v>-1417</v>
      </c>
      <c r="C19" s="104">
        <v>-271</v>
      </c>
      <c r="D19" s="104">
        <v>-251</v>
      </c>
      <c r="E19" s="104">
        <v>-288</v>
      </c>
      <c r="F19" s="104">
        <v>-82</v>
      </c>
      <c r="G19" s="330">
        <v>-72</v>
      </c>
      <c r="I19" s="119" t="s">
        <v>251</v>
      </c>
      <c r="J19" s="125">
        <v>-1570</v>
      </c>
      <c r="K19" s="125">
        <v>-2114</v>
      </c>
      <c r="L19" s="125">
        <v>-1072</v>
      </c>
      <c r="M19" s="125">
        <v>-764</v>
      </c>
      <c r="N19" s="125">
        <v>-215</v>
      </c>
      <c r="O19" s="379">
        <v>-1523</v>
      </c>
      <c r="S19" s="119"/>
      <c r="T19" s="125"/>
      <c r="U19" s="125"/>
      <c r="V19" s="125"/>
      <c r="W19" s="125"/>
      <c r="X19" s="125"/>
      <c r="Y19" s="125"/>
    </row>
    <row r="20" spans="1:25" ht="32" x14ac:dyDescent="0.2">
      <c r="A20" s="375" t="s">
        <v>216</v>
      </c>
      <c r="B20" s="104">
        <v>-2551</v>
      </c>
      <c r="C20" s="104">
        <v>-1291</v>
      </c>
      <c r="D20" s="104">
        <v>-344</v>
      </c>
      <c r="E20" s="104">
        <v>115</v>
      </c>
      <c r="F20" s="104">
        <v>-207</v>
      </c>
      <c r="G20" s="330">
        <v>-15</v>
      </c>
      <c r="I20" s="119" t="s">
        <v>48</v>
      </c>
      <c r="J20" s="125">
        <v>-1417</v>
      </c>
      <c r="K20" s="125">
        <v>-271</v>
      </c>
      <c r="L20" s="125">
        <v>-251</v>
      </c>
      <c r="M20" s="125">
        <v>-288</v>
      </c>
      <c r="N20" s="125">
        <v>-82</v>
      </c>
      <c r="O20" s="379">
        <v>-72</v>
      </c>
      <c r="S20" s="119"/>
      <c r="T20" s="125"/>
      <c r="U20" s="125"/>
      <c r="V20" s="125"/>
      <c r="W20" s="125"/>
      <c r="X20" s="125"/>
      <c r="Y20" s="125"/>
    </row>
    <row r="21" spans="1:25" x14ac:dyDescent="0.2">
      <c r="A21" s="375" t="s">
        <v>252</v>
      </c>
      <c r="B21" s="104">
        <v>6029</v>
      </c>
      <c r="C21" s="104">
        <v>4578</v>
      </c>
      <c r="D21" s="104">
        <v>2102</v>
      </c>
      <c r="E21" s="104">
        <v>646</v>
      </c>
      <c r="F21" s="104">
        <v>1723</v>
      </c>
      <c r="G21" s="330">
        <v>388</v>
      </c>
      <c r="I21" s="119" t="s">
        <v>216</v>
      </c>
      <c r="J21" s="125">
        <v>-2551</v>
      </c>
      <c r="K21" s="125">
        <v>-1291</v>
      </c>
      <c r="L21" s="125">
        <v>-344</v>
      </c>
      <c r="M21" s="125">
        <v>115</v>
      </c>
      <c r="N21" s="125">
        <v>-207</v>
      </c>
      <c r="O21" s="379">
        <v>-15</v>
      </c>
      <c r="S21" s="119"/>
      <c r="T21" s="125"/>
      <c r="U21" s="125"/>
      <c r="V21" s="125"/>
      <c r="W21" s="125"/>
      <c r="X21" s="125"/>
      <c r="Y21" s="125"/>
    </row>
    <row r="22" spans="1:25" ht="32" x14ac:dyDescent="0.2">
      <c r="A22" s="375" t="s">
        <v>219</v>
      </c>
      <c r="B22" s="104">
        <v>1131</v>
      </c>
      <c r="C22" s="104">
        <v>793</v>
      </c>
      <c r="D22" s="104">
        <v>321</v>
      </c>
      <c r="E22" s="104">
        <v>801</v>
      </c>
      <c r="F22" s="104">
        <v>407</v>
      </c>
      <c r="G22" s="330">
        <v>487</v>
      </c>
      <c r="I22" s="119" t="s">
        <v>252</v>
      </c>
      <c r="J22" s="125">
        <v>6029</v>
      </c>
      <c r="K22" s="125">
        <v>4578</v>
      </c>
      <c r="L22" s="125">
        <v>2102</v>
      </c>
      <c r="M22" s="125">
        <v>646</v>
      </c>
      <c r="N22" s="125">
        <v>1723</v>
      </c>
      <c r="O22" s="379">
        <v>388</v>
      </c>
      <c r="S22" s="119"/>
      <c r="T22" s="125"/>
      <c r="U22" s="125"/>
      <c r="V22" s="125"/>
      <c r="W22" s="125"/>
      <c r="X22" s="125"/>
      <c r="Y22" s="125"/>
    </row>
    <row r="23" spans="1:25" x14ac:dyDescent="0.2">
      <c r="A23" s="375" t="s">
        <v>220</v>
      </c>
      <c r="B23" s="104">
        <v>155</v>
      </c>
      <c r="C23" s="104">
        <v>186</v>
      </c>
      <c r="D23" s="104">
        <v>7</v>
      </c>
      <c r="E23" s="104">
        <v>-58</v>
      </c>
      <c r="F23" s="104">
        <v>-97</v>
      </c>
      <c r="G23" s="330">
        <v>170</v>
      </c>
      <c r="I23" s="119" t="s">
        <v>219</v>
      </c>
      <c r="J23" s="125">
        <v>1131</v>
      </c>
      <c r="K23" s="125">
        <v>793</v>
      </c>
      <c r="L23" s="125">
        <v>321</v>
      </c>
      <c r="M23" s="125">
        <v>801</v>
      </c>
      <c r="N23" s="125">
        <v>407</v>
      </c>
      <c r="O23" s="379">
        <v>487</v>
      </c>
      <c r="S23" s="119"/>
      <c r="T23" s="125"/>
      <c r="U23" s="125"/>
      <c r="V23" s="125"/>
      <c r="W23" s="125"/>
      <c r="X23" s="125"/>
      <c r="Y23" s="125"/>
    </row>
    <row r="24" spans="1:25" x14ac:dyDescent="0.2">
      <c r="A24" s="119" t="s">
        <v>230</v>
      </c>
      <c r="B24" s="104">
        <v>1904</v>
      </c>
      <c r="C24" s="104">
        <v>476</v>
      </c>
      <c r="D24" s="104">
        <v>495</v>
      </c>
      <c r="E24" s="104">
        <v>-5</v>
      </c>
      <c r="F24" s="104">
        <v>49</v>
      </c>
      <c r="G24" s="330">
        <v>290</v>
      </c>
      <c r="I24" s="119" t="s">
        <v>220</v>
      </c>
      <c r="J24" s="125">
        <v>155</v>
      </c>
      <c r="K24" s="125">
        <v>186</v>
      </c>
      <c r="L24" s="125">
        <v>7</v>
      </c>
      <c r="M24" s="125">
        <v>-58</v>
      </c>
      <c r="N24" s="125">
        <v>-97</v>
      </c>
      <c r="O24" s="379">
        <v>170</v>
      </c>
      <c r="S24" s="119"/>
      <c r="T24" s="125"/>
      <c r="U24" s="125"/>
      <c r="V24" s="125"/>
      <c r="W24" s="125"/>
      <c r="X24" s="125"/>
      <c r="Y24" s="125"/>
    </row>
    <row r="25" spans="1:25" x14ac:dyDescent="0.2">
      <c r="H25" s="120"/>
      <c r="I25" s="119" t="s">
        <v>230</v>
      </c>
      <c r="J25" s="125">
        <v>1904</v>
      </c>
      <c r="K25" s="125">
        <v>476</v>
      </c>
      <c r="L25" s="125">
        <v>495</v>
      </c>
      <c r="M25" s="125">
        <v>-5</v>
      </c>
      <c r="N25" s="125">
        <v>49</v>
      </c>
      <c r="O25" s="379">
        <v>290</v>
      </c>
      <c r="S25" s="119"/>
      <c r="T25" s="125"/>
      <c r="U25" s="125"/>
      <c r="V25" s="125"/>
      <c r="W25" s="125"/>
      <c r="X25" s="125"/>
      <c r="Y25" s="125"/>
    </row>
    <row r="26" spans="1:25" ht="32" x14ac:dyDescent="0.2">
      <c r="A26" s="109" t="s">
        <v>253</v>
      </c>
      <c r="B26" s="121">
        <f>SUM(B8:B24)</f>
        <v>14724</v>
      </c>
      <c r="C26" s="121">
        <f>SUM(C8:C24)</f>
        <v>11497</v>
      </c>
      <c r="D26" s="121">
        <f>SUM(D8:D24)</f>
        <v>5943</v>
      </c>
      <c r="E26" s="121">
        <f>SUM(E8:E24)</f>
        <v>2405</v>
      </c>
      <c r="F26" s="121">
        <f>SUM(F8:F24)</f>
        <v>2097</v>
      </c>
      <c r="I26" s="109" t="s">
        <v>253</v>
      </c>
      <c r="J26" s="127">
        <f>SUM(J8:J25)</f>
        <v>17799</v>
      </c>
      <c r="K26" s="127">
        <f>SUM(K8:K25)</f>
        <v>14090</v>
      </c>
      <c r="L26" s="127">
        <f>SUM(L8:L25)</f>
        <v>7434</v>
      </c>
      <c r="M26" s="127">
        <f>SUM(M8:M25)</f>
        <v>3748</v>
      </c>
      <c r="N26" s="127">
        <f>SUM(N8:N25)</f>
        <v>3559</v>
      </c>
      <c r="O26" s="96"/>
      <c r="S26" s="119"/>
      <c r="T26" s="125"/>
      <c r="U26" s="125"/>
      <c r="V26" s="125"/>
      <c r="W26" s="125"/>
      <c r="X26" s="125"/>
      <c r="Y26" s="125"/>
    </row>
    <row r="27" spans="1:25" x14ac:dyDescent="0.2">
      <c r="H27" s="120"/>
      <c r="J27" s="46"/>
      <c r="K27" s="46"/>
      <c r="L27" s="46"/>
      <c r="M27" s="46"/>
      <c r="N27" s="46"/>
      <c r="O27" s="96"/>
      <c r="P27" s="120"/>
      <c r="S27" s="110"/>
      <c r="T27" s="127"/>
      <c r="U27" s="127"/>
      <c r="V27" s="127"/>
      <c r="W27" s="127"/>
      <c r="X27" s="127"/>
      <c r="Y27" s="127"/>
    </row>
    <row r="28" spans="1:25" x14ac:dyDescent="0.2">
      <c r="H28" s="120"/>
      <c r="J28" s="46"/>
      <c r="K28" s="46"/>
      <c r="L28" s="46"/>
      <c r="M28" s="46"/>
      <c r="N28" s="46"/>
      <c r="O28" s="96"/>
      <c r="P28" s="120"/>
      <c r="S28" s="110"/>
      <c r="T28" s="127"/>
      <c r="U28" s="127"/>
      <c r="V28" s="127"/>
      <c r="W28" s="127"/>
      <c r="X28" s="127"/>
      <c r="Y28" s="127"/>
    </row>
    <row r="29" spans="1:25" x14ac:dyDescent="0.2">
      <c r="A29" s="414" t="s">
        <v>550</v>
      </c>
      <c r="B29" s="414"/>
      <c r="C29" s="414"/>
      <c r="D29" s="414"/>
      <c r="E29" s="414"/>
      <c r="F29" s="414"/>
      <c r="G29" s="382"/>
      <c r="H29" s="382"/>
      <c r="I29" s="414" t="s">
        <v>550</v>
      </c>
      <c r="J29" s="414"/>
      <c r="K29" s="414"/>
      <c r="L29" s="414"/>
      <c r="M29" s="414"/>
      <c r="N29" s="414"/>
    </row>
    <row r="30" spans="1:25" ht="32" x14ac:dyDescent="0.2">
      <c r="A30" s="108" t="s">
        <v>254</v>
      </c>
      <c r="B30" s="104">
        <v>-7158</v>
      </c>
      <c r="C30" s="104">
        <v>-6482</v>
      </c>
      <c r="D30" s="104">
        <v>-3157</v>
      </c>
      <c r="E30" s="104">
        <v>-1327</v>
      </c>
      <c r="F30" s="104">
        <v>-2101</v>
      </c>
      <c r="G30" s="330">
        <v>-3415</v>
      </c>
      <c r="I30" s="108" t="s">
        <v>254</v>
      </c>
      <c r="J30" s="125">
        <v>-7158</v>
      </c>
      <c r="K30" s="125">
        <v>-6482</v>
      </c>
      <c r="L30" s="125">
        <v>-3157</v>
      </c>
      <c r="M30" s="125">
        <v>-1327</v>
      </c>
      <c r="N30" s="125">
        <v>-2101</v>
      </c>
      <c r="O30" s="379">
        <v>-3415</v>
      </c>
    </row>
    <row r="31" spans="1:25" x14ac:dyDescent="0.2">
      <c r="A31" s="108" t="s">
        <v>255</v>
      </c>
      <c r="B31" s="104">
        <v>-5</v>
      </c>
      <c r="C31" s="104">
        <v>-32</v>
      </c>
      <c r="D31" s="104">
        <v>-75</v>
      </c>
      <c r="E31" s="104">
        <v>-105</v>
      </c>
      <c r="F31" s="104">
        <v>-219</v>
      </c>
      <c r="G31" s="330">
        <v>-667</v>
      </c>
      <c r="I31" s="123" t="s">
        <v>286</v>
      </c>
      <c r="J31" s="126">
        <f>-'Aktivering av historisk F&amp;U'!H12</f>
        <v>-3075</v>
      </c>
      <c r="K31" s="126">
        <f>-'Aktivering av historisk F&amp;U'!I12</f>
        <v>-2593</v>
      </c>
      <c r="L31" s="126">
        <f>-'Aktivering av historisk F&amp;U'!J12</f>
        <v>-1491</v>
      </c>
      <c r="M31" s="126">
        <f>-'Aktivering av historisk F&amp;U'!K12</f>
        <v>-1343</v>
      </c>
      <c r="N31" s="126">
        <f>-'Aktivering av historisk F&amp;U'!L12</f>
        <v>-1460</v>
      </c>
      <c r="O31" s="380">
        <f>-'Aktivering av historisk F&amp;U'!M12</f>
        <v>-1378</v>
      </c>
    </row>
    <row r="32" spans="1:25" ht="32" x14ac:dyDescent="0.2">
      <c r="A32" s="108" t="s">
        <v>256</v>
      </c>
      <c r="B32" s="104">
        <v>0</v>
      </c>
      <c r="C32" s="104">
        <v>-1500</v>
      </c>
      <c r="D32" s="104">
        <v>0</v>
      </c>
      <c r="E32" s="104">
        <v>0</v>
      </c>
      <c r="F32" s="104">
        <v>0</v>
      </c>
      <c r="I32" s="108" t="s">
        <v>255</v>
      </c>
      <c r="J32" s="125">
        <v>-5</v>
      </c>
      <c r="K32" s="125">
        <v>-32</v>
      </c>
      <c r="L32" s="125">
        <v>-75</v>
      </c>
      <c r="M32" s="125">
        <v>-105</v>
      </c>
      <c r="N32" s="125">
        <v>-219</v>
      </c>
      <c r="O32" s="379">
        <v>-667</v>
      </c>
    </row>
    <row r="33" spans="1:15" x14ac:dyDescent="0.2">
      <c r="A33" s="108" t="s">
        <v>257</v>
      </c>
      <c r="B33" s="104">
        <v>936</v>
      </c>
      <c r="C33" s="104">
        <v>272</v>
      </c>
      <c r="D33" s="104">
        <v>0</v>
      </c>
      <c r="E33" s="104">
        <v>0</v>
      </c>
      <c r="F33" s="104">
        <v>0</v>
      </c>
      <c r="I33" s="108" t="s">
        <v>256</v>
      </c>
      <c r="J33" s="125">
        <v>0</v>
      </c>
      <c r="K33" s="125">
        <v>-1500</v>
      </c>
      <c r="L33" s="125">
        <v>0</v>
      </c>
      <c r="M33" s="125">
        <v>0</v>
      </c>
      <c r="N33" s="125">
        <v>0</v>
      </c>
      <c r="O33" s="46"/>
    </row>
    <row r="34" spans="1:15" x14ac:dyDescent="0.2">
      <c r="A34" s="108" t="s">
        <v>258</v>
      </c>
      <c r="B34" s="104">
        <v>-9</v>
      </c>
      <c r="C34" s="104">
        <v>0</v>
      </c>
      <c r="D34" s="104">
        <v>-10</v>
      </c>
      <c r="E34" s="104">
        <v>-5</v>
      </c>
      <c r="F34" s="104">
        <v>0</v>
      </c>
      <c r="I34" s="108" t="s">
        <v>257</v>
      </c>
      <c r="J34" s="125">
        <v>936</v>
      </c>
      <c r="K34" s="125">
        <v>272</v>
      </c>
      <c r="L34" s="125">
        <v>0</v>
      </c>
      <c r="M34" s="125">
        <v>0</v>
      </c>
      <c r="N34" s="125">
        <v>0</v>
      </c>
      <c r="O34" s="46"/>
    </row>
    <row r="35" spans="1:15" x14ac:dyDescent="0.2">
      <c r="A35" s="108" t="s">
        <v>259</v>
      </c>
      <c r="B35" s="104">
        <v>-5835</v>
      </c>
      <c r="C35" s="104">
        <v>-132</v>
      </c>
      <c r="D35" s="104">
        <v>0</v>
      </c>
      <c r="E35" s="104">
        <v>0</v>
      </c>
      <c r="F35" s="104">
        <v>0</v>
      </c>
      <c r="I35" s="108" t="s">
        <v>258</v>
      </c>
      <c r="J35" s="125">
        <v>-9</v>
      </c>
      <c r="K35" s="125">
        <v>0</v>
      </c>
      <c r="L35" s="125">
        <v>-10</v>
      </c>
      <c r="M35" s="125">
        <v>-5</v>
      </c>
      <c r="N35" s="125">
        <v>0</v>
      </c>
      <c r="O35" s="46"/>
    </row>
    <row r="36" spans="1:15" x14ac:dyDescent="0.2">
      <c r="A36" s="108" t="s">
        <v>260</v>
      </c>
      <c r="B36" s="104">
        <v>22</v>
      </c>
      <c r="C36" s="104">
        <v>0</v>
      </c>
      <c r="D36" s="104">
        <v>0</v>
      </c>
      <c r="E36" s="104">
        <v>0</v>
      </c>
      <c r="F36" s="104">
        <v>0</v>
      </c>
      <c r="I36" s="108" t="s">
        <v>259</v>
      </c>
      <c r="J36" s="125">
        <v>-5835</v>
      </c>
      <c r="K36" s="125">
        <v>-132</v>
      </c>
      <c r="L36" s="125">
        <v>0</v>
      </c>
      <c r="M36" s="125">
        <v>0</v>
      </c>
      <c r="N36" s="125">
        <v>0</v>
      </c>
      <c r="O36" s="46"/>
    </row>
    <row r="37" spans="1:15" x14ac:dyDescent="0.2">
      <c r="A37" s="108" t="s">
        <v>261</v>
      </c>
      <c r="B37" s="104">
        <v>76</v>
      </c>
      <c r="C37" s="104">
        <v>6</v>
      </c>
      <c r="D37" s="104">
        <v>123</v>
      </c>
      <c r="E37" s="104">
        <v>46</v>
      </c>
      <c r="F37" s="104" t="s">
        <v>184</v>
      </c>
      <c r="I37" s="108" t="s">
        <v>260</v>
      </c>
      <c r="J37" s="125">
        <v>22</v>
      </c>
      <c r="K37" s="125">
        <v>0</v>
      </c>
      <c r="L37" s="125">
        <v>0</v>
      </c>
      <c r="M37" s="125">
        <v>0</v>
      </c>
      <c r="N37" s="125">
        <v>0</v>
      </c>
      <c r="O37" s="46"/>
    </row>
    <row r="38" spans="1:15" x14ac:dyDescent="0.2">
      <c r="A38" s="108" t="s">
        <v>262</v>
      </c>
      <c r="B38" s="104">
        <v>0</v>
      </c>
      <c r="C38" s="104">
        <v>0</v>
      </c>
      <c r="D38" s="104">
        <v>-13</v>
      </c>
      <c r="E38" s="104">
        <v>-45</v>
      </c>
      <c r="F38" s="104">
        <v>-18</v>
      </c>
      <c r="I38" s="108" t="s">
        <v>261</v>
      </c>
      <c r="J38" s="125">
        <v>76</v>
      </c>
      <c r="K38" s="125">
        <v>6</v>
      </c>
      <c r="L38" s="125">
        <v>123</v>
      </c>
      <c r="M38" s="125">
        <v>46</v>
      </c>
      <c r="N38" s="125">
        <v>0</v>
      </c>
      <c r="O38" s="46"/>
    </row>
    <row r="39" spans="1:15" ht="32" x14ac:dyDescent="0.2">
      <c r="I39" s="108" t="s">
        <v>262</v>
      </c>
      <c r="J39" s="125" t="s">
        <v>184</v>
      </c>
      <c r="K39" s="125" t="s">
        <v>184</v>
      </c>
      <c r="L39" s="125">
        <v>-13</v>
      </c>
      <c r="M39" s="125">
        <v>-45</v>
      </c>
      <c r="N39" s="125">
        <v>-18</v>
      </c>
      <c r="O39" s="46"/>
    </row>
    <row r="40" spans="1:15" x14ac:dyDescent="0.2">
      <c r="A40" s="109" t="s">
        <v>263</v>
      </c>
      <c r="B40" s="106">
        <f>SUM(B30:B38)</f>
        <v>-11973</v>
      </c>
      <c r="C40" s="106">
        <f>SUM(C30:C38)</f>
        <v>-7868</v>
      </c>
      <c r="D40" s="106">
        <f>SUM(D30:D38)</f>
        <v>-3132</v>
      </c>
      <c r="E40" s="106">
        <f>SUM(E30:E38)</f>
        <v>-1436</v>
      </c>
      <c r="F40" s="106">
        <v>-2337</v>
      </c>
      <c r="I40" s="109" t="s">
        <v>263</v>
      </c>
      <c r="J40" s="128">
        <f>SUM(J30:J39)</f>
        <v>-15048</v>
      </c>
      <c r="K40" s="128">
        <f t="shared" ref="K40:M40" si="0">SUM(K30:K39)</f>
        <v>-10461</v>
      </c>
      <c r="L40" s="128">
        <f t="shared" si="0"/>
        <v>-4623</v>
      </c>
      <c r="M40" s="128">
        <f t="shared" si="0"/>
        <v>-2779</v>
      </c>
      <c r="N40" s="128">
        <v>-3799</v>
      </c>
      <c r="O40" s="46"/>
    </row>
    <row r="43" spans="1:15" x14ac:dyDescent="0.2">
      <c r="A43" s="414" t="s">
        <v>551</v>
      </c>
      <c r="B43" s="6"/>
      <c r="C43" s="6"/>
      <c r="D43" s="6"/>
      <c r="E43" s="6"/>
      <c r="F43" s="6"/>
      <c r="I43" s="414" t="s">
        <v>551</v>
      </c>
      <c r="J43" s="6"/>
      <c r="K43" s="6"/>
      <c r="L43" s="6"/>
      <c r="M43" s="6"/>
      <c r="N43" s="6"/>
      <c r="O43" s="46"/>
    </row>
    <row r="44" spans="1:15" ht="32" x14ac:dyDescent="0.2">
      <c r="A44" s="108" t="s">
        <v>264</v>
      </c>
      <c r="B44" s="104">
        <v>0</v>
      </c>
      <c r="C44" s="104">
        <v>0</v>
      </c>
      <c r="D44" s="104">
        <v>12269</v>
      </c>
      <c r="E44" s="104">
        <v>848</v>
      </c>
      <c r="F44" s="104">
        <v>0</v>
      </c>
      <c r="I44" s="108" t="s">
        <v>264</v>
      </c>
      <c r="J44" s="125">
        <v>0</v>
      </c>
      <c r="K44" s="125">
        <v>0</v>
      </c>
      <c r="L44" s="125">
        <v>12269</v>
      </c>
      <c r="M44" s="125">
        <v>848</v>
      </c>
      <c r="N44" s="125">
        <v>0</v>
      </c>
      <c r="O44" s="46"/>
    </row>
    <row r="45" spans="1:15" x14ac:dyDescent="0.2">
      <c r="A45" s="108" t="s">
        <v>265</v>
      </c>
      <c r="B45" s="104">
        <v>0</v>
      </c>
      <c r="C45" s="104">
        <v>8883</v>
      </c>
      <c r="D45" s="104">
        <v>9713</v>
      </c>
      <c r="E45" s="104">
        <v>10669</v>
      </c>
      <c r="F45" s="104">
        <v>6176</v>
      </c>
      <c r="I45" s="108" t="s">
        <v>265</v>
      </c>
      <c r="J45" s="125">
        <v>0</v>
      </c>
      <c r="K45" s="125">
        <v>8883</v>
      </c>
      <c r="L45" s="125">
        <v>9713</v>
      </c>
      <c r="M45" s="125">
        <v>10669</v>
      </c>
      <c r="N45" s="125">
        <v>6176</v>
      </c>
      <c r="O45" s="46"/>
    </row>
    <row r="46" spans="1:15" x14ac:dyDescent="0.2">
      <c r="A46" s="108" t="s">
        <v>266</v>
      </c>
      <c r="B46" s="104">
        <v>-3364</v>
      </c>
      <c r="C46" s="104">
        <v>-14167</v>
      </c>
      <c r="D46" s="104">
        <v>-11623</v>
      </c>
      <c r="E46" s="104">
        <v>-9161</v>
      </c>
      <c r="F46" s="104">
        <v>-5247</v>
      </c>
      <c r="I46" s="108" t="s">
        <v>266</v>
      </c>
      <c r="J46" s="125">
        <v>-3364</v>
      </c>
      <c r="K46" s="125">
        <v>-14167</v>
      </c>
      <c r="L46" s="125">
        <v>-11623</v>
      </c>
      <c r="M46" s="125">
        <v>-9161</v>
      </c>
      <c r="N46" s="125">
        <v>-5247</v>
      </c>
      <c r="O46" s="46"/>
    </row>
    <row r="47" spans="1:15" ht="32" x14ac:dyDescent="0.2">
      <c r="A47" s="108" t="s">
        <v>267</v>
      </c>
      <c r="B47" s="104">
        <v>0</v>
      </c>
      <c r="C47" s="104">
        <v>0</v>
      </c>
      <c r="D47" s="104">
        <v>0</v>
      </c>
      <c r="E47" s="104">
        <v>0</v>
      </c>
      <c r="F47" s="104">
        <v>-100</v>
      </c>
      <c r="I47" s="108" t="s">
        <v>267</v>
      </c>
      <c r="J47" s="125">
        <v>0</v>
      </c>
      <c r="K47" s="125">
        <v>0</v>
      </c>
      <c r="L47" s="125">
        <v>0</v>
      </c>
      <c r="M47" s="125">
        <v>0</v>
      </c>
      <c r="N47" s="125">
        <v>-100</v>
      </c>
      <c r="O47" s="46"/>
    </row>
    <row r="48" spans="1:15" x14ac:dyDescent="0.2">
      <c r="A48" s="108" t="s">
        <v>268</v>
      </c>
      <c r="B48" s="104">
        <v>0</v>
      </c>
      <c r="C48" s="104">
        <v>-9</v>
      </c>
      <c r="D48" s="104">
        <v>-240</v>
      </c>
      <c r="E48" s="104">
        <v>-389</v>
      </c>
      <c r="F48" s="104">
        <v>-559</v>
      </c>
      <c r="I48" s="108" t="s">
        <v>268</v>
      </c>
      <c r="J48" s="125">
        <v>0</v>
      </c>
      <c r="K48" s="125">
        <v>-9</v>
      </c>
      <c r="L48" s="125">
        <v>-240</v>
      </c>
      <c r="M48" s="125">
        <v>-389</v>
      </c>
      <c r="N48" s="125">
        <v>-559</v>
      </c>
      <c r="O48" s="46"/>
    </row>
    <row r="49" spans="1:16" ht="32" x14ac:dyDescent="0.2">
      <c r="A49" s="108" t="s">
        <v>269</v>
      </c>
      <c r="B49" s="104">
        <v>541</v>
      </c>
      <c r="C49" s="104">
        <v>707</v>
      </c>
      <c r="D49" s="104">
        <v>417</v>
      </c>
      <c r="E49" s="104">
        <v>263</v>
      </c>
      <c r="F49" s="104">
        <v>296</v>
      </c>
      <c r="I49" s="108" t="s">
        <v>269</v>
      </c>
      <c r="J49" s="125">
        <v>541</v>
      </c>
      <c r="K49" s="125">
        <v>707</v>
      </c>
      <c r="L49" s="125">
        <v>417</v>
      </c>
      <c r="M49" s="125">
        <v>263</v>
      </c>
      <c r="N49" s="125">
        <v>296</v>
      </c>
      <c r="O49" s="46"/>
    </row>
    <row r="50" spans="1:16" x14ac:dyDescent="0.2">
      <c r="A50" s="108" t="s">
        <v>270</v>
      </c>
      <c r="B50" s="104">
        <v>-502</v>
      </c>
      <c r="C50" s="104">
        <v>-439</v>
      </c>
      <c r="D50" s="104">
        <v>-338</v>
      </c>
      <c r="E50" s="104">
        <v>-321</v>
      </c>
      <c r="F50" s="104">
        <v>-181</v>
      </c>
      <c r="I50" s="108" t="s">
        <v>270</v>
      </c>
      <c r="J50" s="125">
        <v>-502</v>
      </c>
      <c r="K50" s="125">
        <v>-439</v>
      </c>
      <c r="L50" s="125">
        <v>-338</v>
      </c>
      <c r="M50" s="125">
        <v>-321</v>
      </c>
      <c r="N50" s="125">
        <v>-181</v>
      </c>
      <c r="O50" s="46"/>
    </row>
    <row r="51" spans="1:16" x14ac:dyDescent="0.2">
      <c r="A51" s="108" t="s">
        <v>271</v>
      </c>
      <c r="B51" s="104" t="s">
        <v>184</v>
      </c>
      <c r="C51" s="104">
        <v>-9</v>
      </c>
      <c r="D51" s="104">
        <v>-6</v>
      </c>
      <c r="E51" s="104">
        <v>-37</v>
      </c>
      <c r="F51" s="104">
        <v>-15</v>
      </c>
      <c r="I51" s="108" t="s">
        <v>271</v>
      </c>
      <c r="J51" s="125">
        <v>0</v>
      </c>
      <c r="K51" s="125">
        <v>-9</v>
      </c>
      <c r="L51" s="125">
        <v>-6</v>
      </c>
      <c r="M51" s="125">
        <v>-37</v>
      </c>
      <c r="N51" s="125">
        <v>-15</v>
      </c>
      <c r="O51" s="46"/>
    </row>
    <row r="52" spans="1:16" x14ac:dyDescent="0.2">
      <c r="A52" s="108" t="s">
        <v>272</v>
      </c>
      <c r="B52" s="104">
        <v>0</v>
      </c>
      <c r="C52" s="104">
        <v>0</v>
      </c>
      <c r="D52" s="104">
        <v>0</v>
      </c>
      <c r="E52" s="104">
        <v>-476</v>
      </c>
      <c r="F52" s="104">
        <v>0</v>
      </c>
      <c r="I52" s="108" t="s">
        <v>272</v>
      </c>
      <c r="J52" s="125">
        <v>0</v>
      </c>
      <c r="K52" s="125">
        <v>0</v>
      </c>
      <c r="L52" s="125">
        <v>0</v>
      </c>
      <c r="M52" s="125">
        <v>-476</v>
      </c>
      <c r="N52" s="125">
        <v>0</v>
      </c>
      <c r="O52" s="46"/>
    </row>
    <row r="53" spans="1:16" x14ac:dyDescent="0.2">
      <c r="A53" s="108" t="s">
        <v>273</v>
      </c>
      <c r="B53" s="104">
        <v>0</v>
      </c>
      <c r="C53" s="104">
        <v>0</v>
      </c>
      <c r="D53" s="104">
        <v>0</v>
      </c>
      <c r="E53" s="104">
        <v>174</v>
      </c>
      <c r="F53" s="104">
        <v>0</v>
      </c>
      <c r="I53" s="108" t="s">
        <v>273</v>
      </c>
      <c r="J53" s="125">
        <v>0</v>
      </c>
      <c r="K53" s="125">
        <v>0</v>
      </c>
      <c r="L53" s="125">
        <v>0</v>
      </c>
      <c r="M53" s="125">
        <v>174</v>
      </c>
      <c r="N53" s="125">
        <v>0</v>
      </c>
      <c r="O53" s="46"/>
    </row>
    <row r="54" spans="1:16" ht="32" x14ac:dyDescent="0.2">
      <c r="A54" s="108" t="s">
        <v>274</v>
      </c>
      <c r="B54" s="104">
        <v>0</v>
      </c>
      <c r="C54" s="104">
        <v>2</v>
      </c>
      <c r="D54" s="104">
        <v>24</v>
      </c>
      <c r="E54" s="104">
        <v>279</v>
      </c>
      <c r="F54" s="104">
        <v>437</v>
      </c>
      <c r="I54" s="108" t="s">
        <v>274</v>
      </c>
      <c r="J54" s="125">
        <v>0</v>
      </c>
      <c r="K54" s="125">
        <v>2</v>
      </c>
      <c r="L54" s="125">
        <v>24</v>
      </c>
      <c r="M54" s="125">
        <v>279</v>
      </c>
      <c r="N54" s="125">
        <v>437</v>
      </c>
      <c r="O54" s="46"/>
    </row>
    <row r="55" spans="1:16" ht="32" x14ac:dyDescent="0.2">
      <c r="A55" s="108" t="s">
        <v>275</v>
      </c>
      <c r="B55" s="104">
        <v>-157</v>
      </c>
      <c r="C55" s="104">
        <v>-161</v>
      </c>
      <c r="D55" s="104">
        <v>-208</v>
      </c>
      <c r="E55" s="104">
        <v>-311</v>
      </c>
      <c r="F55" s="104">
        <v>-227</v>
      </c>
      <c r="I55" s="108" t="s">
        <v>275</v>
      </c>
      <c r="J55" s="125">
        <v>-157</v>
      </c>
      <c r="K55" s="125">
        <v>-161</v>
      </c>
      <c r="L55" s="125">
        <v>-208</v>
      </c>
      <c r="M55" s="125">
        <v>-311</v>
      </c>
      <c r="N55" s="125">
        <v>-227</v>
      </c>
      <c r="O55" s="46"/>
    </row>
    <row r="56" spans="1:16" ht="32" x14ac:dyDescent="0.2">
      <c r="A56" s="108" t="s">
        <v>276</v>
      </c>
      <c r="B56" s="104">
        <v>-45</v>
      </c>
      <c r="C56" s="104">
        <v>-10</v>
      </c>
      <c r="D56" s="104">
        <v>-35</v>
      </c>
      <c r="E56" s="104">
        <v>-9</v>
      </c>
      <c r="F56" s="104">
        <v>-6</v>
      </c>
      <c r="I56" s="108" t="s">
        <v>276</v>
      </c>
      <c r="J56" s="125">
        <v>-45</v>
      </c>
      <c r="K56" s="125">
        <v>-10</v>
      </c>
      <c r="L56" s="125">
        <v>-35</v>
      </c>
      <c r="M56" s="125">
        <v>-9</v>
      </c>
      <c r="N56" s="125">
        <v>-6</v>
      </c>
      <c r="O56" s="46"/>
    </row>
    <row r="57" spans="1:16" ht="32" x14ac:dyDescent="0.2">
      <c r="A57" s="109" t="s">
        <v>277</v>
      </c>
      <c r="B57" s="106">
        <v>-3527</v>
      </c>
      <c r="C57" s="106">
        <v>-5203</v>
      </c>
      <c r="D57" s="106">
        <v>9973</v>
      </c>
      <c r="E57" s="106">
        <v>1529</v>
      </c>
      <c r="F57" s="106">
        <v>574</v>
      </c>
      <c r="I57" s="109" t="s">
        <v>277</v>
      </c>
      <c r="J57" s="128">
        <f>SUM(J44:J56)</f>
        <v>-3527</v>
      </c>
      <c r="K57" s="128">
        <f t="shared" ref="K57:N57" si="1">SUM(K44:K56)</f>
        <v>-5203</v>
      </c>
      <c r="L57" s="128">
        <f t="shared" si="1"/>
        <v>9973</v>
      </c>
      <c r="M57" s="128">
        <f t="shared" si="1"/>
        <v>1529</v>
      </c>
      <c r="N57" s="128">
        <f t="shared" si="1"/>
        <v>574</v>
      </c>
      <c r="O57" s="46"/>
    </row>
    <row r="58" spans="1:16" x14ac:dyDescent="0.2">
      <c r="J58" s="46"/>
      <c r="K58" s="46"/>
      <c r="L58" s="46"/>
      <c r="M58" s="46"/>
      <c r="N58" s="46"/>
      <c r="O58" s="46"/>
    </row>
    <row r="59" spans="1:16" ht="32" x14ac:dyDescent="0.2">
      <c r="A59" s="108" t="s">
        <v>278</v>
      </c>
      <c r="B59" s="104">
        <v>-444</v>
      </c>
      <c r="C59" s="104">
        <v>-183</v>
      </c>
      <c r="D59" s="104">
        <v>334</v>
      </c>
      <c r="E59" s="104">
        <v>8</v>
      </c>
      <c r="F59" s="104">
        <v>-23</v>
      </c>
      <c r="I59" s="108" t="s">
        <v>278</v>
      </c>
      <c r="J59" s="125">
        <v>-444</v>
      </c>
      <c r="K59" s="125">
        <v>-183</v>
      </c>
      <c r="L59" s="125">
        <v>334</v>
      </c>
      <c r="M59" s="125">
        <v>8</v>
      </c>
      <c r="N59" s="125">
        <v>-23</v>
      </c>
      <c r="O59" s="46"/>
    </row>
    <row r="60" spans="1:16" x14ac:dyDescent="0.2">
      <c r="J60" s="46"/>
      <c r="K60" s="46"/>
      <c r="L60" s="46"/>
      <c r="M60" s="46"/>
      <c r="N60" s="46"/>
      <c r="O60" s="46"/>
    </row>
    <row r="61" spans="1:16" ht="32" x14ac:dyDescent="0.2">
      <c r="A61" s="111" t="s">
        <v>279</v>
      </c>
      <c r="B61" s="106">
        <v>-1220</v>
      </c>
      <c r="C61" s="106">
        <v>-1757</v>
      </c>
      <c r="D61" s="106">
        <v>13118</v>
      </c>
      <c r="E61" s="106">
        <v>2506</v>
      </c>
      <c r="F61" s="106">
        <v>311</v>
      </c>
      <c r="I61" s="111" t="s">
        <v>279</v>
      </c>
      <c r="J61" s="128">
        <f>J26+J40+J57+J59</f>
        <v>-1220</v>
      </c>
      <c r="K61" s="128">
        <f>K26+K40+K57+K59</f>
        <v>-1757</v>
      </c>
      <c r="L61" s="128">
        <f>L26+L40+L57+L59</f>
        <v>13118</v>
      </c>
      <c r="M61" s="128">
        <f>M26+M40+M57+M59</f>
        <v>2506</v>
      </c>
      <c r="N61" s="128">
        <v>-311</v>
      </c>
      <c r="O61" s="46"/>
      <c r="P61" s="120"/>
    </row>
    <row r="62" spans="1:16" x14ac:dyDescent="0.2">
      <c r="J62" s="46"/>
      <c r="K62" s="46"/>
      <c r="L62" s="46"/>
      <c r="M62" s="46"/>
      <c r="N62" s="46"/>
      <c r="O62" s="46"/>
    </row>
    <row r="63" spans="1:16" x14ac:dyDescent="0.2">
      <c r="A63" s="108"/>
      <c r="B63" s="104"/>
      <c r="C63" s="104"/>
      <c r="D63" s="104"/>
      <c r="E63" s="104"/>
      <c r="F63" s="104"/>
      <c r="I63" s="108"/>
      <c r="J63" s="125"/>
      <c r="K63" s="125"/>
      <c r="L63" s="125"/>
      <c r="M63" s="125"/>
      <c r="N63" s="125"/>
      <c r="O63" s="46"/>
    </row>
    <row r="64" spans="1:16" x14ac:dyDescent="0.2">
      <c r="A64" s="111"/>
      <c r="B64" s="106"/>
      <c r="C64" s="106"/>
      <c r="D64" s="106"/>
      <c r="E64" s="106"/>
      <c r="F64" s="106"/>
      <c r="I64" s="111"/>
      <c r="J64" s="128"/>
      <c r="K64" s="128"/>
      <c r="L64" s="128"/>
      <c r="M64" s="128"/>
      <c r="N64" s="128"/>
      <c r="O64" s="46"/>
    </row>
    <row r="65" spans="2:2" x14ac:dyDescent="0.2">
      <c r="B65" s="120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FD59-FF78-A446-B636-0C65898AB32A}">
  <dimension ref="A2:AC105"/>
  <sheetViews>
    <sheetView topLeftCell="A4" zoomScale="50" workbookViewId="0">
      <selection activeCell="Q11" sqref="Q11"/>
    </sheetView>
  </sheetViews>
  <sheetFormatPr baseColWidth="10" defaultRowHeight="16" x14ac:dyDescent="0.2"/>
  <cols>
    <col min="1" max="1" width="39.5" bestFit="1" customWidth="1"/>
    <col min="2" max="2" width="16.83203125" bestFit="1" customWidth="1"/>
    <col min="3" max="3" width="11" bestFit="1" customWidth="1"/>
    <col min="4" max="5" width="11.6640625" bestFit="1" customWidth="1"/>
    <col min="6" max="6" width="12.83203125" bestFit="1" customWidth="1"/>
    <col min="7" max="7" width="11.6640625" bestFit="1" customWidth="1"/>
    <col min="8" max="8" width="18.33203125" bestFit="1" customWidth="1"/>
    <col min="9" max="12" width="11.6640625" bestFit="1" customWidth="1"/>
    <col min="13" max="13" width="13.1640625" bestFit="1" customWidth="1"/>
    <col min="14" max="14" width="11.5" bestFit="1" customWidth="1"/>
    <col min="15" max="15" width="11" bestFit="1" customWidth="1"/>
  </cols>
  <sheetData>
    <row r="2" spans="1:21" ht="19" x14ac:dyDescent="0.25">
      <c r="A2" s="85" t="s">
        <v>580</v>
      </c>
    </row>
    <row r="4" spans="1:21" x14ac:dyDescent="0.2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1:21" x14ac:dyDescent="0.2">
      <c r="A5" s="230" t="s">
        <v>127</v>
      </c>
      <c r="B5" s="249">
        <v>2022</v>
      </c>
      <c r="C5" s="249" t="s">
        <v>310</v>
      </c>
      <c r="D5" s="249" t="s">
        <v>311</v>
      </c>
      <c r="E5" s="249" t="s">
        <v>312</v>
      </c>
      <c r="F5" s="249" t="s">
        <v>313</v>
      </c>
      <c r="G5" s="249" t="s">
        <v>314</v>
      </c>
      <c r="H5" s="249" t="s">
        <v>315</v>
      </c>
      <c r="I5" s="249" t="s">
        <v>316</v>
      </c>
      <c r="J5" s="249" t="s">
        <v>317</v>
      </c>
      <c r="K5" s="249" t="s">
        <v>318</v>
      </c>
      <c r="L5" s="249" t="s">
        <v>319</v>
      </c>
      <c r="M5" s="280" t="s">
        <v>150</v>
      </c>
    </row>
    <row r="6" spans="1:21" x14ac:dyDescent="0.2">
      <c r="A6" s="337" t="s">
        <v>371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8"/>
    </row>
    <row r="7" spans="1:21" x14ac:dyDescent="0.2">
      <c r="A7" s="338" t="s">
        <v>363</v>
      </c>
      <c r="C7" s="313">
        <f>IF('Input for DCF'!$B$4="ja",'Input for DCF'!$B$7,'Vekst for fremtidsregnskap'!O8)</f>
        <v>0.30690000000000001</v>
      </c>
      <c r="D7" s="313">
        <f>IF('Input for DCF'!$B$4="ja",'Input for DCF'!$B$7,'Vekst for fremtidsregnskap'!P8)</f>
        <v>0.30690000000000001</v>
      </c>
      <c r="E7" s="313">
        <f>IF('Input for DCF'!$B$4="ja",'Input for DCF'!$B$7,'Vekst for fremtidsregnskap'!Q8)</f>
        <v>0.30690000000000001</v>
      </c>
      <c r="F7" s="313">
        <f>IF('Input for DCF'!$B$4="ja",'Input for DCF'!$B$7,'Vekst for fremtidsregnskap'!R8)</f>
        <v>0.30690000000000001</v>
      </c>
      <c r="G7" s="313">
        <f>IF('Input for DCF'!$B$4="ja",'Input for DCF'!$B$7,'Vekst for fremtidsregnskap'!S8)</f>
        <v>0.30690000000000001</v>
      </c>
      <c r="H7" s="313">
        <f>IF('Input for DCF'!$B$4="ja",G7-($C$7-$L$7)/5,'Vekst for fremtidsregnskap'!T8)</f>
        <v>0.25152000000000002</v>
      </c>
      <c r="I7" s="313">
        <f>IF('Input for DCF'!$B$4="ja",H7-($C$7-$L$7)/5,'Vekst for fremtidsregnskap'!U8)</f>
        <v>0.19614000000000001</v>
      </c>
      <c r="J7" s="313">
        <f>IF('Input for DCF'!$B$4="ja",I7-($C$7-$L$7)/5,'Vekst for fremtidsregnskap'!V8)</f>
        <v>0.14076</v>
      </c>
      <c r="K7" s="313">
        <f>IF('Input for DCF'!$B$4="ja",J7-($C$7-$L$7)/5,'Vekst for fremtidsregnskap'!W8)</f>
        <v>8.5379999999999984E-2</v>
      </c>
      <c r="L7" s="314">
        <f>IF('Input for DCF'!$B$4="ja",'Input for DCF'!$C$7,'Input for DCF'!$B$16)</f>
        <v>0.03</v>
      </c>
      <c r="M7" s="315">
        <f>IF('Input for DCF'!$B$4="ja",'Input for DCF'!$C$7,'Input for DCF'!$B$16)</f>
        <v>0.03</v>
      </c>
    </row>
    <row r="8" spans="1:21" x14ac:dyDescent="0.2">
      <c r="A8" s="338" t="s">
        <v>340</v>
      </c>
      <c r="B8" s="304">
        <f>'Vekst for fremtidsregnskap'!N11</f>
        <v>71367.072469000006</v>
      </c>
      <c r="C8" s="168">
        <f>B8*(1+C7)</f>
        <v>93269.627009736098</v>
      </c>
      <c r="D8" s="168">
        <f>C8*(1+D7)</f>
        <v>121894.0755390241</v>
      </c>
      <c r="E8" s="168">
        <f>D8*(1+E7)</f>
        <v>159303.36732195059</v>
      </c>
      <c r="F8" s="168">
        <f t="shared" ref="F8:M8" si="0">E8*(1+F7)</f>
        <v>208193.57075305723</v>
      </c>
      <c r="G8" s="168">
        <f t="shared" si="0"/>
        <v>272088.1776171705</v>
      </c>
      <c r="H8" s="168">
        <f t="shared" si="0"/>
        <v>340523.79605144123</v>
      </c>
      <c r="I8" s="168">
        <f t="shared" si="0"/>
        <v>407314.1334089709</v>
      </c>
      <c r="J8" s="168">
        <f t="shared" si="0"/>
        <v>464647.67082761764</v>
      </c>
      <c r="K8" s="168">
        <f t="shared" si="0"/>
        <v>504319.28896287963</v>
      </c>
      <c r="L8" s="304">
        <f t="shared" si="0"/>
        <v>519448.86763176601</v>
      </c>
      <c r="M8" s="316">
        <f t="shared" si="0"/>
        <v>535032.33366071898</v>
      </c>
    </row>
    <row r="9" spans="1:21" ht="34" x14ac:dyDescent="0.2">
      <c r="A9" s="341" t="s">
        <v>523</v>
      </c>
      <c r="B9" s="183">
        <f ca="1">'Vekst for fremtidsregnskap'!$N$35</f>
        <v>0.28482270297500767</v>
      </c>
      <c r="C9" s="183">
        <v>0.22</v>
      </c>
      <c r="D9" s="183">
        <f ca="1">E9+($B$9-$L$9)/10</f>
        <v>0.27785816238000605</v>
      </c>
      <c r="E9" s="183">
        <f ca="1">F9+($B$9-$L$9)/10</f>
        <v>0.27437589208250529</v>
      </c>
      <c r="F9" s="183">
        <f t="shared" ref="F9:J9" ca="1" si="1">G9+($B$9-$L$9)/10</f>
        <v>0.27089362178500453</v>
      </c>
      <c r="G9" s="183">
        <f t="shared" ca="1" si="1"/>
        <v>0.26741135148750378</v>
      </c>
      <c r="H9" s="183">
        <f t="shared" ca="1" si="1"/>
        <v>0.26392908119000302</v>
      </c>
      <c r="I9" s="183">
        <f t="shared" ca="1" si="1"/>
        <v>0.26044681089250227</v>
      </c>
      <c r="J9" s="183">
        <f t="shared" ca="1" si="1"/>
        <v>0.25696454059500151</v>
      </c>
      <c r="K9" s="183">
        <f ca="1">L9+($B$9-$L$9)/10</f>
        <v>0.25348227029750076</v>
      </c>
      <c r="L9" s="183">
        <f>'Input for DCF'!B19</f>
        <v>0.25</v>
      </c>
      <c r="M9" s="317">
        <f>'Input for DCF'!B19</f>
        <v>0.25</v>
      </c>
    </row>
    <row r="10" spans="1:21" x14ac:dyDescent="0.2">
      <c r="A10" s="301" t="s">
        <v>361</v>
      </c>
      <c r="B10" s="168">
        <f t="shared" ref="B10:M10" ca="1" si="2">B8*B9</f>
        <v>20326.962484033837</v>
      </c>
      <c r="C10" s="168">
        <f t="shared" si="2"/>
        <v>20519.317942141941</v>
      </c>
      <c r="D10" s="168">
        <f t="shared" ca="1" si="2"/>
        <v>33869.26383428288</v>
      </c>
      <c r="E10" s="168">
        <f t="shared" ca="1" si="2"/>
        <v>43709.003520707214</v>
      </c>
      <c r="F10" s="168">
        <f t="shared" ca="1" si="2"/>
        <v>56398.310413648265</v>
      </c>
      <c r="G10" s="168">
        <f t="shared" ca="1" si="2"/>
        <v>72759.467300379532</v>
      </c>
      <c r="H10" s="168">
        <f t="shared" ca="1" si="2"/>
        <v>89874.132615188864</v>
      </c>
      <c r="I10" s="168">
        <f t="shared" ca="1" si="2"/>
        <v>106083.66707780969</v>
      </c>
      <c r="J10" s="168">
        <f t="shared" ca="1" si="2"/>
        <v>119397.97527275624</v>
      </c>
      <c r="K10" s="168">
        <f t="shared" ca="1" si="2"/>
        <v>127835.99832113204</v>
      </c>
      <c r="L10" s="304">
        <f t="shared" si="2"/>
        <v>129862.2169079415</v>
      </c>
      <c r="M10" s="316">
        <f t="shared" si="2"/>
        <v>133758.08341517975</v>
      </c>
      <c r="O10" s="171"/>
    </row>
    <row r="11" spans="1:21" x14ac:dyDescent="0.2">
      <c r="A11" s="151"/>
      <c r="B11" s="86"/>
      <c r="M11" s="7"/>
      <c r="U11" s="86"/>
    </row>
    <row r="12" spans="1:21" x14ac:dyDescent="0.2">
      <c r="A12" s="337" t="s">
        <v>372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</row>
    <row r="13" spans="1:21" x14ac:dyDescent="0.2">
      <c r="A13" s="338" t="s">
        <v>363</v>
      </c>
      <c r="C13" s="5">
        <f>'Vekst for fremtidsregnskap'!O18</f>
        <v>0.20250000000000001</v>
      </c>
      <c r="D13" s="5">
        <f>'Vekst for fremtidsregnskap'!P18</f>
        <v>0.20250000000000001</v>
      </c>
      <c r="E13" s="5">
        <f>'Vekst for fremtidsregnskap'!Q18</f>
        <v>0.20250000000000001</v>
      </c>
      <c r="F13" s="5">
        <f>'Vekst for fremtidsregnskap'!R18</f>
        <v>0.20250000000000001</v>
      </c>
      <c r="G13" s="5">
        <f>'Vekst for fremtidsregnskap'!S18</f>
        <v>0.20250000000000001</v>
      </c>
      <c r="H13" s="5">
        <f>G13-($C$13-$L$13)/5</f>
        <v>0.16800000000000001</v>
      </c>
      <c r="I13" s="5">
        <f t="shared" ref="I13:K13" si="3">H13-($C$13-$L$13)/5</f>
        <v>0.13350000000000001</v>
      </c>
      <c r="J13" s="5">
        <f t="shared" si="3"/>
        <v>9.9000000000000005E-2</v>
      </c>
      <c r="K13" s="5">
        <f t="shared" si="3"/>
        <v>6.4500000000000002E-2</v>
      </c>
      <c r="L13" s="5">
        <f>'Input for DCF'!$B$16</f>
        <v>0.03</v>
      </c>
      <c r="M13" s="267">
        <f>'Input for DCF'!$B$16</f>
        <v>0.03</v>
      </c>
    </row>
    <row r="14" spans="1:21" x14ac:dyDescent="0.2">
      <c r="A14" s="338" t="s">
        <v>340</v>
      </c>
      <c r="B14" s="168">
        <f>'Vekst for fremtidsregnskap'!N19</f>
        <v>3909</v>
      </c>
      <c r="C14" s="168">
        <f t="shared" ref="C14:M14" si="4">B14*(1+C13)</f>
        <v>4700.5725000000002</v>
      </c>
      <c r="D14" s="168">
        <f t="shared" si="4"/>
        <v>5652.4384312500006</v>
      </c>
      <c r="E14" s="168">
        <f t="shared" si="4"/>
        <v>6797.0572135781267</v>
      </c>
      <c r="F14" s="168">
        <f t="shared" si="4"/>
        <v>8173.4612993276978</v>
      </c>
      <c r="G14" s="168">
        <f t="shared" si="4"/>
        <v>9828.5872124415582</v>
      </c>
      <c r="H14" s="168">
        <f t="shared" si="4"/>
        <v>11479.789864131739</v>
      </c>
      <c r="I14" s="168">
        <f t="shared" si="4"/>
        <v>13012.341810993325</v>
      </c>
      <c r="J14" s="168">
        <f t="shared" si="4"/>
        <v>14300.563650281663</v>
      </c>
      <c r="K14" s="168">
        <f t="shared" si="4"/>
        <v>15222.950005724831</v>
      </c>
      <c r="L14" s="304">
        <f t="shared" si="4"/>
        <v>15679.638505896577</v>
      </c>
      <c r="M14" s="316">
        <f t="shared" si="4"/>
        <v>16150.027661073475</v>
      </c>
    </row>
    <row r="15" spans="1:21" x14ac:dyDescent="0.2">
      <c r="A15" s="339" t="s">
        <v>508</v>
      </c>
      <c r="B15" s="167">
        <f>'Vekst for fremtidsregnskap'!N51</f>
        <v>7.3676132003069883E-2</v>
      </c>
      <c r="C15" s="183">
        <f>D15+($B$15-$L$15)/10</f>
        <v>7.3676132003069883E-2</v>
      </c>
      <c r="D15" s="183">
        <f>E15+($B$15-$L$15)/10</f>
        <v>7.3676132003069883E-2</v>
      </c>
      <c r="E15" s="183">
        <f t="shared" ref="E15:I15" si="5">F15+($B$15-$L$15)/10</f>
        <v>7.3676132003069883E-2</v>
      </c>
      <c r="F15" s="183">
        <f t="shared" si="5"/>
        <v>7.3676132003069883E-2</v>
      </c>
      <c r="G15" s="183">
        <f t="shared" si="5"/>
        <v>7.3676132003069883E-2</v>
      </c>
      <c r="H15" s="183">
        <f t="shared" si="5"/>
        <v>7.3676132003069883E-2</v>
      </c>
      <c r="I15" s="183">
        <f t="shared" si="5"/>
        <v>7.3676132003069883E-2</v>
      </c>
      <c r="J15" s="183">
        <f>K15+($B$15-$L$15)/10</f>
        <v>7.3676132003069883E-2</v>
      </c>
      <c r="K15" s="183">
        <f>L15+($B$15-$L$15)/10</f>
        <v>7.3676132003069883E-2</v>
      </c>
      <c r="L15" s="183">
        <f>'Input for DCF'!$B$20</f>
        <v>7.3676132003069883E-2</v>
      </c>
      <c r="M15" s="317">
        <f>'Input for DCF'!$B$20</f>
        <v>7.3676132003069883E-2</v>
      </c>
    </row>
    <row r="16" spans="1:21" x14ac:dyDescent="0.2">
      <c r="A16" s="301" t="s">
        <v>362</v>
      </c>
      <c r="B16" s="86">
        <f t="shared" ref="B16:M16" si="6">B14*B15</f>
        <v>288.00000000000017</v>
      </c>
      <c r="C16" s="86">
        <f t="shared" si="6"/>
        <v>346.32000000000022</v>
      </c>
      <c r="D16" s="86">
        <f t="shared" si="6"/>
        <v>416.44980000000027</v>
      </c>
      <c r="E16" s="86">
        <f t="shared" si="6"/>
        <v>500.78088450000041</v>
      </c>
      <c r="F16" s="86">
        <f t="shared" si="6"/>
        <v>602.18901361125052</v>
      </c>
      <c r="G16" s="86">
        <f t="shared" si="6"/>
        <v>724.13228886752893</v>
      </c>
      <c r="H16" s="86">
        <f t="shared" si="6"/>
        <v>845.78651339727367</v>
      </c>
      <c r="I16" s="86">
        <f t="shared" si="6"/>
        <v>958.69901293580961</v>
      </c>
      <c r="J16" s="86">
        <f t="shared" si="6"/>
        <v>1053.6102152164547</v>
      </c>
      <c r="K16" s="86">
        <f t="shared" si="6"/>
        <v>1121.5680740979162</v>
      </c>
      <c r="L16" s="86">
        <f t="shared" si="6"/>
        <v>1155.2151163208537</v>
      </c>
      <c r="M16" s="318">
        <f t="shared" si="6"/>
        <v>1189.8715698104793</v>
      </c>
    </row>
    <row r="17" spans="1:26" x14ac:dyDescent="0.2">
      <c r="A17" s="151"/>
      <c r="M17" s="7"/>
    </row>
    <row r="18" spans="1:26" x14ac:dyDescent="0.2">
      <c r="A18" s="340" t="s">
        <v>510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</row>
    <row r="19" spans="1:26" x14ac:dyDescent="0.2">
      <c r="A19" s="338" t="s">
        <v>363</v>
      </c>
      <c r="C19" s="5">
        <f>'Vekst for fremtidsregnskap'!O25</f>
        <v>0.34360000000000002</v>
      </c>
      <c r="D19" s="5">
        <f>'Vekst for fremtidsregnskap'!P25</f>
        <v>0.34360000000000002</v>
      </c>
      <c r="E19" s="5">
        <f>'Vekst for fremtidsregnskap'!Q25</f>
        <v>0.34360000000000002</v>
      </c>
      <c r="F19" s="5">
        <f>'Vekst for fremtidsregnskap'!R25</f>
        <v>0.34360000000000002</v>
      </c>
      <c r="G19" s="5">
        <f>'Vekst for fremtidsregnskap'!S25</f>
        <v>0.34360000000000002</v>
      </c>
      <c r="H19" s="5">
        <f>G19-($C$19-$L$19)/5</f>
        <v>0.28088000000000002</v>
      </c>
      <c r="I19" s="5">
        <f t="shared" ref="I19:K19" si="7">H19-($C$19-$L$19)/5</f>
        <v>0.21816000000000002</v>
      </c>
      <c r="J19" s="5">
        <f t="shared" si="7"/>
        <v>0.15544000000000002</v>
      </c>
      <c r="K19" s="5">
        <f t="shared" si="7"/>
        <v>9.2720000000000025E-2</v>
      </c>
      <c r="L19" s="5">
        <f>'Input for DCF'!$B$16</f>
        <v>0.03</v>
      </c>
      <c r="M19" s="267">
        <f>'Input for DCF'!$B$16</f>
        <v>0.03</v>
      </c>
    </row>
    <row r="20" spans="1:26" x14ac:dyDescent="0.2">
      <c r="A20" s="338" t="s">
        <v>340</v>
      </c>
      <c r="B20" s="168">
        <f>'Vekst for fremtidsregnskap'!N26</f>
        <v>6091</v>
      </c>
      <c r="C20" s="168">
        <f t="shared" ref="C20:M20" si="8">B20*(1+C19)</f>
        <v>8183.8675999999996</v>
      </c>
      <c r="D20" s="168">
        <f t="shared" si="8"/>
        <v>10995.844507359998</v>
      </c>
      <c r="E20" s="168">
        <f t="shared" si="8"/>
        <v>14774.016680088893</v>
      </c>
      <c r="F20" s="168">
        <f t="shared" si="8"/>
        <v>19850.368811367436</v>
      </c>
      <c r="G20" s="168">
        <f t="shared" si="8"/>
        <v>26670.955534953286</v>
      </c>
      <c r="H20" s="168">
        <f t="shared" si="8"/>
        <v>34162.293525610963</v>
      </c>
      <c r="I20" s="168">
        <f t="shared" si="8"/>
        <v>41615.139481158258</v>
      </c>
      <c r="J20" s="168">
        <f t="shared" si="8"/>
        <v>48083.796762109501</v>
      </c>
      <c r="K20" s="168">
        <f t="shared" si="8"/>
        <v>52542.126397892287</v>
      </c>
      <c r="L20" s="304">
        <f t="shared" si="8"/>
        <v>54118.390189829057</v>
      </c>
      <c r="M20" s="316">
        <f t="shared" si="8"/>
        <v>55741.941895523931</v>
      </c>
      <c r="W20" s="13"/>
      <c r="X20" s="13"/>
      <c r="Y20" s="13"/>
      <c r="Z20" s="13"/>
    </row>
    <row r="21" spans="1:26" ht="34" x14ac:dyDescent="0.2">
      <c r="A21" s="341" t="s">
        <v>511</v>
      </c>
      <c r="B21" s="167">
        <f>'Vekst for fremtidsregnskap'!N66</f>
        <v>3.464127401083561E-2</v>
      </c>
      <c r="C21" s="183">
        <f>D21+($B$21-$L$21)/10</f>
        <v>3.464127401083561E-2</v>
      </c>
      <c r="D21" s="183">
        <f t="shared" ref="D21:J21" si="9">E21+($B$21-$L$21)/10</f>
        <v>3.464127401083561E-2</v>
      </c>
      <c r="E21" s="183">
        <f t="shared" si="9"/>
        <v>3.464127401083561E-2</v>
      </c>
      <c r="F21" s="183">
        <f t="shared" si="9"/>
        <v>3.464127401083561E-2</v>
      </c>
      <c r="G21" s="183">
        <f t="shared" si="9"/>
        <v>3.464127401083561E-2</v>
      </c>
      <c r="H21" s="183">
        <f t="shared" si="9"/>
        <v>3.464127401083561E-2</v>
      </c>
      <c r="I21" s="183">
        <f t="shared" si="9"/>
        <v>3.464127401083561E-2</v>
      </c>
      <c r="J21" s="183">
        <f t="shared" si="9"/>
        <v>3.464127401083561E-2</v>
      </c>
      <c r="K21" s="183">
        <f>L21+($B$21-$L$21)/10</f>
        <v>3.464127401083561E-2</v>
      </c>
      <c r="L21" s="305">
        <f>'Input for DCF'!$B$21</f>
        <v>3.464127401083561E-2</v>
      </c>
      <c r="M21" s="319">
        <f>'Input for DCF'!$B$21</f>
        <v>3.464127401083561E-2</v>
      </c>
      <c r="P21" s="13"/>
      <c r="Q21" s="13"/>
      <c r="R21" s="13"/>
      <c r="S21" s="13"/>
      <c r="T21" s="13"/>
      <c r="U21" s="13"/>
      <c r="V21" s="13"/>
    </row>
    <row r="22" spans="1:26" x14ac:dyDescent="0.2">
      <c r="A22" s="301" t="s">
        <v>492</v>
      </c>
      <c r="B22" s="86">
        <f t="shared" ref="B22:M22" si="10">B20*B21</f>
        <v>210.99999999999969</v>
      </c>
      <c r="C22" s="86">
        <f t="shared" si="10"/>
        <v>283.49959999999959</v>
      </c>
      <c r="D22" s="86">
        <f t="shared" si="10"/>
        <v>380.9100625599994</v>
      </c>
      <c r="E22" s="86">
        <f t="shared" si="10"/>
        <v>511.79076005561518</v>
      </c>
      <c r="F22" s="86">
        <f t="shared" si="10"/>
        <v>687.64206521072447</v>
      </c>
      <c r="G22" s="86">
        <f t="shared" si="10"/>
        <v>923.9158788171294</v>
      </c>
      <c r="H22" s="86">
        <f t="shared" si="10"/>
        <v>1183.4253708592846</v>
      </c>
      <c r="I22" s="86">
        <f t="shared" si="10"/>
        <v>1441.6014497659464</v>
      </c>
      <c r="J22" s="86">
        <f t="shared" si="10"/>
        <v>1665.6839791175653</v>
      </c>
      <c r="K22" s="86">
        <f t="shared" si="10"/>
        <v>1820.1261976613457</v>
      </c>
      <c r="L22" s="86">
        <f t="shared" si="10"/>
        <v>1874.7299835911861</v>
      </c>
      <c r="M22" s="318">
        <f t="shared" si="10"/>
        <v>1930.9718830989218</v>
      </c>
    </row>
    <row r="23" spans="1:26" x14ac:dyDescent="0.2">
      <c r="A23" s="151"/>
      <c r="M23" s="7"/>
    </row>
    <row r="24" spans="1:26" x14ac:dyDescent="0.2">
      <c r="A24" s="338" t="s">
        <v>364</v>
      </c>
      <c r="B24" s="86">
        <f>B8+B14+B20</f>
        <v>81367.072469000006</v>
      </c>
      <c r="C24" s="86">
        <f>IF('Input for DCF'!$B$4="ja",B24*(1+C7),C8+C14+C20)</f>
        <v>106154.06710973609</v>
      </c>
      <c r="D24" s="86">
        <f>IF('Input for DCF'!$B$4="ja",C24*(1+D7),D8+D14+D20)</f>
        <v>138542.35847763409</v>
      </c>
      <c r="E24" s="86">
        <f>IF('Input for DCF'!$B$4="ja",D24*(1+E7),E8+E14+E20)</f>
        <v>180874.44121561761</v>
      </c>
      <c r="F24" s="86">
        <f>IF('Input for DCF'!$B$4="ja",E24*(1+F7),F8+F14+F20)</f>
        <v>236217.40086375235</v>
      </c>
      <c r="G24" s="86">
        <f>IF('Input for DCF'!$B$4="ja",F24*(1+G7),G8+G14+G20)</f>
        <v>308587.72036456532</v>
      </c>
      <c r="H24" s="86">
        <f>IF('Input for DCF'!$B$4="ja",G24*(1+H7),H8+H14+H20)</f>
        <v>386165.87944118388</v>
      </c>
      <c r="I24" s="86">
        <f>IF('Input for DCF'!$B$4="ja",H24*(1+I7),I8+I14+I20)</f>
        <v>461941.61470112251</v>
      </c>
      <c r="J24" s="86">
        <f>IF('Input for DCF'!$B$4="ja",I24*(1+J7),J8+J14+J20)</f>
        <v>527032.03124000877</v>
      </c>
      <c r="K24" s="86">
        <f>IF('Input for DCF'!$B$4="ja",J24*(1+K7),K8+K14+K20)</f>
        <v>572084.36536649673</v>
      </c>
      <c r="L24" s="86">
        <f>IF('Input for DCF'!$B$4="ja",K24*(1+L7),L8+L14+L20)</f>
        <v>589246.89632749162</v>
      </c>
      <c r="M24" s="318">
        <f>IF('Input for DCF'!$B$4="ja",L24*(1+M7),M8+M14+M20)</f>
        <v>606924.3032173164</v>
      </c>
      <c r="O24" s="181"/>
    </row>
    <row r="25" spans="1:26" x14ac:dyDescent="0.2">
      <c r="A25" s="342" t="s">
        <v>509</v>
      </c>
      <c r="B25" s="265">
        <f t="shared" ref="B25:M25" ca="1" si="11">B10+B16+B22</f>
        <v>20825.962484033837</v>
      </c>
      <c r="C25" s="265">
        <f t="shared" si="11"/>
        <v>21149.13754214194</v>
      </c>
      <c r="D25" s="265">
        <f t="shared" ca="1" si="11"/>
        <v>34666.623696842878</v>
      </c>
      <c r="E25" s="265">
        <f t="shared" ca="1" si="11"/>
        <v>44721.575165262831</v>
      </c>
      <c r="F25" s="265">
        <f t="shared" ca="1" si="11"/>
        <v>57688.14149247024</v>
      </c>
      <c r="G25" s="265">
        <f t="shared" ca="1" si="11"/>
        <v>74407.515468064201</v>
      </c>
      <c r="H25" s="265">
        <f t="shared" ca="1" si="11"/>
        <v>91903.344499445418</v>
      </c>
      <c r="I25" s="265">
        <f t="shared" ca="1" si="11"/>
        <v>108483.96754051145</v>
      </c>
      <c r="J25" s="265">
        <f t="shared" ca="1" si="11"/>
        <v>122117.26946709026</v>
      </c>
      <c r="K25" s="265">
        <f t="shared" ca="1" si="11"/>
        <v>130777.6925928913</v>
      </c>
      <c r="L25" s="265">
        <f t="shared" si="11"/>
        <v>132892.16200785353</v>
      </c>
      <c r="M25" s="266">
        <f t="shared" si="11"/>
        <v>136878.92686808915</v>
      </c>
    </row>
    <row r="26" spans="1:26" x14ac:dyDescent="0.2">
      <c r="A26" s="343" t="s">
        <v>508</v>
      </c>
      <c r="B26" s="306">
        <f t="shared" ref="B26:M26" ca="1" si="12">B25/B24</f>
        <v>0.25595074090896297</v>
      </c>
      <c r="C26" s="306">
        <f>C25/C24</f>
        <v>0.19923059113956654</v>
      </c>
      <c r="D26" s="306">
        <f t="shared" ca="1" si="12"/>
        <v>0.25022400425238445</v>
      </c>
      <c r="E26" s="306">
        <f t="shared" ca="1" si="12"/>
        <v>0.24725204326658257</v>
      </c>
      <c r="F26" s="306">
        <f t="shared" ca="1" si="12"/>
        <v>0.24421630786524545</v>
      </c>
      <c r="G26" s="306">
        <f t="shared" ca="1" si="12"/>
        <v>0.24112273612235513</v>
      </c>
      <c r="H26" s="306">
        <f t="shared" ca="1" si="12"/>
        <v>0.23798929266469029</v>
      </c>
      <c r="I26" s="306">
        <f t="shared" ca="1" si="12"/>
        <v>0.23484346092243905</v>
      </c>
      <c r="J26" s="306">
        <f t="shared" ca="1" si="12"/>
        <v>0.23170749068091923</v>
      </c>
      <c r="K26" s="306">
        <f t="shared" ca="1" si="12"/>
        <v>0.22859861326416542</v>
      </c>
      <c r="L26" s="307">
        <f t="shared" si="12"/>
        <v>0.22552882812978745</v>
      </c>
      <c r="M26" s="320">
        <f t="shared" si="12"/>
        <v>0.22552882812978745</v>
      </c>
    </row>
    <row r="27" spans="1:26" x14ac:dyDescent="0.2">
      <c r="A27" s="151"/>
      <c r="M27" s="7"/>
    </row>
    <row r="28" spans="1:26" x14ac:dyDescent="0.2">
      <c r="A28" s="337" t="s">
        <v>504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</row>
    <row r="29" spans="1:26" x14ac:dyDescent="0.2">
      <c r="A29" s="338" t="s">
        <v>365</v>
      </c>
      <c r="B29" s="5">
        <f>'Input for DCF'!$D$23</f>
        <v>3.7747661486337188E-2</v>
      </c>
      <c r="C29" s="5">
        <f>'Input for DCF'!$D$23</f>
        <v>3.7747661486337188E-2</v>
      </c>
      <c r="D29" s="5">
        <f>'Input for DCF'!$D$23</f>
        <v>3.7747661486337188E-2</v>
      </c>
      <c r="E29" s="5">
        <f>'Input for DCF'!$D$23</f>
        <v>3.7747661486337188E-2</v>
      </c>
      <c r="F29" s="5">
        <f>'Input for DCF'!$D$23</f>
        <v>3.7747661486337188E-2</v>
      </c>
      <c r="G29" s="5">
        <f>'Input for DCF'!$D$23</f>
        <v>3.7747661486337188E-2</v>
      </c>
      <c r="H29" s="321">
        <f>I29+($B$29-$L$29)/5</f>
        <v>3.7747661486337188E-2</v>
      </c>
      <c r="I29" s="321">
        <f t="shared" ref="I29:K29" si="13">J29+($B$29-$L$29)/5</f>
        <v>3.7747661486337188E-2</v>
      </c>
      <c r="J29" s="321">
        <f t="shared" si="13"/>
        <v>3.7747661486337188E-2</v>
      </c>
      <c r="K29" s="321">
        <f t="shared" si="13"/>
        <v>3.7747661486337188E-2</v>
      </c>
      <c r="L29" s="185">
        <f>'Input for DCF'!$B$23</f>
        <v>3.7747661486337188E-2</v>
      </c>
      <c r="M29" s="347">
        <f>'Input for DCF'!$B$23</f>
        <v>3.7747661486337188E-2</v>
      </c>
    </row>
    <row r="30" spans="1:26" x14ac:dyDescent="0.2">
      <c r="A30" s="151" t="s">
        <v>369</v>
      </c>
      <c r="B30" s="168">
        <f t="shared" ref="B30:L30" si="14">B24*B29</f>
        <v>3071.4167076940785</v>
      </c>
      <c r="C30" s="168">
        <f t="shared" si="14"/>
        <v>4007.0677906562382</v>
      </c>
      <c r="D30" s="168">
        <f t="shared" si="14"/>
        <v>5229.6500493325084</v>
      </c>
      <c r="E30" s="168">
        <f t="shared" si="14"/>
        <v>6827.5871785375284</v>
      </c>
      <c r="F30" s="168">
        <f t="shared" si="14"/>
        <v>8916.6544849873371</v>
      </c>
      <c r="G30" s="168">
        <f t="shared" si="14"/>
        <v>11648.464807162092</v>
      </c>
      <c r="H30" s="168">
        <f t="shared" si="14"/>
        <v>14576.858894719506</v>
      </c>
      <c r="I30" s="168">
        <f t="shared" si="14"/>
        <v>17437.215698189975</v>
      </c>
      <c r="J30" s="168">
        <f t="shared" si="14"/>
        <v>19894.226707704536</v>
      </c>
      <c r="K30" s="168">
        <f t="shared" si="14"/>
        <v>21594.846965480559</v>
      </c>
      <c r="L30" s="168">
        <f t="shared" si="14"/>
        <v>22242.692374444978</v>
      </c>
      <c r="M30" s="348">
        <f>M24*M29</f>
        <v>22909.973145678327</v>
      </c>
      <c r="N30" s="86"/>
    </row>
    <row r="31" spans="1:26" x14ac:dyDescent="0.2">
      <c r="A31" s="151"/>
      <c r="M31" s="7"/>
    </row>
    <row r="32" spans="1:26" x14ac:dyDescent="0.2">
      <c r="A32" s="151" t="s">
        <v>366</v>
      </c>
      <c r="B32">
        <f>'Vekst for fremtidsregnskap'!F113</f>
        <v>176</v>
      </c>
      <c r="C32">
        <f>'Vekst for fremtidsregnskap'!$G$113</f>
        <v>86.6</v>
      </c>
      <c r="D32">
        <f>'Vekst for fremtidsregnskap'!$G$113</f>
        <v>86.6</v>
      </c>
      <c r="E32">
        <f>'Vekst for fremtidsregnskap'!$G$113</f>
        <v>86.6</v>
      </c>
      <c r="F32">
        <f>'Vekst for fremtidsregnskap'!$G$113</f>
        <v>86.6</v>
      </c>
      <c r="G32">
        <f>'Vekst for fremtidsregnskap'!$G$113</f>
        <v>86.6</v>
      </c>
      <c r="H32">
        <f>'Vekst for fremtidsregnskap'!$G$113</f>
        <v>86.6</v>
      </c>
      <c r="I32">
        <f>'Vekst for fremtidsregnskap'!$G$113</f>
        <v>86.6</v>
      </c>
      <c r="J32">
        <f>'Vekst for fremtidsregnskap'!$G$113</f>
        <v>86.6</v>
      </c>
      <c r="K32">
        <f>'Vekst for fremtidsregnskap'!$G$113</f>
        <v>86.6</v>
      </c>
      <c r="L32">
        <f>'Vekst for fremtidsregnskap'!$G$113</f>
        <v>86.6</v>
      </c>
      <c r="M32" s="7">
        <f>'Vekst for fremtidsregnskap'!$G$113</f>
        <v>86.6</v>
      </c>
    </row>
    <row r="33" spans="1:15" x14ac:dyDescent="0.2">
      <c r="A33" s="151"/>
      <c r="M33" s="7"/>
    </row>
    <row r="34" spans="1:15" x14ac:dyDescent="0.2">
      <c r="A34" s="338" t="s">
        <v>367</v>
      </c>
      <c r="B34" s="5">
        <f>'Vekst for fremtidsregnskap'!N98</f>
        <v>4.8439763325231394E-2</v>
      </c>
      <c r="C34" s="321">
        <f>D34+($B$34-$L$34)/10</f>
        <v>4.8439763325231394E-2</v>
      </c>
      <c r="D34" s="321">
        <f t="shared" ref="D34:K34" si="15">E34+($B$34-$L$34)/10</f>
        <v>4.8439763325231394E-2</v>
      </c>
      <c r="E34" s="321">
        <f t="shared" si="15"/>
        <v>4.8439763325231394E-2</v>
      </c>
      <c r="F34" s="321">
        <f t="shared" si="15"/>
        <v>4.8439763325231394E-2</v>
      </c>
      <c r="G34" s="321">
        <f t="shared" si="15"/>
        <v>4.8439763325231394E-2</v>
      </c>
      <c r="H34" s="321">
        <f t="shared" si="15"/>
        <v>4.8439763325231394E-2</v>
      </c>
      <c r="I34" s="321">
        <f t="shared" si="15"/>
        <v>4.8439763325231394E-2</v>
      </c>
      <c r="J34" s="321">
        <f t="shared" si="15"/>
        <v>4.8439763325231394E-2</v>
      </c>
      <c r="K34" s="321">
        <f t="shared" si="15"/>
        <v>4.8439763325231394E-2</v>
      </c>
      <c r="L34" s="185">
        <f>'Input for DCF'!$B$24</f>
        <v>4.8439763325231394E-2</v>
      </c>
      <c r="M34" s="347">
        <f>'Input for DCF'!$B$24</f>
        <v>4.8439763325231394E-2</v>
      </c>
    </row>
    <row r="35" spans="1:15" x14ac:dyDescent="0.2">
      <c r="A35" s="151" t="s">
        <v>368</v>
      </c>
      <c r="B35" s="86">
        <f t="shared" ref="B35:M35" si="16">B24*B34</f>
        <v>3941.4017328653117</v>
      </c>
      <c r="C35" s="86">
        <f t="shared" si="16"/>
        <v>5142.0778868063462</v>
      </c>
      <c r="D35" s="86">
        <f t="shared" si="16"/>
        <v>6710.9590551759602</v>
      </c>
      <c r="E35" s="86">
        <f t="shared" si="16"/>
        <v>8761.5151240679952</v>
      </c>
      <c r="F35" s="86">
        <f t="shared" si="16"/>
        <v>11442.314991141473</v>
      </c>
      <c r="G35" s="86">
        <f t="shared" si="16"/>
        <v>14947.916139532232</v>
      </c>
      <c r="H35" s="86">
        <f t="shared" si="16"/>
        <v>18705.783804410788</v>
      </c>
      <c r="I35" s="86">
        <f t="shared" si="16"/>
        <v>22376.342486197605</v>
      </c>
      <c r="J35" s="86">
        <f t="shared" si="16"/>
        <v>25529.306858081982</v>
      </c>
      <c r="K35" s="86">
        <f t="shared" si="16"/>
        <v>27711.631260418304</v>
      </c>
      <c r="L35" s="86">
        <f t="shared" si="16"/>
        <v>28542.980198230853</v>
      </c>
      <c r="M35" s="318">
        <f t="shared" si="16"/>
        <v>29399.269604177782</v>
      </c>
    </row>
    <row r="36" spans="1:15" x14ac:dyDescent="0.2">
      <c r="A36" s="151"/>
      <c r="M36" s="7"/>
    </row>
    <row r="37" spans="1:15" x14ac:dyDescent="0.2">
      <c r="A37" s="20" t="s">
        <v>512</v>
      </c>
      <c r="B37" s="312">
        <f t="shared" ref="B37:L37" si="17">B30+B32+B35</f>
        <v>7188.8184405593902</v>
      </c>
      <c r="C37" s="312">
        <f t="shared" si="17"/>
        <v>9235.7456774625844</v>
      </c>
      <c r="D37" s="312">
        <f t="shared" si="17"/>
        <v>12027.209104508469</v>
      </c>
      <c r="E37" s="312">
        <f t="shared" si="17"/>
        <v>15675.702302605525</v>
      </c>
      <c r="F37" s="312">
        <f t="shared" si="17"/>
        <v>20445.56947612881</v>
      </c>
      <c r="G37" s="312">
        <f t="shared" si="17"/>
        <v>26682.980946694326</v>
      </c>
      <c r="H37" s="312">
        <f t="shared" si="17"/>
        <v>33369.242699130293</v>
      </c>
      <c r="I37" s="312">
        <f t="shared" si="17"/>
        <v>39900.158184387576</v>
      </c>
      <c r="J37" s="312">
        <f t="shared" si="17"/>
        <v>45510.133565786513</v>
      </c>
      <c r="K37" s="312">
        <f t="shared" si="17"/>
        <v>49393.078225898862</v>
      </c>
      <c r="L37" s="312">
        <f t="shared" si="17"/>
        <v>50872.272572675829</v>
      </c>
      <c r="M37" s="322">
        <f>M30+M32+M35</f>
        <v>52395.842749856107</v>
      </c>
    </row>
    <row r="38" spans="1:15" x14ac:dyDescent="0.2">
      <c r="A38" s="151"/>
      <c r="M38" s="7"/>
    </row>
    <row r="39" spans="1:15" x14ac:dyDescent="0.2">
      <c r="A39" s="151" t="s">
        <v>373</v>
      </c>
      <c r="B39" s="86">
        <f t="shared" ref="B39:M39" ca="1" si="18">B37+(B24-B25)</f>
        <v>67729.928425525562</v>
      </c>
      <c r="C39" s="86">
        <f t="shared" si="18"/>
        <v>94240.675245056744</v>
      </c>
      <c r="D39" s="86">
        <f t="shared" ca="1" si="18"/>
        <v>115902.94388529968</v>
      </c>
      <c r="E39" s="86">
        <f t="shared" ca="1" si="18"/>
        <v>151828.56835296031</v>
      </c>
      <c r="F39" s="86">
        <f t="shared" ca="1" si="18"/>
        <v>198974.82884741094</v>
      </c>
      <c r="G39" s="86">
        <f t="shared" ca="1" si="18"/>
        <v>260863.18584319545</v>
      </c>
      <c r="H39" s="86">
        <f t="shared" ca="1" si="18"/>
        <v>327631.77764086879</v>
      </c>
      <c r="I39" s="86">
        <f t="shared" ca="1" si="18"/>
        <v>393357.8053449986</v>
      </c>
      <c r="J39" s="86">
        <f t="shared" ca="1" si="18"/>
        <v>450424.89533870504</v>
      </c>
      <c r="K39" s="86">
        <f t="shared" ca="1" si="18"/>
        <v>490699.75099950429</v>
      </c>
      <c r="L39" s="86">
        <f t="shared" si="18"/>
        <v>507227.00689231395</v>
      </c>
      <c r="M39" s="318">
        <f t="shared" si="18"/>
        <v>522441.21909908339</v>
      </c>
    </row>
    <row r="40" spans="1:15" x14ac:dyDescent="0.2">
      <c r="A40" s="344" t="s">
        <v>56</v>
      </c>
      <c r="B40" s="313">
        <f ca="1">1-B39/B24</f>
        <v>0.16760027895399643</v>
      </c>
      <c r="C40" s="313">
        <f>IF('Input for DCF'!$B$4="ja",'Input for DCF'!$B$8,1-C39/C24)</f>
        <v>0.11222737092460111</v>
      </c>
      <c r="D40" s="313">
        <f ca="1">IF('Input for DCF'!$B$4="ja",'Input for DCF'!$B$8,1-D39/D24)</f>
        <v>0.16341149985539805</v>
      </c>
      <c r="E40" s="313">
        <f ca="1">IF('Input for DCF'!$B$4="ja",'Input for DCF'!$B$8,1-E39/E24)</f>
        <v>0.16058583328548981</v>
      </c>
      <c r="F40" s="313">
        <f ca="1">IF('Input for DCF'!$B$4="ja",'Input for DCF'!$B$8,1-F39/F24)</f>
        <v>0.15766227161995794</v>
      </c>
      <c r="G40" s="313">
        <f ca="1">IF('Input for DCF'!$B$4="ja",'Input for DCF'!$B$8,1-G39/G24)</f>
        <v>0.15465467797937049</v>
      </c>
      <c r="H40" s="313">
        <f ca="1">IF('Input for DCF'!$B$4="ja",G40-($C$40-$L$40)/5,1-H39/H24)</f>
        <v>0.15157761189315611</v>
      </c>
      <c r="I40" s="313">
        <f ca="1">IF('Input for DCF'!$B$4="ja",H40-($C$40-$L$40)/5,1-I39/I24)</f>
        <v>0.14846856653193674</v>
      </c>
      <c r="J40" s="313">
        <f ca="1">IF('Input for DCF'!$B$4="ja",I40-($C$40-$L$40)/5,1-J39/J24)</f>
        <v>0.14535574948084529</v>
      </c>
      <c r="K40" s="313">
        <f ca="1">IF('Input for DCF'!$B$4="ja",J40-($C$40-$L$40)/5,1-K39/K24)</f>
        <v>0.14225981217797257</v>
      </c>
      <c r="L40" s="313">
        <f>IF('Input for DCF'!$B$4="ja",'Input for DCF'!$C$8,1-L39/L24)</f>
        <v>0.139194436061302</v>
      </c>
      <c r="M40" s="349">
        <f>IF('Input for DCF'!$B$4="ja",'Input for DCF'!$C$8,1-M39/M24)</f>
        <v>0.13919871666101802</v>
      </c>
      <c r="N40" s="178"/>
    </row>
    <row r="41" spans="1:15" x14ac:dyDescent="0.2">
      <c r="A41" s="151"/>
      <c r="M41" s="7"/>
    </row>
    <row r="42" spans="1:15" x14ac:dyDescent="0.2">
      <c r="A42" s="151" t="s">
        <v>370</v>
      </c>
      <c r="B42" s="86">
        <f t="shared" ref="B42:M42" ca="1" si="19">B24*B40</f>
        <v>13637.144043474444</v>
      </c>
      <c r="C42" s="86">
        <f t="shared" si="19"/>
        <v>11913.391864679352</v>
      </c>
      <c r="D42" s="86">
        <f t="shared" ca="1" si="19"/>
        <v>22639.414592334408</v>
      </c>
      <c r="E42" s="86">
        <f t="shared" ca="1" si="19"/>
        <v>29045.872862657296</v>
      </c>
      <c r="F42" s="86">
        <f t="shared" ca="1" si="19"/>
        <v>37242.572016341408</v>
      </c>
      <c r="G42" s="86">
        <f t="shared" ca="1" si="19"/>
        <v>47724.534521369882</v>
      </c>
      <c r="H42" s="86">
        <f t="shared" ca="1" si="19"/>
        <v>58534.101800315082</v>
      </c>
      <c r="I42" s="86">
        <f t="shared" ca="1" si="19"/>
        <v>68583.809356123893</v>
      </c>
      <c r="J42" s="86">
        <f t="shared" ca="1" si="19"/>
        <v>76607.135901303744</v>
      </c>
      <c r="K42" s="86">
        <f t="shared" ca="1" si="19"/>
        <v>81384.614366992464</v>
      </c>
      <c r="L42" s="86">
        <f t="shared" si="19"/>
        <v>82019.889435177683</v>
      </c>
      <c r="M42" s="318">
        <f t="shared" si="19"/>
        <v>84483.084118233004</v>
      </c>
      <c r="O42" s="200"/>
    </row>
    <row r="43" spans="1:15" x14ac:dyDescent="0.2">
      <c r="A43" s="151" t="s">
        <v>337</v>
      </c>
      <c r="B43" s="350">
        <f>'Input for DCF'!$D$25</f>
        <v>8.2513302718857054E-2</v>
      </c>
      <c r="C43" s="350">
        <f>'Input for DCF'!$D$25</f>
        <v>8.2513302718857054E-2</v>
      </c>
      <c r="D43" s="350">
        <f>'Input for DCF'!$D$25</f>
        <v>8.2513302718857054E-2</v>
      </c>
      <c r="E43" s="350">
        <f>'Input for DCF'!$D$25</f>
        <v>8.2513302718857054E-2</v>
      </c>
      <c r="F43" s="350">
        <f>'Input for DCF'!$D$25</f>
        <v>8.2513302718857054E-2</v>
      </c>
      <c r="G43" s="350">
        <f>'Input for DCF'!$D$25</f>
        <v>8.2513302718857054E-2</v>
      </c>
      <c r="H43" s="350">
        <f>G43+($L$43-$G$43)/5</f>
        <v>8.7170642175085647E-2</v>
      </c>
      <c r="I43" s="350">
        <f>H43+($L$43-$G$43)/5</f>
        <v>9.182798163131424E-2</v>
      </c>
      <c r="J43" s="350">
        <f>I43+($L$43-$G$43)/5</f>
        <v>9.6485321087542833E-2</v>
      </c>
      <c r="K43" s="350">
        <f>J43+($L$43-$G$43)/5</f>
        <v>0.10114266054377143</v>
      </c>
      <c r="L43" s="351">
        <f>'Input for DCF'!$B$25</f>
        <v>0.10580000000000001</v>
      </c>
      <c r="M43" s="352">
        <f>'Input for DCF'!$B$25</f>
        <v>0.10580000000000001</v>
      </c>
    </row>
    <row r="44" spans="1:15" ht="34" x14ac:dyDescent="0.2">
      <c r="A44" s="346" t="s">
        <v>524</v>
      </c>
      <c r="B44" s="86">
        <f ca="1">B42*(1-B43)</f>
        <v>12511.89824879458</v>
      </c>
      <c r="C44" s="86">
        <f t="shared" ref="C44:M44" si="20">C42*(1-C43)</f>
        <v>10930.378555340696</v>
      </c>
      <c r="D44" s="86">
        <f t="shared" ca="1" si="20"/>
        <v>20771.36172269941</v>
      </c>
      <c r="E44" s="86">
        <f t="shared" ca="1" si="20"/>
        <v>26649.20196240742</v>
      </c>
      <c r="F44" s="86">
        <f t="shared" ca="1" si="20"/>
        <v>34169.564397528193</v>
      </c>
      <c r="G44" s="86">
        <f t="shared" ca="1" si="20"/>
        <v>43786.625557291547</v>
      </c>
      <c r="H44" s="86">
        <f t="shared" ca="1" si="20"/>
        <v>53431.646557239779</v>
      </c>
      <c r="I44" s="86">
        <f t="shared" ca="1" si="20"/>
        <v>62285.896570364188</v>
      </c>
      <c r="J44" s="86">
        <f t="shared" ca="1" si="20"/>
        <v>69215.671796269424</v>
      </c>
      <c r="K44" s="86">
        <f t="shared" ca="1" si="20"/>
        <v>73153.157942585996</v>
      </c>
      <c r="L44" s="86">
        <f t="shared" si="20"/>
        <v>73342.185132935891</v>
      </c>
      <c r="M44" s="318">
        <f t="shared" si="20"/>
        <v>75544.773818523958</v>
      </c>
    </row>
    <row r="45" spans="1:15" x14ac:dyDescent="0.2">
      <c r="A45" s="345"/>
      <c r="M45" s="7"/>
    </row>
    <row r="46" spans="1:15" x14ac:dyDescent="0.2">
      <c r="A46" s="151" t="s">
        <v>408</v>
      </c>
      <c r="B46" s="325">
        <f t="shared" ref="B46:G46" si="21">$B$61</f>
        <v>5.4024628616106334</v>
      </c>
      <c r="C46" s="325">
        <f t="shared" si="21"/>
        <v>5.4024628616106334</v>
      </c>
      <c r="D46" s="325">
        <f t="shared" si="21"/>
        <v>5.4024628616106334</v>
      </c>
      <c r="E46" s="325">
        <f t="shared" si="21"/>
        <v>5.4024628616106334</v>
      </c>
      <c r="F46" s="325">
        <f t="shared" si="21"/>
        <v>5.4024628616106334</v>
      </c>
      <c r="G46" s="325">
        <f t="shared" si="21"/>
        <v>5.4024628616106334</v>
      </c>
      <c r="H46" s="325">
        <f>$G$46*$B$62</f>
        <v>3.6016419077404223</v>
      </c>
      <c r="I46" s="325">
        <f>$G$46*$B$62</f>
        <v>3.6016419077404223</v>
      </c>
      <c r="J46" s="325">
        <f>$G$46*$B$62</f>
        <v>3.6016419077404223</v>
      </c>
      <c r="K46" s="325">
        <f>$G$46*$B$62</f>
        <v>3.6016419077404223</v>
      </c>
      <c r="L46" s="325">
        <f>$G$46*$B$62</f>
        <v>3.6016419077404223</v>
      </c>
      <c r="M46" s="7"/>
    </row>
    <row r="47" spans="1:15" ht="34" x14ac:dyDescent="0.2">
      <c r="A47" s="72" t="s">
        <v>526</v>
      </c>
      <c r="B47" s="311">
        <f>(Resultatregnskap!B12-Resultatregnskap!C12)/B46</f>
        <v>5116</v>
      </c>
      <c r="C47" s="311">
        <f t="shared" ref="C47:L47" si="22">(C24-B24)/C46</f>
        <v>4588.0916307393827</v>
      </c>
      <c r="D47" s="311">
        <f t="shared" si="22"/>
        <v>5995.0974578735177</v>
      </c>
      <c r="E47" s="311">
        <f t="shared" si="22"/>
        <v>7835.7008317060572</v>
      </c>
      <c r="F47" s="311">
        <f t="shared" si="22"/>
        <v>10244.024080460846</v>
      </c>
      <c r="G47" s="311">
        <f t="shared" si="22"/>
        <v>13395.801388116761</v>
      </c>
      <c r="H47" s="311">
        <f t="shared" si="22"/>
        <v>21539.664704004153</v>
      </c>
      <c r="I47" s="311">
        <f t="shared" si="22"/>
        <v>21039.219667309564</v>
      </c>
      <c r="J47" s="311">
        <f t="shared" si="22"/>
        <v>18072.428688426251</v>
      </c>
      <c r="K47" s="311">
        <f t="shared" si="22"/>
        <v>12508.832160594398</v>
      </c>
      <c r="L47" s="311">
        <f t="shared" si="22"/>
        <v>4765.19637449527</v>
      </c>
      <c r="M47" s="353">
        <f>M7/B63*M44</f>
        <v>22575.664254828342</v>
      </c>
    </row>
    <row r="48" spans="1:15" x14ac:dyDescent="0.2">
      <c r="A48" s="151"/>
      <c r="M48" s="7"/>
    </row>
    <row r="49" spans="1:29" x14ac:dyDescent="0.2">
      <c r="A49" s="19" t="s">
        <v>513</v>
      </c>
      <c r="B49" s="290">
        <f ca="1">B44-B47</f>
        <v>7395.8982487945796</v>
      </c>
      <c r="C49" s="290">
        <f t="shared" ref="C49:L49" si="23">C44-C47</f>
        <v>6342.2869246013133</v>
      </c>
      <c r="D49" s="290">
        <f t="shared" ca="1" si="23"/>
        <v>14776.264264825892</v>
      </c>
      <c r="E49" s="290">
        <f t="shared" ca="1" si="23"/>
        <v>18813.501130701363</v>
      </c>
      <c r="F49" s="290">
        <f t="shared" ca="1" si="23"/>
        <v>23925.540317067345</v>
      </c>
      <c r="G49" s="290">
        <f t="shared" ca="1" si="23"/>
        <v>30390.824169174786</v>
      </c>
      <c r="H49" s="290">
        <f t="shared" ca="1" si="23"/>
        <v>31891.981853235626</v>
      </c>
      <c r="I49" s="290">
        <f t="shared" ca="1" si="23"/>
        <v>41246.676903054627</v>
      </c>
      <c r="J49" s="290">
        <f t="shared" ca="1" si="23"/>
        <v>51143.243107843169</v>
      </c>
      <c r="K49" s="290">
        <f t="shared" ca="1" si="23"/>
        <v>60644.325781991596</v>
      </c>
      <c r="L49" s="290">
        <f t="shared" si="23"/>
        <v>68576.988758440624</v>
      </c>
      <c r="M49" s="291">
        <f>M44-M47</f>
        <v>52969.109563695616</v>
      </c>
    </row>
    <row r="50" spans="1:29" x14ac:dyDescent="0.2">
      <c r="A50" s="60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144"/>
    </row>
    <row r="51" spans="1:29" x14ac:dyDescent="0.2">
      <c r="A51" s="151" t="s">
        <v>4</v>
      </c>
      <c r="B51" s="361"/>
      <c r="C51" s="457">
        <f>IF('Input for DCF'!$B$32="markedsverdi",'CAPM og WACC'!$B$23,IF('Input for DCF'!$B$32="bokverdi",'CAPM og WACC'!$B$22,IF('Input for DCF'!$B$32="egendefinert",'Input for DCF'!$B$33,)))</f>
        <v>0.10038877212975061</v>
      </c>
      <c r="D51" s="457">
        <f>IF('Input for DCF'!$B$32="markedsverdi",'CAPM og WACC'!$B$23,IF('Input for DCF'!$B$32="bokverdi",'CAPM og WACC'!$B$22,IF('Input for DCF'!$B$32="egendefinert",'Input for DCF'!$B$33,)))</f>
        <v>0.10038877212975061</v>
      </c>
      <c r="E51" s="457">
        <f>IF('Input for DCF'!$B$32="markedsverdi",'CAPM og WACC'!$B$23,IF('Input for DCF'!$B$32="bokverdi",'CAPM og WACC'!$B$22,IF('Input for DCF'!$B$32="egendefinert",'Input for DCF'!$B$33,)))</f>
        <v>0.10038877212975061</v>
      </c>
      <c r="F51" s="457">
        <f>IF('Input for DCF'!$B$32="markedsverdi",'CAPM og WACC'!$B$23,IF('Input for DCF'!$B$32="bokverdi",'CAPM og WACC'!$B$22,IF('Input for DCF'!$B$32="egendefinert",'Input for DCF'!$B$33,)))</f>
        <v>0.10038877212975061</v>
      </c>
      <c r="G51" s="457">
        <f>IF('Input for DCF'!$B$32="markedsverdi",'CAPM og WACC'!$B$23,IF('Input for DCF'!$B$32="bokverdi",'CAPM og WACC'!$B$22,IF('Input for DCF'!$B$32="egendefinert",'Input for DCF'!$B$33,)))</f>
        <v>0.10038877212975061</v>
      </c>
      <c r="H51" s="457">
        <f>IF('Input for DCF'!$B$32="markedsverdi",'CAPM og WACC'!$B$23,IF('Input for DCF'!$B$32="bokverdi",'CAPM og WACC'!$B$22,IF('Input for DCF'!$B$32="egendefinert",'Input for DCF'!$B$33,)))</f>
        <v>0.10038877212975061</v>
      </c>
      <c r="I51" s="457">
        <f>IF('Input for DCF'!$B$32="markedsverdi",'CAPM og WACC'!$B$23,IF('Input for DCF'!$B$32="bokverdi",'CAPM og WACC'!$B$22,IF('Input for DCF'!$B$32="egendefinert",'Input for DCF'!$B$33,)))</f>
        <v>0.10038877212975061</v>
      </c>
      <c r="J51" s="457">
        <f>IF('Input for DCF'!$B$32="markedsverdi",'CAPM og WACC'!$B$23,IF('Input for DCF'!$B$32="bokverdi",'CAPM og WACC'!$B$22,IF('Input for DCF'!$B$32="egendefinert",'Input for DCF'!$B$33,)))</f>
        <v>0.10038877212975061</v>
      </c>
      <c r="K51" s="457">
        <f>IF('Input for DCF'!$B$32="markedsverdi",'CAPM og WACC'!$B$23,IF('Input for DCF'!$B$32="bokverdi",'CAPM og WACC'!$B$22,IF('Input for DCF'!$B$32="egendefinert",'Input for DCF'!$B$33,)))</f>
        <v>0.10038877212975061</v>
      </c>
      <c r="L51" s="457">
        <f>IF('Input for DCF'!$B$32="markedsverdi",'CAPM og WACC'!$B$23,IF('Input for DCF'!$B$32="bokverdi",'CAPM og WACC'!$B$22,IF('Input for DCF'!$B$32="egendefinert",'Input for DCF'!$B$33,)))</f>
        <v>0.10038877212975061</v>
      </c>
      <c r="M51" s="267">
        <f>IF('Input for DCF'!$B$32="markedsverdi",'CAPM og WACC'!$B$23,IF('Input for DCF'!$B$32="bokverdi",'CAPM og WACC'!$B$22,IF('Input for DCF'!$B$32="egendefinert",'Input for DCF'!$B$33,)))</f>
        <v>0.10038877212975061</v>
      </c>
    </row>
    <row r="52" spans="1:29" x14ac:dyDescent="0.2">
      <c r="A52" s="458" t="s">
        <v>473</v>
      </c>
      <c r="B52" s="361"/>
      <c r="C52" s="293">
        <f>(1+C51)^C4</f>
        <v>1.1003887721297505</v>
      </c>
      <c r="D52" s="293">
        <f t="shared" ref="D52:L52" si="24">(1+D51)^D4</f>
        <v>1.2108554498292199</v>
      </c>
      <c r="E52" s="293">
        <f t="shared" si="24"/>
        <v>1.3324117416641921</v>
      </c>
      <c r="F52" s="293">
        <f t="shared" si="24"/>
        <v>1.4661709203811224</v>
      </c>
      <c r="G52" s="293">
        <f t="shared" si="24"/>
        <v>1.6133580188105294</v>
      </c>
      <c r="H52" s="293">
        <f t="shared" si="24"/>
        <v>1.7753210493246052</v>
      </c>
      <c r="I52" s="293">
        <f t="shared" si="24"/>
        <v>1.9535433496024028</v>
      </c>
      <c r="J52" s="293">
        <f t="shared" si="24"/>
        <v>2.1496571677712275</v>
      </c>
      <c r="K52" s="293">
        <f t="shared" si="24"/>
        <v>2.3654586113436982</v>
      </c>
      <c r="L52" s="293">
        <f t="shared" si="24"/>
        <v>2.6029240968602365</v>
      </c>
      <c r="M52" s="294">
        <f>(1+M51)^L4</f>
        <v>2.6029240968602365</v>
      </c>
    </row>
    <row r="53" spans="1:29" x14ac:dyDescent="0.2">
      <c r="A53" s="19" t="s">
        <v>514</v>
      </c>
      <c r="B53" s="90"/>
      <c r="C53" s="97">
        <f>C49/(1+C51)^C4</f>
        <v>5763.6783337275574</v>
      </c>
      <c r="D53" s="97">
        <f ca="1">D49/(1+D51)^D4</f>
        <v>12203.161217063482</v>
      </c>
      <c r="E53" s="97">
        <f ca="1">E49/(1+E51)^E4</f>
        <v>14119.885424608434</v>
      </c>
      <c r="F53" s="97">
        <f ca="1">F49/(1+F51)^F4</f>
        <v>16318.384155953689</v>
      </c>
      <c r="G53" s="97">
        <f ca="1">G49/(1+G51)^G4</f>
        <v>18836.999484826589</v>
      </c>
      <c r="H53" s="97">
        <f ca="1">H49/(1+H51)^H4</f>
        <v>17964.064508427058</v>
      </c>
      <c r="I53" s="97">
        <f ca="1">I49/(1+I51)^I4</f>
        <v>21113.776109165636</v>
      </c>
      <c r="J53" s="97">
        <f ca="1">J49/(1+J51)^J4</f>
        <v>23791.348627404004</v>
      </c>
      <c r="K53" s="97">
        <f ca="1">K49/(1+K51)^K4</f>
        <v>25637.449537763252</v>
      </c>
      <c r="L53" s="97">
        <f>L49/(1+L51)^L4</f>
        <v>26346.13465723463</v>
      </c>
      <c r="M53" s="459"/>
    </row>
    <row r="55" spans="1:29" x14ac:dyDescent="0.2">
      <c r="M55" s="170"/>
    </row>
    <row r="56" spans="1:29" x14ac:dyDescent="0.2"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70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</row>
    <row r="57" spans="1:29" x14ac:dyDescent="0.2">
      <c r="A57" s="60" t="s">
        <v>287</v>
      </c>
      <c r="B57" s="276">
        <f>Balanse!B58</f>
        <v>28181</v>
      </c>
      <c r="C57" s="265">
        <f>B57+C47</f>
        <v>32769.091630739385</v>
      </c>
      <c r="D57" s="265">
        <f>C57+D47</f>
        <v>38764.189088612904</v>
      </c>
      <c r="E57" s="265">
        <f>D57+E47</f>
        <v>46599.889920318965</v>
      </c>
      <c r="F57" s="265">
        <f>E57+F47</f>
        <v>56843.914000779812</v>
      </c>
      <c r="G57" s="265">
        <f>F57+G47</f>
        <v>70239.715388896569</v>
      </c>
      <c r="H57" s="265">
        <f>G57+H47</f>
        <v>91779.380092900727</v>
      </c>
      <c r="I57" s="265">
        <f>H57+I47</f>
        <v>112818.59976021029</v>
      </c>
      <c r="J57" s="265">
        <f>I57+J47</f>
        <v>130891.02844863654</v>
      </c>
      <c r="K57" s="265">
        <f>J57+K47</f>
        <v>143399.86060923093</v>
      </c>
      <c r="L57" s="266">
        <f>K57+L47</f>
        <v>148165.05698372622</v>
      </c>
      <c r="M57" s="45"/>
      <c r="N57" s="86"/>
    </row>
    <row r="58" spans="1:29" x14ac:dyDescent="0.2">
      <c r="A58" s="63" t="s">
        <v>350</v>
      </c>
      <c r="B58" s="444">
        <f ca="1">B44/B57</f>
        <v>0.44398347286450374</v>
      </c>
      <c r="C58" s="444">
        <f>C44/C57</f>
        <v>0.33355756938612668</v>
      </c>
      <c r="D58" s="444">
        <f ca="1">D44/D57</f>
        <v>0.53583893307343966</v>
      </c>
      <c r="E58" s="444">
        <f ca="1">E44/E57</f>
        <v>0.57187263763873308</v>
      </c>
      <c r="F58" s="444">
        <f ca="1">F44/F57</f>
        <v>0.60111209789423437</v>
      </c>
      <c r="G58" s="444">
        <f ca="1">G44/G57</f>
        <v>0.62338842512185488</v>
      </c>
      <c r="H58" s="444">
        <f ca="1">H44/H57</f>
        <v>0.58217484693354116</v>
      </c>
      <c r="I58" s="444">
        <f ca="1">I44/I57</f>
        <v>0.55208889937252748</v>
      </c>
      <c r="J58" s="444">
        <f ca="1">J44/J57</f>
        <v>0.52880378904984016</v>
      </c>
      <c r="K58" s="444">
        <f ca="1">K44/K57</f>
        <v>0.51013409379755692</v>
      </c>
      <c r="L58" s="66">
        <f>L44/L57</f>
        <v>0.49500325262920436</v>
      </c>
      <c r="M58" s="13"/>
    </row>
    <row r="59" spans="1:29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1" spans="1:29" x14ac:dyDescent="0.2">
      <c r="A61" s="143" t="s">
        <v>446</v>
      </c>
      <c r="B61" s="460">
        <f>'Input for DCF'!B28</f>
        <v>5.4024628616106334</v>
      </c>
    </row>
    <row r="62" spans="1:29" x14ac:dyDescent="0.2">
      <c r="A62" s="145" t="s">
        <v>447</v>
      </c>
      <c r="B62" s="461">
        <f>'Input for DCF'!B29</f>
        <v>0.66666666666666663</v>
      </c>
    </row>
    <row r="63" spans="1:29" x14ac:dyDescent="0.2">
      <c r="A63" s="272" t="s">
        <v>388</v>
      </c>
      <c r="B63" s="462">
        <f>'Input for DCF'!B17</f>
        <v>0.10038877212975061</v>
      </c>
    </row>
    <row r="65" spans="1:12" x14ac:dyDescent="0.2">
      <c r="A65" s="20" t="s">
        <v>289</v>
      </c>
      <c r="B65" s="463">
        <f t="shared" ref="B65:L65" ca="1" si="25">B47/B44</f>
        <v>0.40889079324896888</v>
      </c>
      <c r="C65" s="463">
        <f t="shared" si="25"/>
        <v>0.41975596796668985</v>
      </c>
      <c r="D65" s="463">
        <f t="shared" ca="1" si="25"/>
        <v>0.28862322739880558</v>
      </c>
      <c r="E65" s="463">
        <f t="shared" ca="1" si="25"/>
        <v>0.29403135008543424</v>
      </c>
      <c r="F65" s="463">
        <f t="shared" ca="1" si="25"/>
        <v>0.2997996685378258</v>
      </c>
      <c r="G65" s="463">
        <f t="shared" ca="1" si="25"/>
        <v>0.30593363196232948</v>
      </c>
      <c r="H65" s="463">
        <f t="shared" ca="1" si="25"/>
        <v>0.40312560236992384</v>
      </c>
      <c r="I65" s="463">
        <f t="shared" ca="1" si="25"/>
        <v>0.33778464830383587</v>
      </c>
      <c r="J65" s="463">
        <f t="shared" ca="1" si="25"/>
        <v>0.2611031319846312</v>
      </c>
      <c r="K65" s="463">
        <f t="shared" ca="1" si="25"/>
        <v>0.17099510824142292</v>
      </c>
      <c r="L65" s="464">
        <f t="shared" si="25"/>
        <v>6.4972108014755017E-2</v>
      </c>
    </row>
    <row r="68" spans="1:12" x14ac:dyDescent="0.2">
      <c r="A68" s="143" t="s">
        <v>435</v>
      </c>
      <c r="B68" s="266">
        <f>M44</f>
        <v>75544.773818523958</v>
      </c>
    </row>
    <row r="69" spans="1:12" x14ac:dyDescent="0.2">
      <c r="A69" s="145" t="s">
        <v>352</v>
      </c>
      <c r="B69" s="267">
        <f>'Input for DCF'!B16</f>
        <v>0.03</v>
      </c>
    </row>
    <row r="70" spans="1:12" x14ac:dyDescent="0.2">
      <c r="A70" s="145" t="s">
        <v>436</v>
      </c>
      <c r="B70" s="397">
        <f>(1-M7/B63)</f>
        <v>0.70116179963606329</v>
      </c>
    </row>
    <row r="71" spans="1:12" x14ac:dyDescent="0.2">
      <c r="A71" s="272" t="s">
        <v>353</v>
      </c>
      <c r="B71" s="452">
        <f>M51</f>
        <v>0.10038877212975061</v>
      </c>
    </row>
    <row r="72" spans="1:12" x14ac:dyDescent="0.2">
      <c r="A72" s="145"/>
      <c r="B72" s="267"/>
    </row>
    <row r="73" spans="1:12" x14ac:dyDescent="0.2">
      <c r="A73" s="145" t="s">
        <v>320</v>
      </c>
      <c r="B73" s="202">
        <f>B68*B70/(B71-B69)</f>
        <v>752522.14182761149</v>
      </c>
      <c r="D73" s="11"/>
      <c r="F73" s="46"/>
    </row>
    <row r="74" spans="1:12" x14ac:dyDescent="0.2">
      <c r="A74" s="145"/>
      <c r="B74" s="202"/>
      <c r="D74" s="11"/>
      <c r="F74" s="46"/>
    </row>
    <row r="75" spans="1:12" x14ac:dyDescent="0.2">
      <c r="A75" s="145" t="s">
        <v>355</v>
      </c>
      <c r="B75" s="202">
        <f>B73/(1+L51)^L4</f>
        <v>289106.44868028897</v>
      </c>
    </row>
    <row r="76" spans="1:12" x14ac:dyDescent="0.2">
      <c r="A76" s="145" t="s">
        <v>354</v>
      </c>
      <c r="B76" s="202">
        <f ca="1">SUM(C53:L53)</f>
        <v>182094.88205617431</v>
      </c>
    </row>
    <row r="77" spans="1:12" x14ac:dyDescent="0.2">
      <c r="A77" s="145"/>
      <c r="B77" s="202"/>
    </row>
    <row r="78" spans="1:12" x14ac:dyDescent="0.2">
      <c r="A78" s="387" t="s">
        <v>356</v>
      </c>
      <c r="B78" s="451">
        <f ca="1">B75+B76</f>
        <v>471201.33073646331</v>
      </c>
    </row>
    <row r="79" spans="1:12" x14ac:dyDescent="0.2">
      <c r="A79" s="145" t="s">
        <v>357</v>
      </c>
      <c r="B79" s="348">
        <v>5748</v>
      </c>
    </row>
    <row r="80" spans="1:12" x14ac:dyDescent="0.2">
      <c r="A80" s="145" t="s">
        <v>358</v>
      </c>
      <c r="B80" s="202">
        <f>Balanse!B7+Balanse!B8</f>
        <v>22185</v>
      </c>
    </row>
    <row r="81" spans="1:3" x14ac:dyDescent="0.2">
      <c r="A81" s="145" t="s">
        <v>359</v>
      </c>
      <c r="B81" s="202">
        <f ca="1">B78-B79+B80</f>
        <v>487638.33073646331</v>
      </c>
    </row>
    <row r="82" spans="1:3" x14ac:dyDescent="0.2">
      <c r="A82" s="145" t="s">
        <v>105</v>
      </c>
      <c r="B82" s="7">
        <v>3146</v>
      </c>
    </row>
    <row r="83" spans="1:3" x14ac:dyDescent="0.2">
      <c r="A83" s="465" t="s">
        <v>360</v>
      </c>
      <c r="B83" s="450">
        <f ca="1">B81/B82</f>
        <v>155.00264804083386</v>
      </c>
      <c r="C83" t="s">
        <v>568</v>
      </c>
    </row>
    <row r="88" spans="1:3" x14ac:dyDescent="0.2">
      <c r="B88" s="86"/>
    </row>
    <row r="89" spans="1:3" x14ac:dyDescent="0.2">
      <c r="B89" s="11"/>
    </row>
    <row r="94" spans="1:3" x14ac:dyDescent="0.2">
      <c r="A94" s="80"/>
    </row>
    <row r="95" spans="1:3" x14ac:dyDescent="0.2">
      <c r="A95" s="80"/>
    </row>
    <row r="96" spans="1:3" x14ac:dyDescent="0.2">
      <c r="A96" s="80"/>
    </row>
    <row r="99" spans="1:3" x14ac:dyDescent="0.2">
      <c r="A99" s="80"/>
    </row>
    <row r="100" spans="1:3" x14ac:dyDescent="0.2">
      <c r="A100" s="80"/>
    </row>
    <row r="101" spans="1:3" x14ac:dyDescent="0.2">
      <c r="A101" s="80"/>
    </row>
    <row r="102" spans="1:3" x14ac:dyDescent="0.2">
      <c r="A102" s="80"/>
    </row>
    <row r="103" spans="1:3" x14ac:dyDescent="0.2">
      <c r="A103" s="166"/>
    </row>
    <row r="105" spans="1:3" x14ac:dyDescent="0.2">
      <c r="A105" s="80"/>
      <c r="B105" s="11"/>
      <c r="C105" s="11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3DE6-060E-8141-A123-17143A07EEB3}">
  <dimension ref="A2:N29"/>
  <sheetViews>
    <sheetView zoomScale="87" workbookViewId="0">
      <selection activeCell="D36" sqref="D36"/>
    </sheetView>
  </sheetViews>
  <sheetFormatPr baseColWidth="10" defaultRowHeight="16" x14ac:dyDescent="0.2"/>
  <cols>
    <col min="1" max="1" width="12.33203125" bestFit="1" customWidth="1"/>
    <col min="2" max="2" width="12.1640625" bestFit="1" customWidth="1"/>
  </cols>
  <sheetData>
    <row r="2" spans="1:14" ht="19" x14ac:dyDescent="0.25">
      <c r="A2" s="85" t="s">
        <v>569</v>
      </c>
    </row>
    <row r="5" spans="1:14" x14ac:dyDescent="0.2">
      <c r="A5" s="239" t="s">
        <v>448</v>
      </c>
      <c r="B5" s="240">
        <v>5.9400000000000001E-2</v>
      </c>
      <c r="C5" s="432">
        <f>D5-(D5-B5)/2</f>
        <v>6.3950011018472613E-2</v>
      </c>
      <c r="D5" s="432">
        <f>'CAPM og WACC'!B6</f>
        <v>6.8500022036945218E-2</v>
      </c>
      <c r="E5" s="432">
        <f>D5+($D$5-$B$5)/2</f>
        <v>7.3050033055417823E-2</v>
      </c>
      <c r="F5" s="432">
        <f>E5+($D$5-$B$5)/2</f>
        <v>7.7600044073890428E-2</v>
      </c>
    </row>
    <row r="6" spans="1:14" x14ac:dyDescent="0.2">
      <c r="A6" s="430">
        <f>'CAPM og WACC'!B8</f>
        <v>0.91032593295702369</v>
      </c>
      <c r="B6" s="385">
        <f>('CAPM og WACC'!$B$5+B$5*$A6)*'CAPM og WACC'!$B$20+'CAPM og WACC'!$B$13*'CAPM og WACC'!$C$20*(1-'CAPM og WACC'!$B$12)</f>
        <v>9.2216373096207699E-2</v>
      </c>
      <c r="C6" s="385">
        <f>('CAPM og WACC'!$B$5+C$5*$A6)*'CAPM og WACC'!$B$20+'CAPM og WACC'!$B$13*'CAPM og WACC'!$C$20*(1-'CAPM og WACC'!$B$12)</f>
        <v>9.6302572612979156E-2</v>
      </c>
      <c r="D6" s="386">
        <f>('CAPM og WACC'!$B$5+D$5*$A6)*'CAPM og WACC'!$B$20+'CAPM og WACC'!$B$13*'CAPM og WACC'!$C$20*(1-'CAPM og WACC'!$B$12)</f>
        <v>0.10038877212975061</v>
      </c>
      <c r="E6" s="385">
        <f>('CAPM og WACC'!$B$5+E$5*$A6)*'CAPM og WACC'!$B$20+'CAPM og WACC'!$B$13*'CAPM og WACC'!$C$20*(1-'CAPM og WACC'!$B$12)</f>
        <v>0.10447497164652207</v>
      </c>
      <c r="F6" s="385">
        <f>('CAPM og WACC'!$B$5+F$5*$A6)*'CAPM og WACC'!$B$20+'CAPM og WACC'!$B$13*'CAPM og WACC'!$C$20*(1-'CAPM og WACC'!$B$12)</f>
        <v>0.10856117116329354</v>
      </c>
    </row>
    <row r="7" spans="1:14" x14ac:dyDescent="0.2">
      <c r="A7" s="431">
        <f>A6+($A$9-$A$6)/3</f>
        <v>1.1495506219713492</v>
      </c>
      <c r="B7" s="385">
        <f>('CAPM og WACC'!$B$5+B$5*$A7)*'CAPM og WACC'!$B$20+'CAPM og WACC'!$B$13*'CAPM og WACC'!$C$20*(1-'CAPM og WACC'!$B$12)</f>
        <v>0.10623490868484026</v>
      </c>
      <c r="C7" s="385">
        <f>('CAPM og WACC'!$B$5+C$5*$A7)*'CAPM og WACC'!$B$20+'CAPM og WACC'!$B$13*'CAPM og WACC'!$C$20*(1-'CAPM og WACC'!$B$12)</f>
        <v>0.11139492118799436</v>
      </c>
      <c r="D7" s="385">
        <f>('CAPM og WACC'!$B$5+D$5*$A7)*'CAPM og WACC'!$B$20+'CAPM og WACC'!$B$13*'CAPM og WACC'!$C$20*(1-'CAPM og WACC'!$B$12)</f>
        <v>0.11655493369114846</v>
      </c>
      <c r="E7" s="385">
        <f>('CAPM og WACC'!$B$5+E$5*$A7)*'CAPM og WACC'!$B$20+'CAPM og WACC'!$B$13*'CAPM og WACC'!$C$20*(1-'CAPM og WACC'!$B$12)</f>
        <v>0.12171494619430255</v>
      </c>
      <c r="F7" s="385">
        <f>('CAPM og WACC'!$B$5+F$5*$A7)*'CAPM og WACC'!$B$20+'CAPM og WACC'!$B$13*'CAPM og WACC'!$C$20*(1-'CAPM og WACC'!$B$12)</f>
        <v>0.12687495869745663</v>
      </c>
    </row>
    <row r="8" spans="1:14" x14ac:dyDescent="0.2">
      <c r="A8" s="431">
        <f>A7+($A$9-$A$6)/3</f>
        <v>1.3887753109856746</v>
      </c>
      <c r="B8" s="385">
        <f>('CAPM og WACC'!$B$5+B$5*$A8)*'CAPM og WACC'!$B$20+'CAPM og WACC'!$B$13*'CAPM og WACC'!$C$20*(1-'CAPM og WACC'!$B$12)</f>
        <v>0.12025344427347281</v>
      </c>
      <c r="C8" s="385">
        <f>('CAPM og WACC'!$B$5+C$5*$A8)*'CAPM og WACC'!$B$20+'CAPM og WACC'!$B$13*'CAPM og WACC'!$C$20*(1-'CAPM og WACC'!$B$12)</f>
        <v>0.12648726976300953</v>
      </c>
      <c r="D8" s="385">
        <f>('CAPM og WACC'!$B$5+D$5*$A8)*'CAPM og WACC'!$B$20+'CAPM og WACC'!$B$13*'CAPM og WACC'!$C$20*(1-'CAPM og WACC'!$B$12)</f>
        <v>0.1327210952525463</v>
      </c>
      <c r="E8" s="385">
        <f>('CAPM og WACC'!$B$5+E$5*$A8)*'CAPM og WACC'!$B$20+'CAPM og WACC'!$B$13*'CAPM og WACC'!$C$20*(1-'CAPM og WACC'!$B$12)</f>
        <v>0.13895492074208302</v>
      </c>
      <c r="F8" s="385">
        <f>('CAPM og WACC'!$B$5+F$5*$A8)*'CAPM og WACC'!$B$20+'CAPM og WACC'!$B$13*'CAPM og WACC'!$C$20*(1-'CAPM og WACC'!$B$12)</f>
        <v>0.14518874623161973</v>
      </c>
    </row>
    <row r="9" spans="1:14" x14ac:dyDescent="0.2">
      <c r="A9" s="239">
        <v>1.6279999999999999</v>
      </c>
      <c r="B9" s="385">
        <f>('CAPM og WACC'!$B$5+B$5*$A9)*'CAPM og WACC'!$B$20+'CAPM og WACC'!$B$13*'CAPM og WACC'!$C$20*(1-'CAPM og WACC'!$B$12)</f>
        <v>0.13427197986210535</v>
      </c>
      <c r="C9" s="385">
        <f>('CAPM og WACC'!$B$5+C$5*$A9)*'CAPM og WACC'!$B$20+'CAPM og WACC'!$B$13*'CAPM og WACC'!$C$20*(1-'CAPM og WACC'!$B$12)</f>
        <v>0.14157961833802474</v>
      </c>
      <c r="D9" s="385">
        <f>('CAPM og WACC'!$B$5+D$5*$A9)*'CAPM og WACC'!$B$20+'CAPM og WACC'!$B$13*'CAPM og WACC'!$C$20*(1-'CAPM og WACC'!$B$12)</f>
        <v>0.1488872568139441</v>
      </c>
      <c r="E9" s="385">
        <f>('CAPM og WACC'!$B$5+E$5*$A9)*'CAPM og WACC'!$B$20+'CAPM og WACC'!$B$13*'CAPM og WACC'!$C$20*(1-'CAPM og WACC'!$B$12)</f>
        <v>0.15619489528986347</v>
      </c>
      <c r="F9" s="385">
        <f>('CAPM og WACC'!$B$5+F$5*$A9)*'CAPM og WACC'!$B$20+'CAPM og WACC'!$B$13*'CAPM og WACC'!$C$20*(1-'CAPM og WACC'!$B$12)</f>
        <v>0.16350253376578283</v>
      </c>
    </row>
    <row r="10" spans="1:14" x14ac:dyDescent="0.2">
      <c r="A10" s="239">
        <v>2.2090000000000001</v>
      </c>
      <c r="B10" s="385">
        <f>('CAPM og WACC'!$B$5+B$5*$A10)*'CAPM og WACC'!$B$20+'CAPM og WACC'!$B$13*'CAPM og WACC'!$C$20*(1-'CAPM og WACC'!$B$12)</f>
        <v>0.16831850411741661</v>
      </c>
      <c r="C10" s="385">
        <f>('CAPM og WACC'!$B$5+C$5*$A10)*'CAPM og WACC'!$B$20+'CAPM og WACC'!$B$13*'CAPM og WACC'!$C$20*(1-'CAPM og WACC'!$B$12)</f>
        <v>0.1782340897398404</v>
      </c>
      <c r="D10" s="385">
        <f>('CAPM og WACC'!$B$5+D$5*$A10)*'CAPM og WACC'!$B$20+'CAPM og WACC'!$B$13*'CAPM og WACC'!$C$20*(1-'CAPM og WACC'!$B$12)</f>
        <v>0.18814967536226415</v>
      </c>
      <c r="E10" s="385">
        <f>('CAPM og WACC'!$B$5+E$5*$A10)*'CAPM og WACC'!$B$20+'CAPM og WACC'!$B$13*'CAPM og WACC'!$C$20*(1-'CAPM og WACC'!$B$12)</f>
        <v>0.19806526098468788</v>
      </c>
      <c r="F10" s="385">
        <f>('CAPM og WACC'!$B$5+F$5*$A10)*'CAPM og WACC'!$B$20+'CAPM og WACC'!$B$13*'CAPM og WACC'!$C$20*(1-'CAPM og WACC'!$B$12)</f>
        <v>0.20798084660711164</v>
      </c>
    </row>
    <row r="12" spans="1:14" x14ac:dyDescent="0.2">
      <c r="J12" s="5"/>
      <c r="K12" s="5"/>
      <c r="L12" s="5"/>
      <c r="M12" s="5"/>
      <c r="N12" s="5"/>
    </row>
    <row r="13" spans="1:14" x14ac:dyDescent="0.2">
      <c r="A13" s="239" t="s">
        <v>449</v>
      </c>
      <c r="B13" s="240">
        <v>9.2200000000000004E-2</v>
      </c>
      <c r="C13" s="240">
        <f>D13-0.5%</f>
        <v>9.5399999999999999E-2</v>
      </c>
      <c r="D13" s="240">
        <v>0.1004</v>
      </c>
      <c r="E13" s="240">
        <v>0.13</v>
      </c>
      <c r="F13" s="240">
        <v>0.16830000000000001</v>
      </c>
      <c r="I13" s="5"/>
      <c r="N13" s="10"/>
    </row>
    <row r="14" spans="1:14" x14ac:dyDescent="0.2">
      <c r="A14" s="240">
        <v>2.5000000000000001E-2</v>
      </c>
      <c r="B14" s="20">
        <v>175.35</v>
      </c>
      <c r="C14" s="20">
        <v>167.45</v>
      </c>
      <c r="D14" s="20">
        <v>156.21</v>
      </c>
      <c r="E14" s="20">
        <v>109.06</v>
      </c>
      <c r="F14" s="34">
        <v>75.3</v>
      </c>
      <c r="I14" s="5"/>
    </row>
    <row r="15" spans="1:14" x14ac:dyDescent="0.2">
      <c r="A15" s="240">
        <v>2.75E-2</v>
      </c>
      <c r="B15" s="20">
        <v>176.51</v>
      </c>
      <c r="C15" s="20">
        <v>168.54</v>
      </c>
      <c r="D15" s="34">
        <v>157.19999999999999</v>
      </c>
      <c r="E15" s="20">
        <v>109.64</v>
      </c>
      <c r="F15" s="20">
        <v>75.62</v>
      </c>
      <c r="H15" s="10"/>
      <c r="I15" s="5"/>
      <c r="L15" s="47"/>
      <c r="M15" s="10"/>
    </row>
    <row r="16" spans="1:14" x14ac:dyDescent="0.2">
      <c r="A16" s="240">
        <v>0.03</v>
      </c>
      <c r="B16" s="20">
        <v>177.68</v>
      </c>
      <c r="C16" s="20">
        <v>169.54</v>
      </c>
      <c r="D16" s="241">
        <v>158.22999999999999</v>
      </c>
      <c r="E16" s="34">
        <v>110.23</v>
      </c>
      <c r="F16" s="20">
        <v>75.94</v>
      </c>
      <c r="I16" s="5"/>
    </row>
    <row r="17" spans="1:14" x14ac:dyDescent="0.2">
      <c r="A17" s="240">
        <f>A16+0.25%</f>
        <v>3.2500000000000001E-2</v>
      </c>
      <c r="B17" s="20">
        <v>178.86</v>
      </c>
      <c r="C17" s="20">
        <v>170.75</v>
      </c>
      <c r="D17" s="20">
        <v>159.21</v>
      </c>
      <c r="E17" s="20">
        <v>110.82</v>
      </c>
      <c r="F17" s="20">
        <v>76.27</v>
      </c>
      <c r="I17" s="5"/>
      <c r="N17" s="10"/>
    </row>
    <row r="18" spans="1:14" x14ac:dyDescent="0.2">
      <c r="A18" s="240">
        <f>A17+0.25%</f>
        <v>3.5000000000000003E-2</v>
      </c>
      <c r="B18" s="20">
        <v>180.05</v>
      </c>
      <c r="C18" s="20">
        <v>171.86</v>
      </c>
      <c r="D18" s="20">
        <v>160.22</v>
      </c>
      <c r="E18" s="20">
        <v>111.42</v>
      </c>
      <c r="F18" s="34">
        <v>76.599999999999994</v>
      </c>
    </row>
    <row r="21" spans="1:14" x14ac:dyDescent="0.2">
      <c r="A21" s="239" t="s">
        <v>450</v>
      </c>
      <c r="B21" s="429">
        <v>0.2</v>
      </c>
      <c r="C21" s="429">
        <f>22.5%</f>
        <v>0.22500000000000001</v>
      </c>
      <c r="D21" s="429">
        <v>0.25</v>
      </c>
      <c r="E21" s="429">
        <f>D21+0.025</f>
        <v>0.27500000000000002</v>
      </c>
      <c r="F21" s="429">
        <f>E21+0.025</f>
        <v>0.30000000000000004</v>
      </c>
    </row>
    <row r="22" spans="1:14" x14ac:dyDescent="0.2">
      <c r="A22" s="428">
        <f>A23-(A23*A29)</f>
        <v>39598.550999999999</v>
      </c>
      <c r="B22" s="20">
        <v>82.56</v>
      </c>
      <c r="C22" s="20">
        <v>98.53</v>
      </c>
      <c r="D22" s="20">
        <v>114.5</v>
      </c>
      <c r="E22" s="20">
        <v>130.47</v>
      </c>
      <c r="F22" s="20">
        <v>146.44</v>
      </c>
    </row>
    <row r="23" spans="1:14" x14ac:dyDescent="0.2">
      <c r="A23" s="428">
        <f>A24-(A24*A29)</f>
        <v>43998.39</v>
      </c>
      <c r="B23" s="20">
        <v>92.08</v>
      </c>
      <c r="C23" s="20">
        <v>109.83</v>
      </c>
      <c r="D23" s="20">
        <v>127.57</v>
      </c>
      <c r="E23" s="20">
        <v>145.31</v>
      </c>
      <c r="F23" s="20">
        <v>163.06</v>
      </c>
    </row>
    <row r="24" spans="1:14" x14ac:dyDescent="0.2">
      <c r="A24" s="428">
        <f>A25-(A25*A29)</f>
        <v>48887.1</v>
      </c>
      <c r="B24" s="20">
        <v>102.66</v>
      </c>
      <c r="C24" s="20">
        <v>122.38</v>
      </c>
      <c r="D24" s="20">
        <v>142.09</v>
      </c>
      <c r="E24" s="20">
        <v>161.81</v>
      </c>
      <c r="F24" s="20">
        <v>181.52</v>
      </c>
    </row>
    <row r="25" spans="1:14" x14ac:dyDescent="0.2">
      <c r="A25" s="428">
        <v>54319</v>
      </c>
      <c r="B25" s="20">
        <v>114.42</v>
      </c>
      <c r="C25" s="20">
        <v>136.32</v>
      </c>
      <c r="D25" s="237">
        <v>158.22999999999999</v>
      </c>
      <c r="E25" s="20">
        <v>180.14</v>
      </c>
      <c r="F25" s="20">
        <v>202.04</v>
      </c>
    </row>
    <row r="26" spans="1:14" x14ac:dyDescent="0.2">
      <c r="A26" s="428">
        <f>A25*(1.1)</f>
        <v>59750.9</v>
      </c>
      <c r="B26" s="20">
        <v>126.17</v>
      </c>
      <c r="C26" s="20">
        <v>150.27000000000001</v>
      </c>
      <c r="D26" s="20">
        <v>174.37</v>
      </c>
      <c r="E26" s="20">
        <v>189.46</v>
      </c>
      <c r="F26" s="20">
        <v>222.56</v>
      </c>
    </row>
    <row r="27" spans="1:14" x14ac:dyDescent="0.2">
      <c r="A27" s="46"/>
    </row>
    <row r="28" spans="1:14" x14ac:dyDescent="0.2">
      <c r="A28" s="20" t="s">
        <v>570</v>
      </c>
    </row>
    <row r="29" spans="1:14" x14ac:dyDescent="0.2">
      <c r="A29" s="218">
        <v>0.1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EA17D-3742-BE46-9C72-0957EE6E078D}">
  <dimension ref="A2:K50"/>
  <sheetViews>
    <sheetView zoomScale="75" workbookViewId="0">
      <selection activeCell="C3" sqref="C3"/>
    </sheetView>
  </sheetViews>
  <sheetFormatPr baseColWidth="10" defaultRowHeight="16" x14ac:dyDescent="0.2"/>
  <cols>
    <col min="1" max="1" width="34.5" bestFit="1" customWidth="1"/>
    <col min="2" max="2" width="24.33203125" customWidth="1"/>
    <col min="3" max="3" width="19.83203125" bestFit="1" customWidth="1"/>
    <col min="4" max="5" width="19.6640625" customWidth="1"/>
    <col min="6" max="6" width="18.83203125" customWidth="1"/>
    <col min="7" max="7" width="13.33203125" bestFit="1" customWidth="1"/>
  </cols>
  <sheetData>
    <row r="2" spans="1:7" ht="19" x14ac:dyDescent="0.25">
      <c r="A2" s="85" t="s">
        <v>569</v>
      </c>
    </row>
    <row r="5" spans="1:7" x14ac:dyDescent="0.2">
      <c r="A5" t="s">
        <v>338</v>
      </c>
    </row>
    <row r="6" spans="1:7" x14ac:dyDescent="0.2">
      <c r="A6" s="239" t="s">
        <v>327</v>
      </c>
      <c r="B6" s="239" t="s">
        <v>377</v>
      </c>
      <c r="C6" s="239" t="s">
        <v>378</v>
      </c>
      <c r="D6" s="239" t="s">
        <v>376</v>
      </c>
      <c r="E6" s="239" t="s">
        <v>379</v>
      </c>
      <c r="F6" s="239" t="s">
        <v>382</v>
      </c>
    </row>
    <row r="7" spans="1:7" x14ac:dyDescent="0.2">
      <c r="A7" s="20" t="s">
        <v>45</v>
      </c>
      <c r="B7" s="175">
        <f>B9*B10</f>
        <v>389754170709.17999</v>
      </c>
      <c r="C7" s="175">
        <f>C9*C10</f>
        <v>46764230000</v>
      </c>
      <c r="D7" s="175">
        <f>D9*D10</f>
        <v>58360794518.459999</v>
      </c>
      <c r="E7" s="173">
        <f>E9*E10</f>
        <v>560658600000</v>
      </c>
      <c r="F7" s="175">
        <f>F9*F10</f>
        <v>17066180000</v>
      </c>
      <c r="G7" s="172"/>
    </row>
    <row r="8" spans="1:7" x14ac:dyDescent="0.2">
      <c r="A8" s="20" t="s">
        <v>346</v>
      </c>
      <c r="B8" s="175">
        <f>12587*1000000</f>
        <v>12587000000</v>
      </c>
      <c r="C8" s="175">
        <f>-2152*1000000</f>
        <v>-2152000000</v>
      </c>
      <c r="D8" s="175">
        <f>12477*1000000</f>
        <v>12477000000</v>
      </c>
      <c r="E8" s="175">
        <f>19330*1000000</f>
        <v>19330000000</v>
      </c>
      <c r="F8" s="175">
        <f>-6752*1000000</f>
        <v>-6752000000</v>
      </c>
      <c r="G8" s="172"/>
    </row>
    <row r="9" spans="1:7" x14ac:dyDescent="0.2">
      <c r="A9" s="20" t="s">
        <v>347</v>
      </c>
      <c r="B9" s="175">
        <f>3164102701</f>
        <v>3164102701</v>
      </c>
      <c r="C9" s="175">
        <v>4021000000</v>
      </c>
      <c r="D9" s="175">
        <f>206205445+295089818</f>
        <v>501295263</v>
      </c>
      <c r="E9" s="175">
        <f>2911*1000000</f>
        <v>2911000000</v>
      </c>
      <c r="F9" s="175">
        <v>926000000</v>
      </c>
      <c r="G9" s="172"/>
    </row>
    <row r="10" spans="1:7" x14ac:dyDescent="0.2">
      <c r="A10" s="20" t="s">
        <v>348</v>
      </c>
      <c r="B10" s="176">
        <v>123.18</v>
      </c>
      <c r="C10" s="173">
        <v>11.63</v>
      </c>
      <c r="D10" s="173">
        <v>116.42</v>
      </c>
      <c r="E10" s="173">
        <v>192.6</v>
      </c>
      <c r="F10" s="173">
        <v>18.43</v>
      </c>
      <c r="G10" s="172"/>
    </row>
    <row r="11" spans="1:7" x14ac:dyDescent="0.2">
      <c r="A11" s="20" t="s">
        <v>349</v>
      </c>
      <c r="B11" s="173">
        <f>(B8/B9)</f>
        <v>3.9780630369620864</v>
      </c>
      <c r="C11" s="173">
        <f>C8/C9</f>
        <v>-0.53519025118129815</v>
      </c>
      <c r="D11" s="173">
        <f>D8/D9</f>
        <v>24.889523043428401</v>
      </c>
      <c r="E11" s="173">
        <f>E8/E9</f>
        <v>6.6403297835795261</v>
      </c>
      <c r="F11" s="173">
        <f>F8/F9</f>
        <v>-7.291576673866091</v>
      </c>
      <c r="G11" s="172"/>
    </row>
    <row r="12" spans="1:7" x14ac:dyDescent="0.2">
      <c r="A12" s="20" t="s">
        <v>328</v>
      </c>
      <c r="B12" s="173">
        <f>B10/B11</f>
        <v>30.964818519836339</v>
      </c>
      <c r="C12" s="173">
        <f>C10/C11</f>
        <v>-21.730590148698887</v>
      </c>
      <c r="D12" s="173">
        <f>D10/D11</f>
        <v>4.6774701064727093</v>
      </c>
      <c r="E12" s="173">
        <f>E10/E11</f>
        <v>29.004583548887737</v>
      </c>
      <c r="F12" s="173">
        <f>F10/F11</f>
        <v>-2.5275740521327013</v>
      </c>
    </row>
    <row r="13" spans="1:7" x14ac:dyDescent="0.2">
      <c r="A13" s="20" t="s">
        <v>387</v>
      </c>
      <c r="B13" s="173">
        <f>AVERAGE(B12:F12)</f>
        <v>8.0777415948730393</v>
      </c>
    </row>
    <row r="14" spans="1:7" x14ac:dyDescent="0.2">
      <c r="A14" s="151" t="s">
        <v>451</v>
      </c>
      <c r="B14" s="172">
        <f>AVERAGE(B12,D12,E12)</f>
        <v>21.548957391732262</v>
      </c>
    </row>
    <row r="16" spans="1:7" x14ac:dyDescent="0.2">
      <c r="A16" s="239" t="s">
        <v>329</v>
      </c>
      <c r="B16" s="239" t="s">
        <v>377</v>
      </c>
      <c r="C16" s="239" t="s">
        <v>378</v>
      </c>
      <c r="D16" s="239" t="s">
        <v>376</v>
      </c>
      <c r="E16" s="239" t="s">
        <v>379</v>
      </c>
      <c r="F16" s="239" t="s">
        <v>382</v>
      </c>
      <c r="G16" s="9"/>
    </row>
    <row r="17" spans="1:11" x14ac:dyDescent="0.2">
      <c r="A17" s="20" t="s">
        <v>348</v>
      </c>
      <c r="B17" s="173">
        <f>B10</f>
        <v>123.18</v>
      </c>
      <c r="C17" s="173">
        <f>C10</f>
        <v>11.63</v>
      </c>
      <c r="D17" s="173">
        <f>D10</f>
        <v>116.42</v>
      </c>
      <c r="E17" s="173">
        <f>E10</f>
        <v>192.6</v>
      </c>
      <c r="F17" s="173">
        <f>F10</f>
        <v>18.43</v>
      </c>
      <c r="G17" s="172"/>
    </row>
    <row r="18" spans="1:11" x14ac:dyDescent="0.2">
      <c r="A18" s="20" t="s">
        <v>330</v>
      </c>
      <c r="B18" s="175">
        <f>44704*1000000</f>
        <v>44704000000</v>
      </c>
      <c r="C18" s="175">
        <f>43167*1000000</f>
        <v>43167000000</v>
      </c>
      <c r="D18" s="175">
        <f>38257*1000000</f>
        <v>38257000000</v>
      </c>
      <c r="E18" s="175">
        <f>124657*1000000</f>
        <v>124657000000</v>
      </c>
      <c r="F18" s="175">
        <f>13799*1000000</f>
        <v>13799000000</v>
      </c>
      <c r="G18" s="172"/>
    </row>
    <row r="19" spans="1:11" x14ac:dyDescent="0.2">
      <c r="A19" s="20" t="s">
        <v>347</v>
      </c>
      <c r="B19" s="175">
        <f>B9</f>
        <v>3164102701</v>
      </c>
      <c r="C19" s="175">
        <f>C9</f>
        <v>4021000000</v>
      </c>
      <c r="D19" s="173">
        <f>D9</f>
        <v>501295263</v>
      </c>
      <c r="E19" s="173">
        <f>E9</f>
        <v>2911000000</v>
      </c>
      <c r="F19" s="173">
        <f>F9</f>
        <v>926000000</v>
      </c>
      <c r="G19" s="172"/>
    </row>
    <row r="20" spans="1:11" x14ac:dyDescent="0.2">
      <c r="A20" s="20" t="s">
        <v>380</v>
      </c>
      <c r="B20" s="173">
        <f>(B18/B19)</f>
        <v>14.128492095364511</v>
      </c>
      <c r="C20" s="173">
        <f>C18/C19</f>
        <v>10.735389206665008</v>
      </c>
      <c r="D20" s="173">
        <f>D18/D19</f>
        <v>76.31630063897093</v>
      </c>
      <c r="E20" s="173">
        <f>E18/E19</f>
        <v>42.82274132600481</v>
      </c>
      <c r="F20" s="173">
        <f>F18/F19</f>
        <v>14.901727861771059</v>
      </c>
      <c r="G20" s="172"/>
    </row>
    <row r="21" spans="1:11" x14ac:dyDescent="0.2">
      <c r="A21" s="20" t="s">
        <v>332</v>
      </c>
      <c r="B21" s="173">
        <f>B17/B20</f>
        <v>8.7185524943893178</v>
      </c>
      <c r="C21" s="173">
        <f>C17/C20</f>
        <v>1.083332870016448</v>
      </c>
      <c r="D21" s="173">
        <f>D17/D20</f>
        <v>1.5254932304796509</v>
      </c>
      <c r="E21" s="173">
        <f>E17/E20</f>
        <v>4.4976102425054352</v>
      </c>
      <c r="F21" s="173">
        <f>F17/F20</f>
        <v>1.23676933111095</v>
      </c>
    </row>
    <row r="22" spans="1:11" x14ac:dyDescent="0.2">
      <c r="A22" s="20" t="s">
        <v>387</v>
      </c>
      <c r="B22" s="173">
        <f>AVERAGE(B21:F21)</f>
        <v>3.4123516337003599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11" x14ac:dyDescent="0.2">
      <c r="A25" s="239" t="s">
        <v>342</v>
      </c>
      <c r="B25" s="239" t="s">
        <v>377</v>
      </c>
      <c r="C25" s="239" t="s">
        <v>378</v>
      </c>
      <c r="D25" s="239" t="s">
        <v>376</v>
      </c>
      <c r="E25" s="239" t="s">
        <v>379</v>
      </c>
      <c r="F25" s="239" t="s">
        <v>382</v>
      </c>
      <c r="G25" s="172"/>
    </row>
    <row r="26" spans="1:11" x14ac:dyDescent="0.2">
      <c r="A26" s="20" t="s">
        <v>45</v>
      </c>
      <c r="B26" s="175">
        <f>B7</f>
        <v>389754170709.17999</v>
      </c>
      <c r="C26" s="175">
        <f>C7</f>
        <v>46764230000</v>
      </c>
      <c r="D26" s="175">
        <f>D7</f>
        <v>58360794518.459999</v>
      </c>
      <c r="E26" s="175">
        <f>E7</f>
        <v>560658600000</v>
      </c>
      <c r="F26" s="175">
        <f>F7</f>
        <v>17066180000</v>
      </c>
      <c r="G26" s="172"/>
    </row>
    <row r="27" spans="1:11" x14ac:dyDescent="0.2">
      <c r="A27" s="20" t="s">
        <v>343</v>
      </c>
      <c r="B27" s="175">
        <f>5748*1000000</f>
        <v>5748000000</v>
      </c>
      <c r="C27" s="175">
        <f>138969*1000000</f>
        <v>138969000000</v>
      </c>
      <c r="D27" s="175">
        <f>107700*1000000</f>
        <v>107700000000</v>
      </c>
      <c r="E27" s="175">
        <f>16781*1000000</f>
        <v>16781000000</v>
      </c>
      <c r="F27" s="175">
        <f>1542*1000000</f>
        <v>1542000000</v>
      </c>
      <c r="G27" s="172"/>
    </row>
    <row r="28" spans="1:11" x14ac:dyDescent="0.2">
      <c r="A28" s="20" t="s">
        <v>381</v>
      </c>
      <c r="B28" s="175">
        <f>16253*1000000</f>
        <v>16253000000</v>
      </c>
      <c r="C28" s="175">
        <f>44070*1000000</f>
        <v>44070000000</v>
      </c>
      <c r="D28" s="175">
        <f>66378*1000000</f>
        <v>66378000000</v>
      </c>
      <c r="E28" s="175">
        <f>80948*1000000</f>
        <v>80948000000</v>
      </c>
      <c r="F28" s="175">
        <f>11568*1000000</f>
        <v>11568000000</v>
      </c>
      <c r="G28" s="172"/>
    </row>
    <row r="29" spans="1:11" x14ac:dyDescent="0.2">
      <c r="A29" s="20" t="s">
        <v>344</v>
      </c>
      <c r="B29" s="175">
        <f>B26+B27-B28</f>
        <v>379249170709.17999</v>
      </c>
      <c r="C29" s="175">
        <f>C26+C27-C28</f>
        <v>141663230000</v>
      </c>
      <c r="D29" s="175">
        <f>D26+D27-D28</f>
        <v>99682794518.459991</v>
      </c>
      <c r="E29" s="175">
        <f>E26+E27-E28</f>
        <v>496491600000</v>
      </c>
      <c r="F29" s="175">
        <f>F26+F27-F28</f>
        <v>7040180000</v>
      </c>
      <c r="G29" s="172"/>
    </row>
    <row r="30" spans="1:11" x14ac:dyDescent="0.2">
      <c r="A30" s="20" t="s">
        <v>3</v>
      </c>
      <c r="B30" s="177">
        <f>13656*1000000</f>
        <v>13656000000</v>
      </c>
      <c r="C30" s="175">
        <f>6276*1000000</f>
        <v>6276000000</v>
      </c>
      <c r="D30" s="175">
        <f>22523*1000000</f>
        <v>22523000000</v>
      </c>
      <c r="E30" s="175">
        <f>22435*1000000</f>
        <v>22435000000</v>
      </c>
      <c r="F30" s="175">
        <f>-6856*1000000</f>
        <v>-6856000000</v>
      </c>
      <c r="G30" s="172"/>
    </row>
    <row r="31" spans="1:11" x14ac:dyDescent="0.2">
      <c r="A31" s="20" t="s">
        <v>345</v>
      </c>
      <c r="B31" s="173">
        <f>B29/(B30)</f>
        <v>27.771614726799942</v>
      </c>
      <c r="C31" s="173">
        <f>C29/C30</f>
        <v>22.572216379859782</v>
      </c>
      <c r="D31" s="173">
        <f>D29/D30</f>
        <v>4.4258222491879406</v>
      </c>
      <c r="E31" s="173">
        <f>E29/E30</f>
        <v>22.130225094718075</v>
      </c>
      <c r="F31" s="173">
        <f>F29/F30</f>
        <v>-1.0268640606767794</v>
      </c>
    </row>
    <row r="32" spans="1:11" x14ac:dyDescent="0.2">
      <c r="A32" s="20" t="s">
        <v>387</v>
      </c>
      <c r="B32" s="173">
        <f>AVERAGE(B31:F31)</f>
        <v>15.17460287797779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19" t="s">
        <v>451</v>
      </c>
      <c r="B33" s="466">
        <f>AVERAGE(B31:E31)</f>
        <v>19.224969612641434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">
      <c r="H34" s="9"/>
      <c r="I34" s="9"/>
    </row>
    <row r="35" spans="1:11" x14ac:dyDescent="0.2">
      <c r="B35" s="467" t="s">
        <v>90</v>
      </c>
      <c r="C35" s="468"/>
      <c r="D35" s="469" t="s">
        <v>384</v>
      </c>
      <c r="E35" s="469"/>
      <c r="F35" s="172"/>
    </row>
    <row r="36" spans="1:11" x14ac:dyDescent="0.2">
      <c r="B36" s="20" t="s">
        <v>383</v>
      </c>
      <c r="C36" s="173">
        <f>B14</f>
        <v>21.548957391732262</v>
      </c>
      <c r="D36" s="20" t="s">
        <v>383</v>
      </c>
      <c r="E36" s="173">
        <f>E12</f>
        <v>29.004583548887737</v>
      </c>
    </row>
    <row r="37" spans="1:11" x14ac:dyDescent="0.2">
      <c r="B37" s="20" t="s">
        <v>332</v>
      </c>
      <c r="C37" s="173">
        <f>B22</f>
        <v>3.4123516337003599</v>
      </c>
      <c r="D37" s="20" t="s">
        <v>332</v>
      </c>
      <c r="E37" s="173">
        <f>E21</f>
        <v>4.4976102425054352</v>
      </c>
    </row>
    <row r="38" spans="1:11" x14ac:dyDescent="0.2">
      <c r="B38" s="20" t="s">
        <v>345</v>
      </c>
      <c r="C38" s="173">
        <f>B33</f>
        <v>19.224969612641434</v>
      </c>
      <c r="D38" s="20" t="s">
        <v>345</v>
      </c>
      <c r="E38" s="173">
        <f>E31</f>
        <v>22.130225094718075</v>
      </c>
    </row>
    <row r="39" spans="1:11" x14ac:dyDescent="0.2">
      <c r="B39" s="467" t="s">
        <v>385</v>
      </c>
      <c r="C39" s="468"/>
      <c r="D39" s="467" t="s">
        <v>386</v>
      </c>
      <c r="E39" s="468"/>
    </row>
    <row r="40" spans="1:11" x14ac:dyDescent="0.2">
      <c r="B40" s="20" t="s">
        <v>383</v>
      </c>
      <c r="C40" s="174">
        <f>C36*B11</f>
        <v>85.723110885121045</v>
      </c>
      <c r="D40" s="20" t="s">
        <v>383</v>
      </c>
      <c r="E40" s="34">
        <f>E36*B11</f>
        <v>115.38206171830892</v>
      </c>
    </row>
    <row r="41" spans="1:11" x14ac:dyDescent="0.2">
      <c r="B41" s="20" t="s">
        <v>332</v>
      </c>
      <c r="C41" s="34">
        <f>C37*B20</f>
        <v>48.211383083339712</v>
      </c>
      <c r="D41" s="20" t="s">
        <v>332</v>
      </c>
      <c r="E41" s="34">
        <f>E37*B20</f>
        <v>63.5444507592685</v>
      </c>
    </row>
    <row r="42" spans="1:11" x14ac:dyDescent="0.2">
      <c r="B42" s="20" t="s">
        <v>345</v>
      </c>
      <c r="C42" s="34">
        <f>((C38*B30)-B27)/B19</f>
        <v>81.156716230821047</v>
      </c>
      <c r="D42" s="20" t="s">
        <v>345</v>
      </c>
      <c r="E42" s="34">
        <f>((E38*B30)-B27)/B19</f>
        <v>93.695553497607548</v>
      </c>
    </row>
    <row r="43" spans="1:11" x14ac:dyDescent="0.2">
      <c r="B43" s="20" t="s">
        <v>339</v>
      </c>
      <c r="C43" s="34">
        <f>AVERAGE(C40:C42)</f>
        <v>71.697070066427258</v>
      </c>
      <c r="D43" s="20" t="s">
        <v>339</v>
      </c>
      <c r="E43" s="34">
        <f>AVERAGE(E40:E42)</f>
        <v>90.874021991728327</v>
      </c>
    </row>
    <row r="45" spans="1:11" x14ac:dyDescent="0.2">
      <c r="B45" s="242" t="s">
        <v>456</v>
      </c>
      <c r="C45" s="243">
        <v>44926</v>
      </c>
      <c r="D45" s="244" t="s">
        <v>455</v>
      </c>
    </row>
    <row r="46" spans="1:11" x14ac:dyDescent="0.2">
      <c r="B46" s="245" t="s">
        <v>452</v>
      </c>
      <c r="C46" s="10">
        <f ca="1">'DCF; F&amp;U justert'!B84</f>
        <v>158.22570926443387</v>
      </c>
      <c r="D46" s="208">
        <f ca="1">(C46-C48)/C48</f>
        <v>0.28450811222953293</v>
      </c>
    </row>
    <row r="47" spans="1:11" x14ac:dyDescent="0.2">
      <c r="B47" s="245" t="s">
        <v>453</v>
      </c>
      <c r="C47" s="10">
        <f>E43</f>
        <v>90.874021991728327</v>
      </c>
      <c r="D47" s="208">
        <f>(C47-C48)/C47</f>
        <v>-0.35550289620957115</v>
      </c>
    </row>
    <row r="48" spans="1:11" x14ac:dyDescent="0.2">
      <c r="B48" s="246" t="s">
        <v>454</v>
      </c>
      <c r="C48" s="169">
        <v>123.18</v>
      </c>
      <c r="D48" s="201"/>
    </row>
    <row r="50" spans="2:3" x14ac:dyDescent="0.2">
      <c r="B50" s="247" t="s">
        <v>484</v>
      </c>
      <c r="C50" s="13">
        <f ca="1">('DCF; F&amp;U justert'!A89-'Multippel analyse'!C48)/'Multippel analyse'!C48</f>
        <v>0.22983065868780092</v>
      </c>
    </row>
  </sheetData>
  <mergeCells count="4">
    <mergeCell ref="D39:E39"/>
    <mergeCell ref="B35:C35"/>
    <mergeCell ref="B39:C39"/>
    <mergeCell ref="D35:E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76E0-44B3-1E44-A44E-8BA9C124F340}">
  <dimension ref="A2:L14"/>
  <sheetViews>
    <sheetView zoomScale="61" workbookViewId="0">
      <selection activeCell="A3" sqref="A3:N3"/>
    </sheetView>
  </sheetViews>
  <sheetFormatPr baseColWidth="10" defaultRowHeight="16" x14ac:dyDescent="0.2"/>
  <cols>
    <col min="1" max="1" width="26" bestFit="1" customWidth="1"/>
    <col min="2" max="2" width="26.33203125" bestFit="1" customWidth="1"/>
    <col min="3" max="3" width="9" bestFit="1" customWidth="1"/>
    <col min="4" max="13" width="8" bestFit="1" customWidth="1"/>
  </cols>
  <sheetData>
    <row r="2" spans="1:12" ht="19" x14ac:dyDescent="0.25">
      <c r="A2" s="85" t="s">
        <v>565</v>
      </c>
    </row>
    <row r="4" spans="1:12" x14ac:dyDescent="0.2">
      <c r="A4" s="230" t="s">
        <v>127</v>
      </c>
      <c r="B4" s="230"/>
      <c r="C4" s="249">
        <v>2023</v>
      </c>
      <c r="D4" s="249">
        <v>2024</v>
      </c>
      <c r="E4" s="249">
        <v>2025</v>
      </c>
      <c r="F4" s="249">
        <v>2026</v>
      </c>
      <c r="G4" s="249">
        <v>2027</v>
      </c>
      <c r="H4" s="249">
        <v>2028</v>
      </c>
      <c r="I4" s="249">
        <v>2029</v>
      </c>
      <c r="J4" s="249">
        <v>2030</v>
      </c>
      <c r="K4" s="249">
        <v>2031</v>
      </c>
      <c r="L4" s="280">
        <v>2032</v>
      </c>
    </row>
    <row r="5" spans="1:12" x14ac:dyDescent="0.2">
      <c r="A5" s="295" t="s">
        <v>180</v>
      </c>
      <c r="B5" s="225"/>
      <c r="C5" s="226">
        <f>'DCF; F&amp;U justert'!C50</f>
        <v>6175.9908974564141</v>
      </c>
      <c r="D5" s="226">
        <f ca="1">'DCF; F&amp;U justert'!D50</f>
        <v>14551.122332803307</v>
      </c>
      <c r="E5" s="226">
        <f ca="1">'DCF; F&amp;U justert'!E50</f>
        <v>18520.648195027556</v>
      </c>
      <c r="F5" s="226">
        <f ca="1">'DCF; F&amp;U justert'!F50</f>
        <v>23548.379425006042</v>
      </c>
      <c r="G5" s="226">
        <f ca="1">'DCF; F&amp;U justert'!G50</f>
        <v>29892.609708391195</v>
      </c>
      <c r="H5" s="226">
        <f ca="1">'DCF; F&amp;U justert'!H50</f>
        <v>31259.909790420417</v>
      </c>
      <c r="I5" s="226">
        <f ca="1">'DCF; F&amp;U justert'!I50</f>
        <v>40512.294317443375</v>
      </c>
      <c r="J5" s="226">
        <f ca="1">'DCF; F&amp;U justert'!J50</f>
        <v>50370.118725301625</v>
      </c>
      <c r="K5" s="226">
        <f ca="1">'DCF; F&amp;U justert'!K50</f>
        <v>59926.196421359251</v>
      </c>
      <c r="L5" s="227">
        <f>'DCF; F&amp;U justert'!L50</f>
        <v>68025.520037854469</v>
      </c>
    </row>
    <row r="6" spans="1:12" x14ac:dyDescent="0.2">
      <c r="A6" s="151" t="s">
        <v>485</v>
      </c>
      <c r="B6" s="151"/>
      <c r="C6" s="293">
        <f>'DCF; F&amp;U justert'!C53</f>
        <v>1.1003887721297505</v>
      </c>
      <c r="D6" s="293">
        <f>'DCF; F&amp;U justert'!D53</f>
        <v>1.2108554498292199</v>
      </c>
      <c r="E6" s="293">
        <f>'DCF; F&amp;U justert'!E53</f>
        <v>1.3324117416641921</v>
      </c>
      <c r="F6" s="293">
        <f>'DCF; F&amp;U justert'!F53</f>
        <v>1.4661709203811224</v>
      </c>
      <c r="G6" s="293">
        <f>'DCF; F&amp;U justert'!G53</f>
        <v>1.6133580188105294</v>
      </c>
      <c r="H6" s="293">
        <f>'DCF; F&amp;U justert'!H53</f>
        <v>1.7753210493246052</v>
      </c>
      <c r="I6" s="293">
        <f>'DCF; F&amp;U justert'!I53</f>
        <v>1.9535433496024028</v>
      </c>
      <c r="J6" s="293">
        <f>'DCF; F&amp;U justert'!J53</f>
        <v>2.1496571677712275</v>
      </c>
      <c r="K6" s="293">
        <f>'DCF; F&amp;U justert'!K53</f>
        <v>2.3654586113436982</v>
      </c>
      <c r="L6" s="294">
        <f>'DCF; F&amp;U justert'!L53</f>
        <v>2.6029240968602365</v>
      </c>
    </row>
    <row r="7" spans="1:12" s="4" customFormat="1" x14ac:dyDescent="0.2">
      <c r="A7" s="19" t="s">
        <v>474</v>
      </c>
      <c r="B7" s="162">
        <f ca="1">SUM(C7:L7)</f>
        <v>179364.9204130799</v>
      </c>
      <c r="C7" s="228">
        <f>C5/C6</f>
        <v>5612.553539148782</v>
      </c>
      <c r="D7" s="228">
        <f ca="1">D5/D6</f>
        <v>12017.224958483368</v>
      </c>
      <c r="E7" s="228">
        <f t="shared" ref="E7:L7" ca="1" si="0">E5/E6</f>
        <v>13900.093804258382</v>
      </c>
      <c r="F7" s="228">
        <f t="shared" ca="1" si="0"/>
        <v>16061.14205217273</v>
      </c>
      <c r="G7" s="228">
        <f t="shared" ca="1" si="0"/>
        <v>18528.193593651293</v>
      </c>
      <c r="H7" s="228">
        <f t="shared" ca="1" si="0"/>
        <v>17608.031968253174</v>
      </c>
      <c r="I7" s="228">
        <f t="shared" ca="1" si="0"/>
        <v>20737.852746236058</v>
      </c>
      <c r="J7" s="228">
        <f t="shared" ca="1" si="0"/>
        <v>23431.698542668342</v>
      </c>
      <c r="K7" s="228">
        <f t="shared" ca="1" si="0"/>
        <v>25333.859630424136</v>
      </c>
      <c r="L7" s="229">
        <f t="shared" si="0"/>
        <v>26134.269577783652</v>
      </c>
    </row>
    <row r="8" spans="1:12" x14ac:dyDescent="0.2">
      <c r="A8" s="60" t="s">
        <v>475</v>
      </c>
      <c r="B8" s="205">
        <f>'DCF; F&amp;U justert'!B76</f>
        <v>301976.16093282908</v>
      </c>
    </row>
    <row r="9" spans="1:12" x14ac:dyDescent="0.2">
      <c r="A9" s="19" t="s">
        <v>476</v>
      </c>
      <c r="B9" s="162">
        <f ca="1">B7+B8</f>
        <v>481341.08134590898</v>
      </c>
    </row>
    <row r="10" spans="1:12" x14ac:dyDescent="0.2">
      <c r="A10" s="151" t="s">
        <v>477</v>
      </c>
      <c r="B10" s="206">
        <f>'DCF; F&amp;U justert'!B80</f>
        <v>5748</v>
      </c>
    </row>
    <row r="11" spans="1:12" x14ac:dyDescent="0.2">
      <c r="A11" s="151" t="s">
        <v>478</v>
      </c>
      <c r="B11" s="206">
        <f>'DCF; F&amp;U justert'!B81</f>
        <v>22185</v>
      </c>
    </row>
    <row r="12" spans="1:12" x14ac:dyDescent="0.2">
      <c r="A12" s="19" t="s">
        <v>479</v>
      </c>
      <c r="B12" s="162">
        <f ca="1">B9-B10+B11</f>
        <v>497778.08134590898</v>
      </c>
    </row>
    <row r="13" spans="1:12" x14ac:dyDescent="0.2">
      <c r="A13" s="151" t="s">
        <v>480</v>
      </c>
      <c r="B13" s="206">
        <f>'DCF; F&amp;U justert'!B83</f>
        <v>3146</v>
      </c>
    </row>
    <row r="14" spans="1:12" x14ac:dyDescent="0.2">
      <c r="A14" s="19" t="s">
        <v>481</v>
      </c>
      <c r="B14" s="73">
        <f ca="1">B12/B13</f>
        <v>158.22570926443387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6F3-3E14-FB43-9E8D-2AD1923ECD0B}">
  <dimension ref="A2:G40"/>
  <sheetViews>
    <sheetView workbookViewId="0">
      <selection activeCell="J18" sqref="J18"/>
    </sheetView>
  </sheetViews>
  <sheetFormatPr baseColWidth="10" defaultRowHeight="16" x14ac:dyDescent="0.2"/>
  <cols>
    <col min="1" max="1" width="23" bestFit="1" customWidth="1"/>
    <col min="2" max="4" width="9.33203125" bestFit="1" customWidth="1"/>
    <col min="5" max="6" width="8.83203125" bestFit="1" customWidth="1"/>
    <col min="7" max="7" width="13" customWidth="1"/>
  </cols>
  <sheetData>
    <row r="2" spans="1:7" ht="19" x14ac:dyDescent="0.25">
      <c r="A2" s="85" t="s">
        <v>562</v>
      </c>
    </row>
    <row r="5" spans="1:7" x14ac:dyDescent="0.2">
      <c r="A5" s="4" t="s">
        <v>55</v>
      </c>
    </row>
    <row r="6" spans="1:7" x14ac:dyDescent="0.2">
      <c r="A6" s="215" t="s">
        <v>127</v>
      </c>
      <c r="B6" s="216">
        <v>2022</v>
      </c>
      <c r="C6" s="216">
        <v>2021</v>
      </c>
      <c r="D6" s="216">
        <v>2020</v>
      </c>
      <c r="E6" s="216">
        <v>2019</v>
      </c>
      <c r="F6" s="216">
        <v>2018</v>
      </c>
      <c r="G6" s="217" t="s">
        <v>339</v>
      </c>
    </row>
    <row r="7" spans="1:7" x14ac:dyDescent="0.2">
      <c r="A7" s="145" t="s">
        <v>466</v>
      </c>
      <c r="B7" s="168">
        <f>Resultatregnskap!K30</f>
        <v>15141</v>
      </c>
      <c r="C7" s="168">
        <f>Resultatregnskap!L30</f>
        <v>7635</v>
      </c>
      <c r="D7" s="168">
        <f>Resultatregnskap!M30</f>
        <v>1498</v>
      </c>
      <c r="E7" s="168">
        <f>Resultatregnskap!N30</f>
        <v>-293</v>
      </c>
      <c r="F7" s="168">
        <f>Resultatregnskap!O30</f>
        <v>-268</v>
      </c>
      <c r="G7" s="60"/>
    </row>
    <row r="8" spans="1:7" x14ac:dyDescent="0.2">
      <c r="A8" s="145" t="s">
        <v>462</v>
      </c>
      <c r="B8" s="168">
        <f>-Resultatregnskap!K28</f>
        <v>191</v>
      </c>
      <c r="C8" s="168">
        <f>-Resultatregnskap!L28</f>
        <v>371</v>
      </c>
      <c r="D8" s="168">
        <f>-Resultatregnskap!M28</f>
        <v>748</v>
      </c>
      <c r="E8" s="168">
        <f>-Resultatregnskap!N28</f>
        <v>685</v>
      </c>
      <c r="F8" s="168">
        <f>-Resultatregnskap!O28</f>
        <v>663</v>
      </c>
      <c r="G8" s="151"/>
    </row>
    <row r="9" spans="1:7" x14ac:dyDescent="0.2">
      <c r="A9" s="145" t="s">
        <v>467</v>
      </c>
      <c r="B9" s="168">
        <f>Balanse!K55</f>
        <v>67582.2</v>
      </c>
      <c r="C9" s="168">
        <f>Balanse!L55</f>
        <v>56307.4</v>
      </c>
      <c r="D9" s="168">
        <f>Balanse!M55</f>
        <v>38124</v>
      </c>
      <c r="E9" s="168">
        <f>Balanse!N55</f>
        <v>33182</v>
      </c>
      <c r="F9" s="168">
        <f>Balanse!O55</f>
        <v>31362</v>
      </c>
      <c r="G9" s="151"/>
    </row>
    <row r="10" spans="1:7" x14ac:dyDescent="0.2">
      <c r="A10" s="145" t="s">
        <v>468</v>
      </c>
      <c r="B10" s="168">
        <f>Balanse!J55</f>
        <v>89211.199999999997</v>
      </c>
      <c r="C10" s="168">
        <f>Balanse!K55</f>
        <v>67582.2</v>
      </c>
      <c r="D10" s="168">
        <f>Balanse!L55</f>
        <v>56307.4</v>
      </c>
      <c r="E10" s="168">
        <f>Balanse!M55</f>
        <v>38124</v>
      </c>
      <c r="F10" s="168">
        <f>Balanse!N55</f>
        <v>33182</v>
      </c>
      <c r="G10" s="151"/>
    </row>
    <row r="11" spans="1:7" x14ac:dyDescent="0.2">
      <c r="A11" s="212" t="s">
        <v>472</v>
      </c>
      <c r="B11" s="209">
        <f>(B7+B8)/((B9+B10)/2)</f>
        <v>0.19556945636742365</v>
      </c>
      <c r="C11" s="209">
        <f t="shared" ref="C11:F11" si="0">(C7+C8)/((C9+C10)/2)</f>
        <v>0.12924410119977786</v>
      </c>
      <c r="D11" s="209">
        <f t="shared" si="0"/>
        <v>4.7568923048901111E-2</v>
      </c>
      <c r="E11" s="209">
        <f t="shared" si="0"/>
        <v>1.0994867192101647E-2</v>
      </c>
      <c r="F11" s="209">
        <f t="shared" si="0"/>
        <v>1.2239712444224095E-2</v>
      </c>
      <c r="G11" s="213">
        <f>SUM(B11:F11)/5</f>
        <v>7.9123412050485675E-2</v>
      </c>
    </row>
    <row r="12" spans="1:7" x14ac:dyDescent="0.2">
      <c r="A12" s="4"/>
      <c r="B12" s="199"/>
      <c r="C12" s="199"/>
      <c r="D12" s="199"/>
      <c r="E12" s="199"/>
      <c r="F12" s="199"/>
    </row>
    <row r="14" spans="1:7" x14ac:dyDescent="0.2">
      <c r="A14" s="4" t="s">
        <v>57</v>
      </c>
    </row>
    <row r="15" spans="1:7" x14ac:dyDescent="0.2">
      <c r="A15" s="215" t="s">
        <v>127</v>
      </c>
      <c r="B15" s="216">
        <v>2022</v>
      </c>
      <c r="C15" s="216">
        <v>2021</v>
      </c>
      <c r="D15" s="216">
        <v>2020</v>
      </c>
      <c r="E15" s="216">
        <v>2019</v>
      </c>
      <c r="F15" s="216">
        <v>2018</v>
      </c>
      <c r="G15" s="217" t="s">
        <v>339</v>
      </c>
    </row>
    <row r="16" spans="1:7" x14ac:dyDescent="0.2">
      <c r="A16" s="145" t="s">
        <v>466</v>
      </c>
      <c r="B16" s="168">
        <f>Resultatregnskap!K30</f>
        <v>15141</v>
      </c>
      <c r="C16" s="168">
        <f>Resultatregnskap!L30</f>
        <v>7635</v>
      </c>
      <c r="D16" s="168">
        <f>Resultatregnskap!M30</f>
        <v>1498</v>
      </c>
      <c r="E16" s="168">
        <f>Resultatregnskap!N30</f>
        <v>-293</v>
      </c>
      <c r="F16" s="168">
        <f>Resultatregnskap!O30</f>
        <v>-268</v>
      </c>
      <c r="G16" s="60"/>
    </row>
    <row r="17" spans="1:7" x14ac:dyDescent="0.2">
      <c r="A17" s="145" t="s">
        <v>469</v>
      </c>
      <c r="B17" s="168">
        <f>Balanse!K52</f>
        <v>35640.199999999997</v>
      </c>
      <c r="C17" s="168">
        <f>Balanse!L52</f>
        <v>26435.4</v>
      </c>
      <c r="D17" s="168">
        <f>Balanse!M52</f>
        <v>10433</v>
      </c>
      <c r="E17" s="168">
        <f>Balanse!N52</f>
        <v>8366</v>
      </c>
      <c r="F17" s="168">
        <f>Balanse!O52</f>
        <v>6945</v>
      </c>
      <c r="G17" s="151"/>
    </row>
    <row r="18" spans="1:7" x14ac:dyDescent="0.2">
      <c r="A18" s="145" t="s">
        <v>470</v>
      </c>
      <c r="B18" s="168">
        <f>Balanse!J52</f>
        <v>51577.2</v>
      </c>
      <c r="C18" s="168">
        <f>Balanse!K52</f>
        <v>35640.199999999997</v>
      </c>
      <c r="D18" s="168">
        <f>Balanse!L52</f>
        <v>26435.4</v>
      </c>
      <c r="E18" s="168">
        <f>Balanse!M52</f>
        <v>10433</v>
      </c>
      <c r="F18" s="168">
        <f>Balanse!N52</f>
        <v>8366</v>
      </c>
      <c r="G18" s="151"/>
    </row>
    <row r="19" spans="1:7" x14ac:dyDescent="0.2">
      <c r="A19" s="212" t="s">
        <v>57</v>
      </c>
      <c r="B19" s="209">
        <f>B16/((B17+B18)/2)</f>
        <v>0.34720136119627509</v>
      </c>
      <c r="C19" s="209">
        <f t="shared" ref="C19:F19" si="1">C16/((C17+C18)/2)</f>
        <v>0.24599037302901625</v>
      </c>
      <c r="D19" s="209">
        <f t="shared" si="1"/>
        <v>8.1262002148181092E-2</v>
      </c>
      <c r="E19" s="209">
        <f t="shared" si="1"/>
        <v>-3.1171870844193841E-2</v>
      </c>
      <c r="F19" s="209">
        <f t="shared" si="1"/>
        <v>-3.5007510939847171E-2</v>
      </c>
      <c r="G19" s="213">
        <f>SUM(B19:F19)/5</f>
        <v>0.12165487091788629</v>
      </c>
    </row>
    <row r="20" spans="1:7" x14ac:dyDescent="0.2">
      <c r="A20" s="4"/>
      <c r="B20" s="199"/>
      <c r="C20" s="199"/>
      <c r="D20" s="199"/>
      <c r="E20" s="199"/>
      <c r="F20" s="199"/>
    </row>
    <row r="22" spans="1:7" x14ac:dyDescent="0.2">
      <c r="A22" s="4" t="s">
        <v>463</v>
      </c>
    </row>
    <row r="23" spans="1:7" x14ac:dyDescent="0.2">
      <c r="A23" s="215" t="s">
        <v>127</v>
      </c>
      <c r="B23" s="216">
        <v>2022</v>
      </c>
      <c r="C23" s="216">
        <v>2021</v>
      </c>
      <c r="D23" s="216">
        <v>2020</v>
      </c>
      <c r="E23" s="216">
        <v>2019</v>
      </c>
      <c r="F23" s="216">
        <v>2018</v>
      </c>
      <c r="G23" s="217" t="s">
        <v>339</v>
      </c>
    </row>
    <row r="24" spans="1:7" x14ac:dyDescent="0.2">
      <c r="A24" s="145" t="s">
        <v>51</v>
      </c>
      <c r="B24" s="168">
        <f>Balanse!J43</f>
        <v>36440</v>
      </c>
      <c r="C24" s="168">
        <f>Balanse!K43</f>
        <v>30548</v>
      </c>
      <c r="D24" s="168">
        <f>Balanse!L43</f>
        <v>28418</v>
      </c>
      <c r="E24" s="168">
        <f>Balanse!M43</f>
        <v>26199</v>
      </c>
      <c r="F24" s="168">
        <f>Balanse!N43</f>
        <v>23426</v>
      </c>
      <c r="G24" s="60"/>
    </row>
    <row r="25" spans="1:7" x14ac:dyDescent="0.2">
      <c r="A25" s="145" t="s">
        <v>464</v>
      </c>
      <c r="B25" s="168">
        <f>Balanse!J54</f>
        <v>52362.2</v>
      </c>
      <c r="C25" s="168">
        <f>Balanse!K54</f>
        <v>36466.199999999997</v>
      </c>
      <c r="D25" s="168">
        <f>Balanse!L54</f>
        <v>27285.4</v>
      </c>
      <c r="E25" s="168">
        <f>Balanse!M54</f>
        <v>11282</v>
      </c>
      <c r="F25" s="168">
        <f>Balanse!N54</f>
        <v>9200</v>
      </c>
      <c r="G25" s="151"/>
    </row>
    <row r="26" spans="1:7" x14ac:dyDescent="0.2">
      <c r="A26" s="212" t="s">
        <v>463</v>
      </c>
      <c r="B26" s="210">
        <f>B24/B25</f>
        <v>0.69592186730122119</v>
      </c>
      <c r="C26" s="210">
        <f t="shared" ref="C26:F26" si="2">C24/C25</f>
        <v>0.83770724671065266</v>
      </c>
      <c r="D26" s="210">
        <f t="shared" si="2"/>
        <v>1.0415093786420575</v>
      </c>
      <c r="E26" s="210">
        <f t="shared" si="2"/>
        <v>2.3221946463393017</v>
      </c>
      <c r="F26" s="210">
        <f t="shared" si="2"/>
        <v>2.5463043478260872</v>
      </c>
      <c r="G26" s="214">
        <f>SUM(B26:F26)/5</f>
        <v>1.488727497363864</v>
      </c>
    </row>
    <row r="27" spans="1:7" x14ac:dyDescent="0.2">
      <c r="A27" s="4"/>
      <c r="B27" s="211"/>
      <c r="C27" s="211"/>
      <c r="D27" s="211"/>
      <c r="E27" s="211"/>
      <c r="F27" s="211"/>
    </row>
    <row r="29" spans="1:7" x14ac:dyDescent="0.2">
      <c r="A29" s="4" t="s">
        <v>53</v>
      </c>
    </row>
    <row r="30" spans="1:7" x14ac:dyDescent="0.2">
      <c r="A30" s="215" t="s">
        <v>127</v>
      </c>
      <c r="B30" s="216">
        <v>2022</v>
      </c>
      <c r="C30" s="216">
        <v>2021</v>
      </c>
      <c r="D30" s="216">
        <v>2020</v>
      </c>
      <c r="E30" s="216">
        <v>2019</v>
      </c>
      <c r="F30" s="216">
        <v>2018</v>
      </c>
      <c r="G30" s="217" t="s">
        <v>339</v>
      </c>
    </row>
    <row r="31" spans="1:7" x14ac:dyDescent="0.2">
      <c r="A31" s="145" t="s">
        <v>46</v>
      </c>
      <c r="B31" s="168">
        <f>Balanse!J12</f>
        <v>40917</v>
      </c>
      <c r="C31" s="168">
        <f>Balanse!K12</f>
        <v>27100</v>
      </c>
      <c r="D31" s="168">
        <f>Balanse!L12</f>
        <v>26717</v>
      </c>
      <c r="E31" s="168">
        <f>Balanse!M12</f>
        <v>12103</v>
      </c>
      <c r="F31" s="168">
        <f>Balanse!N12</f>
        <v>8306</v>
      </c>
      <c r="G31" s="60"/>
    </row>
    <row r="32" spans="1:7" x14ac:dyDescent="0.2">
      <c r="A32" s="145" t="s">
        <v>471</v>
      </c>
      <c r="B32" s="168">
        <f>Balanse!J31</f>
        <v>26709</v>
      </c>
      <c r="C32" s="168">
        <f>Balanse!K31</f>
        <v>19705</v>
      </c>
      <c r="D32" s="168">
        <f>Balanse!L31</f>
        <v>14248</v>
      </c>
      <c r="E32" s="168">
        <f>Balanse!M31</f>
        <v>10667</v>
      </c>
      <c r="F32" s="168">
        <f>Balanse!N31</f>
        <v>9992</v>
      </c>
      <c r="G32" s="151"/>
    </row>
    <row r="33" spans="1:7" x14ac:dyDescent="0.2">
      <c r="A33" s="212" t="s">
        <v>53</v>
      </c>
      <c r="B33" s="210">
        <f>B31/B32</f>
        <v>1.53195552061103</v>
      </c>
      <c r="C33" s="210">
        <f t="shared" ref="C33:F33" si="3">C31/C32</f>
        <v>1.3752854605430094</v>
      </c>
      <c r="D33" s="210">
        <f t="shared" si="3"/>
        <v>1.8751403705783267</v>
      </c>
      <c r="E33" s="210">
        <f t="shared" si="3"/>
        <v>1.1346207931002157</v>
      </c>
      <c r="F33" s="210">
        <f t="shared" si="3"/>
        <v>0.83126501200960767</v>
      </c>
      <c r="G33" s="214">
        <f>SUM(B33:F33)/5</f>
        <v>1.3496534313684381</v>
      </c>
    </row>
    <row r="34" spans="1:7" x14ac:dyDescent="0.2">
      <c r="A34" s="4"/>
      <c r="B34" s="211"/>
      <c r="C34" s="211"/>
      <c r="D34" s="211"/>
      <c r="E34" s="211"/>
      <c r="F34" s="211"/>
    </row>
    <row r="36" spans="1:7" x14ac:dyDescent="0.2">
      <c r="A36" s="4" t="s">
        <v>54</v>
      </c>
    </row>
    <row r="37" spans="1:7" x14ac:dyDescent="0.2">
      <c r="A37" s="215" t="s">
        <v>127</v>
      </c>
      <c r="B37" s="216">
        <v>2022</v>
      </c>
      <c r="C37" s="216">
        <v>2021</v>
      </c>
      <c r="D37" s="216">
        <v>2020</v>
      </c>
      <c r="E37" s="216">
        <v>2019</v>
      </c>
      <c r="F37" s="216">
        <v>2018</v>
      </c>
      <c r="G37" s="217" t="s">
        <v>339</v>
      </c>
    </row>
    <row r="38" spans="1:7" x14ac:dyDescent="0.2">
      <c r="A38" s="145" t="s">
        <v>465</v>
      </c>
      <c r="B38" s="168">
        <f>Balanse!J7+Balanse!J8+Balanse!J9</f>
        <v>25137</v>
      </c>
      <c r="C38" s="168">
        <f>Balanse!K7+Balanse!K8+Balanse!K9</f>
        <v>19620</v>
      </c>
      <c r="D38" s="168">
        <f>Balanse!L7+Balanse!L8+Balanse!L9</f>
        <v>21270</v>
      </c>
      <c r="E38" s="168">
        <f>Balanse!M7+Balanse!M8+Balanse!M9</f>
        <v>7592</v>
      </c>
      <c r="F38" s="168">
        <f>Balanse!N7+Balanse!N8+Balanse!N9</f>
        <v>4635</v>
      </c>
      <c r="G38" s="60"/>
    </row>
    <row r="39" spans="1:7" x14ac:dyDescent="0.2">
      <c r="A39" s="145" t="s">
        <v>471</v>
      </c>
      <c r="B39" s="168">
        <f>Balanse!J31</f>
        <v>26709</v>
      </c>
      <c r="C39" s="168">
        <f>Balanse!K31</f>
        <v>19705</v>
      </c>
      <c r="D39" s="168">
        <f>Balanse!L31</f>
        <v>14248</v>
      </c>
      <c r="E39" s="168">
        <f>Balanse!M31</f>
        <v>10667</v>
      </c>
      <c r="F39" s="168">
        <f>Balanse!N31</f>
        <v>9992</v>
      </c>
      <c r="G39" s="151"/>
    </row>
    <row r="40" spans="1:7" x14ac:dyDescent="0.2">
      <c r="A40" s="212" t="s">
        <v>54</v>
      </c>
      <c r="B40" s="210">
        <f>B38/B39</f>
        <v>0.94114343479725937</v>
      </c>
      <c r="C40" s="210">
        <f t="shared" ref="C40:F40" si="4">C38/C39</f>
        <v>0.99568637401674698</v>
      </c>
      <c r="D40" s="210">
        <f t="shared" si="4"/>
        <v>1.4928411005053341</v>
      </c>
      <c r="E40" s="210">
        <f t="shared" si="4"/>
        <v>0.71172775850754666</v>
      </c>
      <c r="F40" s="210">
        <f t="shared" si="4"/>
        <v>0.463871096877502</v>
      </c>
      <c r="G40" s="214">
        <f>SUM(B40:F40)/5</f>
        <v>0.92105395294087766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0CE16-C8BB-6449-9F5C-0285248B52C5}">
  <dimension ref="A2:AQ174"/>
  <sheetViews>
    <sheetView zoomScale="50" workbookViewId="0">
      <selection activeCell="A121" sqref="A121:B121"/>
    </sheetView>
  </sheetViews>
  <sheetFormatPr baseColWidth="10" defaultRowHeight="16" x14ac:dyDescent="0.2"/>
  <cols>
    <col min="1" max="1" width="20.83203125" customWidth="1"/>
    <col min="2" max="2" width="8.5" customWidth="1"/>
    <col min="3" max="3" width="8.33203125" customWidth="1"/>
    <col min="4" max="4" width="8.83203125" customWidth="1"/>
    <col min="5" max="5" width="8.5" customWidth="1"/>
    <col min="6" max="6" width="7.83203125" customWidth="1"/>
    <col min="7" max="8" width="12.33203125" bestFit="1" customWidth="1"/>
    <col min="10" max="10" width="16.83203125" bestFit="1" customWidth="1"/>
    <col min="11" max="11" width="16.6640625" bestFit="1" customWidth="1"/>
    <col min="13" max="13" width="18.1640625" customWidth="1"/>
    <col min="14" max="25" width="10.1640625" customWidth="1"/>
    <col min="26" max="26" width="12" bestFit="1" customWidth="1"/>
    <col min="27" max="27" width="13.6640625" customWidth="1"/>
    <col min="28" max="30" width="11.33203125" bestFit="1" customWidth="1"/>
    <col min="31" max="31" width="10.5" bestFit="1" customWidth="1"/>
    <col min="32" max="32" width="9.33203125" bestFit="1" customWidth="1"/>
    <col min="33" max="33" width="10.1640625" bestFit="1" customWidth="1"/>
    <col min="34" max="34" width="14" bestFit="1" customWidth="1"/>
    <col min="35" max="35" width="11.1640625" bestFit="1" customWidth="1"/>
    <col min="36" max="36" width="11.5" bestFit="1" customWidth="1"/>
    <col min="37" max="40" width="11.83203125" bestFit="1" customWidth="1"/>
    <col min="41" max="41" width="11.6640625" bestFit="1" customWidth="1"/>
    <col min="42" max="42" width="15.1640625" bestFit="1" customWidth="1"/>
  </cols>
  <sheetData>
    <row r="2" spans="1:25" ht="19" x14ac:dyDescent="0.25">
      <c r="A2" s="85" t="s">
        <v>561</v>
      </c>
    </row>
    <row r="5" spans="1:25" ht="19" x14ac:dyDescent="0.25">
      <c r="A5" s="85" t="s">
        <v>186</v>
      </c>
    </row>
    <row r="7" spans="1:25" ht="32" x14ac:dyDescent="0.2">
      <c r="A7" s="230" t="s">
        <v>127</v>
      </c>
      <c r="B7" s="230">
        <v>2018</v>
      </c>
      <c r="C7" s="230">
        <v>2019</v>
      </c>
      <c r="D7" s="230">
        <v>2020</v>
      </c>
      <c r="E7" s="230">
        <v>2021</v>
      </c>
      <c r="F7" s="230">
        <v>2022</v>
      </c>
      <c r="G7" s="418" t="s">
        <v>282</v>
      </c>
      <c r="H7" s="418" t="s">
        <v>283</v>
      </c>
      <c r="I7" s="2"/>
      <c r="J7" t="s">
        <v>303</v>
      </c>
      <c r="K7" s="46">
        <v>1313851</v>
      </c>
      <c r="M7" s="251" t="s">
        <v>127</v>
      </c>
      <c r="N7" s="252">
        <v>2022</v>
      </c>
      <c r="O7" s="252" t="s">
        <v>310</v>
      </c>
      <c r="P7" s="252" t="s">
        <v>311</v>
      </c>
      <c r="Q7" s="252" t="s">
        <v>312</v>
      </c>
      <c r="R7" s="252" t="s">
        <v>313</v>
      </c>
      <c r="S7" s="252" t="s">
        <v>314</v>
      </c>
      <c r="T7" s="252" t="s">
        <v>315</v>
      </c>
      <c r="U7" s="252" t="s">
        <v>316</v>
      </c>
      <c r="V7" s="252" t="s">
        <v>317</v>
      </c>
      <c r="W7" s="252" t="s">
        <v>318</v>
      </c>
      <c r="X7" s="252" t="s">
        <v>319</v>
      </c>
      <c r="Y7" s="253" t="s">
        <v>150</v>
      </c>
    </row>
    <row r="8" spans="1:25" x14ac:dyDescent="0.2">
      <c r="A8" s="20" t="s">
        <v>182</v>
      </c>
      <c r="B8" s="134">
        <v>17632</v>
      </c>
      <c r="C8" s="134">
        <v>19358</v>
      </c>
      <c r="D8" s="134">
        <v>24604</v>
      </c>
      <c r="E8" s="134">
        <v>44125</v>
      </c>
      <c r="F8" s="138">
        <v>67210</v>
      </c>
      <c r="G8" s="143"/>
      <c r="H8" s="60"/>
      <c r="I8" s="2"/>
      <c r="J8" t="s">
        <v>304</v>
      </c>
      <c r="K8" s="5">
        <f>H12</f>
        <v>0.30690000000000001</v>
      </c>
      <c r="M8" s="143" t="s">
        <v>284</v>
      </c>
      <c r="N8" s="254"/>
      <c r="O8" s="255">
        <f>$H12</f>
        <v>0.30690000000000001</v>
      </c>
      <c r="P8" s="255">
        <f>$H12</f>
        <v>0.30690000000000001</v>
      </c>
      <c r="Q8" s="255">
        <f>$H12</f>
        <v>0.30690000000000001</v>
      </c>
      <c r="R8" s="255">
        <f>$H12</f>
        <v>0.30690000000000001</v>
      </c>
      <c r="S8" s="255">
        <f>$H12</f>
        <v>0.30690000000000001</v>
      </c>
      <c r="T8" s="255">
        <f>S8-($S8-$Y8)/5</f>
        <v>0.25152000000000002</v>
      </c>
      <c r="U8" s="255">
        <f>T8-($S8-$Y8)/5</f>
        <v>0.19614000000000001</v>
      </c>
      <c r="V8" s="255">
        <f>U8-($S8-$Y8)/5</f>
        <v>0.14076</v>
      </c>
      <c r="W8" s="255">
        <f>V8-($S8-$Y8)/5</f>
        <v>8.5379999999999984E-2</v>
      </c>
      <c r="X8" s="255">
        <f>'Input for DCF'!$B$16</f>
        <v>0.03</v>
      </c>
      <c r="Y8" s="256">
        <f>'Input for DCF'!$B$16</f>
        <v>0.03</v>
      </c>
    </row>
    <row r="9" spans="1:25" ht="17" x14ac:dyDescent="0.2">
      <c r="A9" s="72" t="s">
        <v>497</v>
      </c>
      <c r="B9" s="134" t="s">
        <v>184</v>
      </c>
      <c r="C9" s="134">
        <v>594</v>
      </c>
      <c r="D9" s="134">
        <v>1580</v>
      </c>
      <c r="E9" s="134">
        <v>1465</v>
      </c>
      <c r="F9" s="138">
        <v>1776</v>
      </c>
      <c r="G9" s="145"/>
      <c r="H9" s="151"/>
      <c r="I9" s="2"/>
      <c r="J9" t="s">
        <v>305</v>
      </c>
      <c r="K9" s="86">
        <f>K7*(1+K8)^10</f>
        <v>19097199.965197839</v>
      </c>
      <c r="M9" s="145" t="s">
        <v>321</v>
      </c>
      <c r="N9" s="168">
        <v>1313851</v>
      </c>
      <c r="O9" s="168">
        <f t="shared" ref="O9:Y9" si="0">N9*(1+O8)</f>
        <v>1717071.8718999999</v>
      </c>
      <c r="P9" s="168">
        <f t="shared" si="0"/>
        <v>2244041.2293861099</v>
      </c>
      <c r="Q9" s="168">
        <f t="shared" si="0"/>
        <v>2932737.4826847068</v>
      </c>
      <c r="R9" s="168">
        <f t="shared" si="0"/>
        <v>3832794.616120643</v>
      </c>
      <c r="S9" s="168">
        <f t="shared" si="0"/>
        <v>5009079.2838080684</v>
      </c>
      <c r="T9" s="168">
        <f t="shared" si="0"/>
        <v>6268962.9052714733</v>
      </c>
      <c r="U9" s="168">
        <f t="shared" si="0"/>
        <v>7498557.2895114198</v>
      </c>
      <c r="V9" s="168">
        <f t="shared" si="0"/>
        <v>8554054.2135830466</v>
      </c>
      <c r="W9" s="168">
        <f t="shared" si="0"/>
        <v>9284399.3623387665</v>
      </c>
      <c r="X9" s="168">
        <f t="shared" si="0"/>
        <v>9562931.3432089295</v>
      </c>
      <c r="Y9" s="202">
        <f t="shared" si="0"/>
        <v>9849819.2835051976</v>
      </c>
    </row>
    <row r="10" spans="1:25" x14ac:dyDescent="0.2">
      <c r="A10" s="20" t="s">
        <v>185</v>
      </c>
      <c r="B10" s="134">
        <v>883</v>
      </c>
      <c r="C10" s="134">
        <v>869</v>
      </c>
      <c r="D10" s="134">
        <v>1052</v>
      </c>
      <c r="E10" s="134">
        <v>1642</v>
      </c>
      <c r="F10" s="138">
        <v>2476</v>
      </c>
      <c r="G10" s="145"/>
      <c r="H10" s="151"/>
      <c r="I10" s="2"/>
      <c r="J10" t="s">
        <v>309</v>
      </c>
      <c r="K10" s="147">
        <f>K9/1000000</f>
        <v>19.097199965197838</v>
      </c>
      <c r="M10" s="145" t="s">
        <v>294</v>
      </c>
      <c r="N10" s="186">
        <f>'Input for DCF'!$B$11</f>
        <v>54319</v>
      </c>
      <c r="O10" s="168">
        <f>'Input for DCF'!$B$11</f>
        <v>54319</v>
      </c>
      <c r="P10" s="168">
        <f>'Input for DCF'!$B$11</f>
        <v>54319</v>
      </c>
      <c r="Q10" s="168">
        <f>'Input for DCF'!$B$11</f>
        <v>54319</v>
      </c>
      <c r="R10" s="168">
        <f>'Input for DCF'!$B$11</f>
        <v>54319</v>
      </c>
      <c r="S10" s="168">
        <f>'Input for DCF'!$B$11</f>
        <v>54319</v>
      </c>
      <c r="T10" s="168">
        <f>'Input for DCF'!$B$11</f>
        <v>54319</v>
      </c>
      <c r="U10" s="168">
        <f>'Input for DCF'!$B$11</f>
        <v>54319</v>
      </c>
      <c r="V10" s="168">
        <f>'Input for DCF'!$B$11</f>
        <v>54319</v>
      </c>
      <c r="W10" s="168">
        <f>'Input for DCF'!$B$11</f>
        <v>54319</v>
      </c>
      <c r="X10" s="168">
        <f>'Input for DCF'!$B$11</f>
        <v>54319</v>
      </c>
      <c r="Y10" s="202">
        <f>'Input for DCF'!$B$11</f>
        <v>54319</v>
      </c>
    </row>
    <row r="11" spans="1:25" ht="34" x14ac:dyDescent="0.2">
      <c r="A11" s="146" t="s">
        <v>302</v>
      </c>
      <c r="B11" s="134">
        <v>18515</v>
      </c>
      <c r="C11" s="134">
        <v>20821</v>
      </c>
      <c r="D11" s="134">
        <v>27236</v>
      </c>
      <c r="E11" s="134">
        <v>47232</v>
      </c>
      <c r="F11" s="138">
        <f>Resultatregnskap!B9</f>
        <v>71462</v>
      </c>
      <c r="G11" s="154"/>
      <c r="H11" s="151"/>
      <c r="I11" s="2"/>
      <c r="M11" s="257" t="s">
        <v>489</v>
      </c>
      <c r="N11" s="98">
        <f>N9*(N10/1000000)</f>
        <v>71367.072469000006</v>
      </c>
      <c r="O11" s="98">
        <f t="shared" ref="O11:Y11" si="1">N11*(1+O8)</f>
        <v>93269.627009736098</v>
      </c>
      <c r="P11" s="98">
        <f t="shared" si="1"/>
        <v>121894.0755390241</v>
      </c>
      <c r="Q11" s="98">
        <f t="shared" si="1"/>
        <v>159303.36732195059</v>
      </c>
      <c r="R11" s="98">
        <f t="shared" si="1"/>
        <v>208193.57075305723</v>
      </c>
      <c r="S11" s="98">
        <f t="shared" si="1"/>
        <v>272088.1776171705</v>
      </c>
      <c r="T11" s="98">
        <f t="shared" si="1"/>
        <v>340523.79605144123</v>
      </c>
      <c r="U11" s="98">
        <f t="shared" si="1"/>
        <v>407314.1334089709</v>
      </c>
      <c r="V11" s="98">
        <f t="shared" si="1"/>
        <v>464647.67082761764</v>
      </c>
      <c r="W11" s="98">
        <f t="shared" si="1"/>
        <v>504319.28896287963</v>
      </c>
      <c r="X11" s="98">
        <f t="shared" si="1"/>
        <v>519448.86763176601</v>
      </c>
      <c r="Y11" s="258">
        <f t="shared" si="1"/>
        <v>535032.33366071898</v>
      </c>
    </row>
    <row r="12" spans="1:25" x14ac:dyDescent="0.2">
      <c r="A12" s="136" t="s">
        <v>284</v>
      </c>
      <c r="B12" s="137">
        <v>1.0658000000000001</v>
      </c>
      <c r="C12" s="137">
        <v>9.7900000000000001E-2</v>
      </c>
      <c r="D12" s="137">
        <v>0.27100000000000002</v>
      </c>
      <c r="E12" s="137">
        <v>0.79339999999999999</v>
      </c>
      <c r="F12" s="153">
        <v>0.5232</v>
      </c>
      <c r="G12" s="155">
        <v>0.55030000000000001</v>
      </c>
      <c r="H12" s="140">
        <v>0.30690000000000001</v>
      </c>
    </row>
    <row r="13" spans="1:25" x14ac:dyDescent="0.2">
      <c r="C13" s="13"/>
      <c r="D13" s="13"/>
      <c r="E13" s="13"/>
      <c r="F13" s="13"/>
      <c r="J13" t="s">
        <v>306</v>
      </c>
      <c r="K13">
        <v>122.83</v>
      </c>
      <c r="O13" s="46"/>
    </row>
    <row r="14" spans="1:25" x14ac:dyDescent="0.2">
      <c r="J14" t="s">
        <v>153</v>
      </c>
      <c r="K14" s="5">
        <v>3.7100000000000001E-2</v>
      </c>
      <c r="N14" s="74"/>
    </row>
    <row r="15" spans="1:25" ht="19" x14ac:dyDescent="0.25">
      <c r="A15" s="85" t="s">
        <v>187</v>
      </c>
      <c r="J15" t="s">
        <v>307</v>
      </c>
      <c r="K15" s="10">
        <f>K13*(1+K14)^2</f>
        <v>132.11305044029999</v>
      </c>
    </row>
    <row r="17" spans="1:25" ht="32" x14ac:dyDescent="0.2">
      <c r="A17" s="230" t="s">
        <v>127</v>
      </c>
      <c r="B17" s="230">
        <v>2018</v>
      </c>
      <c r="C17" s="230">
        <v>2019</v>
      </c>
      <c r="D17" s="230">
        <v>2020</v>
      </c>
      <c r="E17" s="230">
        <v>2021</v>
      </c>
      <c r="F17" s="230">
        <v>2022</v>
      </c>
      <c r="G17" s="418" t="s">
        <v>282</v>
      </c>
      <c r="H17" s="418" t="s">
        <v>283</v>
      </c>
      <c r="J17" t="s">
        <v>308</v>
      </c>
      <c r="K17" s="13">
        <f>X9/(K15*1000000)</f>
        <v>7.2384456428324487E-2</v>
      </c>
      <c r="M17" s="235" t="s">
        <v>127</v>
      </c>
      <c r="N17" s="249">
        <v>2022</v>
      </c>
      <c r="O17" s="249" t="s">
        <v>310</v>
      </c>
      <c r="P17" s="249" t="s">
        <v>311</v>
      </c>
      <c r="Q17" s="249" t="s">
        <v>312</v>
      </c>
      <c r="R17" s="249" t="s">
        <v>313</v>
      </c>
      <c r="S17" s="249" t="s">
        <v>314</v>
      </c>
      <c r="T17" s="249" t="s">
        <v>315</v>
      </c>
      <c r="U17" s="249" t="s">
        <v>316</v>
      </c>
      <c r="V17" s="249" t="s">
        <v>317</v>
      </c>
      <c r="W17" s="249" t="s">
        <v>318</v>
      </c>
      <c r="X17" s="249" t="s">
        <v>319</v>
      </c>
      <c r="Y17" s="250" t="s">
        <v>150</v>
      </c>
    </row>
    <row r="18" spans="1:25" ht="17" x14ac:dyDescent="0.2">
      <c r="A18" s="72" t="s">
        <v>488</v>
      </c>
      <c r="B18" s="134">
        <v>1555</v>
      </c>
      <c r="C18" s="134">
        <v>1531</v>
      </c>
      <c r="D18" s="134">
        <v>1994</v>
      </c>
      <c r="E18" s="134">
        <v>2789</v>
      </c>
      <c r="F18" s="138">
        <v>3909</v>
      </c>
      <c r="G18" s="60"/>
      <c r="H18" s="144"/>
      <c r="M18" s="143" t="s">
        <v>284</v>
      </c>
      <c r="N18" s="254"/>
      <c r="O18" s="255">
        <f>$H19</f>
        <v>0.20250000000000001</v>
      </c>
      <c r="P18" s="255">
        <f>$H19</f>
        <v>0.20250000000000001</v>
      </c>
      <c r="Q18" s="255">
        <f>$H19</f>
        <v>0.20250000000000001</v>
      </c>
      <c r="R18" s="255">
        <f>$H19</f>
        <v>0.20250000000000001</v>
      </c>
      <c r="S18" s="255">
        <f>$H19</f>
        <v>0.20250000000000001</v>
      </c>
      <c r="T18" s="255">
        <f>S18-($S18-$Y18)/5</f>
        <v>0.16800000000000001</v>
      </c>
      <c r="U18" s="255">
        <f>T18-($S18-$Y18)/5</f>
        <v>0.13350000000000001</v>
      </c>
      <c r="V18" s="255">
        <f>U18-($S18-$Y18)/5</f>
        <v>9.9000000000000005E-2</v>
      </c>
      <c r="W18" s="255">
        <f>V18-($S18-$Y18)/5</f>
        <v>6.4500000000000002E-2</v>
      </c>
      <c r="X18" s="255">
        <f>W18-($S18-$Y18)/5</f>
        <v>0.03</v>
      </c>
      <c r="Y18" s="256">
        <f>'Input for DCF'!B16</f>
        <v>0.03</v>
      </c>
    </row>
    <row r="19" spans="1:25" ht="34" x14ac:dyDescent="0.2">
      <c r="A19" s="136" t="s">
        <v>284</v>
      </c>
      <c r="B19" s="137">
        <v>0.39340000000000003</v>
      </c>
      <c r="C19" s="137">
        <v>-1.54E-2</v>
      </c>
      <c r="D19" s="137">
        <v>0.3024</v>
      </c>
      <c r="E19" s="137">
        <v>0.3987</v>
      </c>
      <c r="F19" s="153">
        <v>0.40160000000000001</v>
      </c>
      <c r="G19" s="139">
        <v>0.29609999999999997</v>
      </c>
      <c r="H19" s="192">
        <v>0.20250000000000001</v>
      </c>
      <c r="M19" s="257" t="s">
        <v>490</v>
      </c>
      <c r="N19" s="278">
        <f>F18</f>
        <v>3909</v>
      </c>
      <c r="O19" s="98">
        <f t="shared" ref="O19:Y19" si="2">N19*(1+O18)</f>
        <v>4700.5725000000002</v>
      </c>
      <c r="P19" s="98">
        <f t="shared" si="2"/>
        <v>5652.4384312500006</v>
      </c>
      <c r="Q19" s="98">
        <f t="shared" si="2"/>
        <v>6797.0572135781267</v>
      </c>
      <c r="R19" s="98">
        <f t="shared" si="2"/>
        <v>8173.4612993276978</v>
      </c>
      <c r="S19" s="98">
        <f t="shared" si="2"/>
        <v>9828.5872124415582</v>
      </c>
      <c r="T19" s="98">
        <f t="shared" si="2"/>
        <v>11479.789864131739</v>
      </c>
      <c r="U19" s="98">
        <f t="shared" si="2"/>
        <v>13012.341810993325</v>
      </c>
      <c r="V19" s="98">
        <f t="shared" si="2"/>
        <v>14300.563650281663</v>
      </c>
      <c r="W19" s="98">
        <f t="shared" si="2"/>
        <v>15222.950005724831</v>
      </c>
      <c r="X19" s="98">
        <f t="shared" si="2"/>
        <v>15679.638505896577</v>
      </c>
      <c r="Y19" s="258">
        <f t="shared" si="2"/>
        <v>16150.027661073475</v>
      </c>
    </row>
    <row r="22" spans="1:25" ht="19" x14ac:dyDescent="0.25">
      <c r="A22" s="85" t="s">
        <v>188</v>
      </c>
    </row>
    <row r="24" spans="1:25" ht="32" x14ac:dyDescent="0.2">
      <c r="A24" s="230" t="s">
        <v>127</v>
      </c>
      <c r="B24" s="230">
        <v>2018</v>
      </c>
      <c r="C24" s="230">
        <v>2019</v>
      </c>
      <c r="D24" s="230">
        <v>2020</v>
      </c>
      <c r="E24" s="230">
        <v>2021</v>
      </c>
      <c r="F24" s="230">
        <v>2022</v>
      </c>
      <c r="G24" s="418" t="s">
        <v>282</v>
      </c>
      <c r="H24" s="418" t="s">
        <v>283</v>
      </c>
      <c r="M24" s="235" t="s">
        <v>127</v>
      </c>
      <c r="N24" s="249">
        <v>2022</v>
      </c>
      <c r="O24" s="249" t="s">
        <v>310</v>
      </c>
      <c r="P24" s="249" t="s">
        <v>311</v>
      </c>
      <c r="Q24" s="249" t="s">
        <v>312</v>
      </c>
      <c r="R24" s="249" t="s">
        <v>313</v>
      </c>
      <c r="S24" s="249" t="s">
        <v>314</v>
      </c>
      <c r="T24" s="249" t="s">
        <v>315</v>
      </c>
      <c r="U24" s="249" t="s">
        <v>316</v>
      </c>
      <c r="V24" s="249" t="s">
        <v>317</v>
      </c>
      <c r="W24" s="249" t="s">
        <v>318</v>
      </c>
      <c r="X24" s="249" t="s">
        <v>319</v>
      </c>
      <c r="Y24" s="250" t="s">
        <v>150</v>
      </c>
    </row>
    <row r="25" spans="1:25" x14ac:dyDescent="0.2">
      <c r="A25" s="20" t="s">
        <v>188</v>
      </c>
      <c r="B25" s="134">
        <v>1391</v>
      </c>
      <c r="C25" s="134">
        <v>2226</v>
      </c>
      <c r="D25" s="134">
        <v>2306</v>
      </c>
      <c r="E25" s="134">
        <v>3802</v>
      </c>
      <c r="F25" s="138">
        <v>6091</v>
      </c>
      <c r="G25" s="143"/>
      <c r="H25" s="60"/>
      <c r="M25" s="143" t="s">
        <v>284</v>
      </c>
      <c r="N25" s="254"/>
      <c r="O25" s="255">
        <f>$H26</f>
        <v>0.34360000000000002</v>
      </c>
      <c r="P25" s="255">
        <f>$H26</f>
        <v>0.34360000000000002</v>
      </c>
      <c r="Q25" s="255">
        <f>$H26</f>
        <v>0.34360000000000002</v>
      </c>
      <c r="R25" s="255">
        <f>$H26</f>
        <v>0.34360000000000002</v>
      </c>
      <c r="S25" s="255">
        <f>$H26</f>
        <v>0.34360000000000002</v>
      </c>
      <c r="T25" s="255">
        <f>S25-($S25-$Y25)/5</f>
        <v>0.28088000000000002</v>
      </c>
      <c r="U25" s="255">
        <f>T25-($S25-$Y25)/5</f>
        <v>0.21816000000000002</v>
      </c>
      <c r="V25" s="255">
        <f>U25-($S25-$Y25)/5</f>
        <v>0.15544000000000002</v>
      </c>
      <c r="W25" s="255">
        <f>V25-($S25-$Y25)/5</f>
        <v>9.2720000000000025E-2</v>
      </c>
      <c r="X25" s="255">
        <f>W25-($S25-$Y25)/5</f>
        <v>3.0000000000000027E-2</v>
      </c>
      <c r="Y25" s="256">
        <f>'Input for DCF'!B16</f>
        <v>0.03</v>
      </c>
    </row>
    <row r="26" spans="1:25" ht="17" x14ac:dyDescent="0.2">
      <c r="A26" s="136" t="s">
        <v>284</v>
      </c>
      <c r="B26" s="137">
        <v>0.3896</v>
      </c>
      <c r="C26" s="137">
        <v>0.60029999999999994</v>
      </c>
      <c r="D26" s="137">
        <v>3.5900000000000001E-2</v>
      </c>
      <c r="E26" s="137">
        <v>0.64870000000000005</v>
      </c>
      <c r="F26" s="153">
        <v>0.60209999999999997</v>
      </c>
      <c r="G26" s="155">
        <v>0.45529999999999998</v>
      </c>
      <c r="H26" s="140">
        <v>0.34360000000000002</v>
      </c>
      <c r="M26" s="257" t="s">
        <v>492</v>
      </c>
      <c r="N26" s="278">
        <f>F25</f>
        <v>6091</v>
      </c>
      <c r="O26" s="98">
        <f t="shared" ref="O26:Y26" si="3">N26*(1+O25)</f>
        <v>8183.8675999999996</v>
      </c>
      <c r="P26" s="98">
        <f t="shared" si="3"/>
        <v>10995.844507359998</v>
      </c>
      <c r="Q26" s="98">
        <f t="shared" si="3"/>
        <v>14774.016680088893</v>
      </c>
      <c r="R26" s="98">
        <f t="shared" si="3"/>
        <v>19850.368811367436</v>
      </c>
      <c r="S26" s="98">
        <f t="shared" si="3"/>
        <v>26670.955534953286</v>
      </c>
      <c r="T26" s="98">
        <f t="shared" si="3"/>
        <v>34162.293525610963</v>
      </c>
      <c r="U26" s="98">
        <f t="shared" si="3"/>
        <v>41615.139481158258</v>
      </c>
      <c r="V26" s="98">
        <f t="shared" si="3"/>
        <v>48083.796762109501</v>
      </c>
      <c r="W26" s="98">
        <f t="shared" si="3"/>
        <v>52542.126397892287</v>
      </c>
      <c r="X26" s="98">
        <f t="shared" si="3"/>
        <v>54118.390189829057</v>
      </c>
      <c r="Y26" s="258">
        <f t="shared" si="3"/>
        <v>55741.941895523931</v>
      </c>
    </row>
    <row r="28" spans="1:25" s="188" customFormat="1" ht="19" x14ac:dyDescent="0.25">
      <c r="A28" s="189" t="s">
        <v>414</v>
      </c>
    </row>
    <row r="30" spans="1:25" ht="19" x14ac:dyDescent="0.25">
      <c r="A30" s="85" t="s">
        <v>189</v>
      </c>
    </row>
    <row r="32" spans="1:25" ht="32" x14ac:dyDescent="0.2">
      <c r="A32" s="230" t="s">
        <v>127</v>
      </c>
      <c r="B32" s="230">
        <v>2018</v>
      </c>
      <c r="C32" s="230">
        <v>2019</v>
      </c>
      <c r="D32" s="230">
        <v>2020</v>
      </c>
      <c r="E32" s="230">
        <v>2021</v>
      </c>
      <c r="F32" s="230">
        <v>2022</v>
      </c>
      <c r="G32" s="418" t="s">
        <v>282</v>
      </c>
      <c r="H32" s="418" t="s">
        <v>283</v>
      </c>
      <c r="M32" s="235" t="s">
        <v>127</v>
      </c>
      <c r="N32" s="249">
        <v>2022</v>
      </c>
      <c r="O32" s="249" t="s">
        <v>310</v>
      </c>
      <c r="P32" s="249" t="s">
        <v>311</v>
      </c>
      <c r="Q32" s="249" t="s">
        <v>312</v>
      </c>
      <c r="R32" s="249" t="s">
        <v>313</v>
      </c>
      <c r="S32" s="249" t="s">
        <v>314</v>
      </c>
      <c r="T32" s="249" t="s">
        <v>315</v>
      </c>
      <c r="U32" s="249" t="s">
        <v>316</v>
      </c>
      <c r="V32" s="249" t="s">
        <v>317</v>
      </c>
      <c r="W32" s="249" t="s">
        <v>318</v>
      </c>
      <c r="X32" s="249" t="s">
        <v>319</v>
      </c>
      <c r="Y32" s="250" t="s">
        <v>150</v>
      </c>
    </row>
    <row r="33" spans="1:25" x14ac:dyDescent="0.2">
      <c r="A33" s="20" t="s">
        <v>182</v>
      </c>
      <c r="B33" s="134">
        <v>-13686</v>
      </c>
      <c r="C33" s="134">
        <v>-15939</v>
      </c>
      <c r="D33" s="134">
        <v>-19696</v>
      </c>
      <c r="E33" s="134">
        <v>-32415</v>
      </c>
      <c r="F33" s="138">
        <v>-49599</v>
      </c>
      <c r="G33" s="143"/>
      <c r="H33" s="60"/>
      <c r="M33" s="143" t="s">
        <v>493</v>
      </c>
      <c r="N33" s="276">
        <f t="shared" ref="N33:Y33" si="4">N11</f>
        <v>71367.072469000006</v>
      </c>
      <c r="O33" s="276">
        <f t="shared" si="4"/>
        <v>93269.627009736098</v>
      </c>
      <c r="P33" s="276">
        <f t="shared" si="4"/>
        <v>121894.0755390241</v>
      </c>
      <c r="Q33" s="276">
        <f t="shared" si="4"/>
        <v>159303.36732195059</v>
      </c>
      <c r="R33" s="276">
        <f t="shared" si="4"/>
        <v>208193.57075305723</v>
      </c>
      <c r="S33" s="276">
        <f t="shared" si="4"/>
        <v>272088.1776171705</v>
      </c>
      <c r="T33" s="276">
        <f t="shared" si="4"/>
        <v>340523.79605144123</v>
      </c>
      <c r="U33" s="276">
        <f t="shared" si="4"/>
        <v>407314.1334089709</v>
      </c>
      <c r="V33" s="276">
        <f t="shared" si="4"/>
        <v>464647.67082761764</v>
      </c>
      <c r="W33" s="276">
        <f t="shared" si="4"/>
        <v>504319.28896287963</v>
      </c>
      <c r="X33" s="276">
        <f t="shared" si="4"/>
        <v>519448.86763176601</v>
      </c>
      <c r="Y33" s="277">
        <f t="shared" si="4"/>
        <v>535032.33366071898</v>
      </c>
    </row>
    <row r="34" spans="1:25" x14ac:dyDescent="0.2">
      <c r="A34" s="20" t="s">
        <v>185</v>
      </c>
      <c r="B34" s="134">
        <v>-488</v>
      </c>
      <c r="C34" s="134">
        <v>-459</v>
      </c>
      <c r="D34" s="134">
        <v>-563</v>
      </c>
      <c r="E34" s="134">
        <v>-978</v>
      </c>
      <c r="F34" s="138">
        <v>-1509</v>
      </c>
      <c r="G34" s="145"/>
      <c r="H34" s="151"/>
      <c r="M34" s="145" t="s">
        <v>323</v>
      </c>
      <c r="N34" s="193">
        <f t="shared" ref="N34:X34" ca="1" si="5">1-N35</f>
        <v>0.71517729702499233</v>
      </c>
      <c r="O34" s="193">
        <f t="shared" si="5"/>
        <v>0.78</v>
      </c>
      <c r="P34" s="193">
        <f t="shared" ca="1" si="5"/>
        <v>0.72214183761999395</v>
      </c>
      <c r="Q34" s="193">
        <f t="shared" ca="1" si="5"/>
        <v>0.72562410791749477</v>
      </c>
      <c r="R34" s="193">
        <f t="shared" ca="1" si="5"/>
        <v>0.72910637821499547</v>
      </c>
      <c r="S34" s="193">
        <f t="shared" ca="1" si="5"/>
        <v>0.73258864851249617</v>
      </c>
      <c r="T34" s="193">
        <f t="shared" ca="1" si="5"/>
        <v>0.73607091880999698</v>
      </c>
      <c r="U34" s="193">
        <f t="shared" ca="1" si="5"/>
        <v>0.73955318910749779</v>
      </c>
      <c r="V34" s="193">
        <f t="shared" ca="1" si="5"/>
        <v>0.74303545940499849</v>
      </c>
      <c r="W34" s="193">
        <f t="shared" ca="1" si="5"/>
        <v>0.74651772970249919</v>
      </c>
      <c r="X34" s="193">
        <f t="shared" si="5"/>
        <v>0.75</v>
      </c>
      <c r="Y34" s="208">
        <f>1-Y35</f>
        <v>0.75</v>
      </c>
    </row>
    <row r="35" spans="1:25" ht="17" x14ac:dyDescent="0.2">
      <c r="A35" s="146" t="s">
        <v>290</v>
      </c>
      <c r="B35" s="135">
        <v>-14174</v>
      </c>
      <c r="C35" s="135">
        <v>-16398</v>
      </c>
      <c r="D35" s="135">
        <v>-20259</v>
      </c>
      <c r="E35" s="135">
        <v>-33393</v>
      </c>
      <c r="F35" s="152">
        <v>-51108</v>
      </c>
      <c r="G35" s="154"/>
      <c r="H35" s="151"/>
      <c r="M35" s="145" t="s">
        <v>419</v>
      </c>
      <c r="N35" s="5">
        <f t="shared" ref="N35" ca="1" si="6">1-N34</f>
        <v>0.28482270297500767</v>
      </c>
      <c r="O35" s="67">
        <v>0.22</v>
      </c>
      <c r="P35" s="259">
        <f ca="1">Q35+($N$35-$Y$35)/10</f>
        <v>0.27785816238000605</v>
      </c>
      <c r="Q35" s="259">
        <f t="shared" ref="Q35:W35" ca="1" si="7">R35+($N$35-$Y$35)/10</f>
        <v>0.27437589208250529</v>
      </c>
      <c r="R35" s="259">
        <f t="shared" ca="1" si="7"/>
        <v>0.27089362178500453</v>
      </c>
      <c r="S35" s="259">
        <f t="shared" ca="1" si="7"/>
        <v>0.26741135148750378</v>
      </c>
      <c r="T35" s="259">
        <f t="shared" ca="1" si="7"/>
        <v>0.26392908119000302</v>
      </c>
      <c r="U35" s="259">
        <f t="shared" ca="1" si="7"/>
        <v>0.26044681089250227</v>
      </c>
      <c r="V35" s="259">
        <f t="shared" ca="1" si="7"/>
        <v>0.25696454059500151</v>
      </c>
      <c r="W35" s="259">
        <f t="shared" ca="1" si="7"/>
        <v>0.25348227029750076</v>
      </c>
      <c r="X35" s="5">
        <f>'Input for DCF'!$B$19</f>
        <v>0.25</v>
      </c>
      <c r="Y35" s="267">
        <f>'Input for DCF'!$B$19</f>
        <v>0.25</v>
      </c>
    </row>
    <row r="36" spans="1:25" ht="34" x14ac:dyDescent="0.2">
      <c r="A36" s="136" t="s">
        <v>284</v>
      </c>
      <c r="B36" s="137">
        <v>0.90690000000000004</v>
      </c>
      <c r="C36" s="137">
        <v>0.15690000000000001</v>
      </c>
      <c r="D36" s="137">
        <v>0.23549999999999999</v>
      </c>
      <c r="E36" s="137">
        <v>0.64829999999999999</v>
      </c>
      <c r="F36" s="153">
        <v>0.53049999999999997</v>
      </c>
      <c r="G36" s="155">
        <v>0.49559999999999998</v>
      </c>
      <c r="H36" s="140">
        <v>0.29239999999999999</v>
      </c>
      <c r="M36" s="257" t="s">
        <v>498</v>
      </c>
      <c r="N36" s="98">
        <f t="shared" ref="N36:X36" ca="1" si="8">N33*N34</f>
        <v>51040.10998496617</v>
      </c>
      <c r="O36" s="98">
        <f t="shared" si="8"/>
        <v>72750.309067594164</v>
      </c>
      <c r="P36" s="98">
        <f t="shared" ca="1" si="8"/>
        <v>88024.811704741209</v>
      </c>
      <c r="Q36" s="98">
        <f t="shared" ca="1" si="8"/>
        <v>115594.36380124338</v>
      </c>
      <c r="R36" s="98">
        <f t="shared" ca="1" si="8"/>
        <v>151795.26033940897</v>
      </c>
      <c r="S36" s="98">
        <f t="shared" ca="1" si="8"/>
        <v>199328.71031679094</v>
      </c>
      <c r="T36" s="98">
        <f t="shared" ca="1" si="8"/>
        <v>250649.66343625236</v>
      </c>
      <c r="U36" s="98">
        <f t="shared" ca="1" si="8"/>
        <v>301230.46633116121</v>
      </c>
      <c r="V36" s="98">
        <f t="shared" ca="1" si="8"/>
        <v>345249.69555486139</v>
      </c>
      <c r="W36" s="98">
        <f t="shared" ca="1" si="8"/>
        <v>376483.29064174753</v>
      </c>
      <c r="X36" s="98">
        <f t="shared" si="8"/>
        <v>389586.65072382451</v>
      </c>
      <c r="Y36" s="258">
        <f>Y33*Y34</f>
        <v>401274.25024553924</v>
      </c>
    </row>
    <row r="38" spans="1:25" x14ac:dyDescent="0.2">
      <c r="A38" t="s">
        <v>322</v>
      </c>
    </row>
    <row r="40" spans="1:25" ht="32" x14ac:dyDescent="0.2">
      <c r="A40" s="230" t="s">
        <v>127</v>
      </c>
      <c r="B40" s="230">
        <v>2018</v>
      </c>
      <c r="C40" s="230">
        <v>2019</v>
      </c>
      <c r="D40" s="230">
        <v>2020</v>
      </c>
      <c r="E40" s="230">
        <v>2021</v>
      </c>
      <c r="F40" s="235">
        <v>2022</v>
      </c>
      <c r="G40" s="418" t="s">
        <v>282</v>
      </c>
    </row>
    <row r="41" spans="1:25" ht="34" x14ac:dyDescent="0.2">
      <c r="A41" s="146" t="s">
        <v>302</v>
      </c>
      <c r="B41" s="134">
        <v>18515</v>
      </c>
      <c r="C41" s="134">
        <v>20821</v>
      </c>
      <c r="D41" s="134">
        <v>27236</v>
      </c>
      <c r="E41" s="134">
        <v>47232</v>
      </c>
      <c r="F41" s="138">
        <f>F11</f>
        <v>71462</v>
      </c>
      <c r="G41" s="60"/>
    </row>
    <row r="42" spans="1:25" ht="51" x14ac:dyDescent="0.2">
      <c r="A42" s="148" t="s">
        <v>298</v>
      </c>
      <c r="B42" s="149">
        <v>-14174</v>
      </c>
      <c r="C42" s="149">
        <v>-16398</v>
      </c>
      <c r="D42" s="149">
        <v>-20259</v>
      </c>
      <c r="E42" s="149">
        <v>-33393</v>
      </c>
      <c r="F42" s="150">
        <f>Resultatregnskap!B15</f>
        <v>-51108</v>
      </c>
      <c r="G42" s="151"/>
    </row>
    <row r="43" spans="1:25" ht="17" x14ac:dyDescent="0.2">
      <c r="A43" s="72" t="s">
        <v>323</v>
      </c>
      <c r="B43" s="29">
        <f>-B42/B41</f>
        <v>0.76554145287604647</v>
      </c>
      <c r="C43" s="29">
        <f t="shared" ref="C43:E43" si="9">-C42/C41</f>
        <v>0.78757024158301714</v>
      </c>
      <c r="D43" s="29">
        <f t="shared" si="9"/>
        <v>0.74383169334704069</v>
      </c>
      <c r="E43" s="29">
        <f t="shared" si="9"/>
        <v>0.70699949186991873</v>
      </c>
      <c r="F43" s="29">
        <f>-F42/F41</f>
        <v>0.71517729702499233</v>
      </c>
      <c r="G43" s="158">
        <f>SUM(B43:F43)/5</f>
        <v>0.74382403534020303</v>
      </c>
    </row>
    <row r="44" spans="1:25" ht="17" x14ac:dyDescent="0.2">
      <c r="A44" s="72" t="s">
        <v>419</v>
      </c>
      <c r="B44" s="29">
        <f>1-B43</f>
        <v>0.23445854712395353</v>
      </c>
      <c r="C44" s="29">
        <f t="shared" ref="C44:F44" si="10">1-C43</f>
        <v>0.21242975841698286</v>
      </c>
      <c r="D44" s="29">
        <f t="shared" si="10"/>
        <v>0.25616830665295931</v>
      </c>
      <c r="E44" s="29">
        <f t="shared" si="10"/>
        <v>0.29300050813008127</v>
      </c>
      <c r="F44" s="29">
        <f t="shared" si="10"/>
        <v>0.28482270297500767</v>
      </c>
      <c r="G44" s="158">
        <f>SUM(B44:F44)/5</f>
        <v>0.25617596465979692</v>
      </c>
    </row>
    <row r="46" spans="1:25" ht="19" x14ac:dyDescent="0.25">
      <c r="A46" s="85" t="s">
        <v>295</v>
      </c>
    </row>
    <row r="48" spans="1:25" ht="32" x14ac:dyDescent="0.2">
      <c r="A48" s="230" t="s">
        <v>127</v>
      </c>
      <c r="B48" s="230">
        <v>2018</v>
      </c>
      <c r="C48" s="230">
        <v>2019</v>
      </c>
      <c r="D48" s="230">
        <v>2020</v>
      </c>
      <c r="E48" s="230">
        <v>2021</v>
      </c>
      <c r="F48" s="230">
        <v>2022</v>
      </c>
      <c r="G48" s="418" t="s">
        <v>282</v>
      </c>
      <c r="H48" s="418" t="s">
        <v>283</v>
      </c>
      <c r="M48" s="235" t="s">
        <v>127</v>
      </c>
      <c r="N48" s="249">
        <v>2022</v>
      </c>
      <c r="O48" s="249" t="s">
        <v>310</v>
      </c>
      <c r="P48" s="249" t="s">
        <v>311</v>
      </c>
      <c r="Q48" s="249" t="s">
        <v>312</v>
      </c>
      <c r="R48" s="249" t="s">
        <v>313</v>
      </c>
      <c r="S48" s="249" t="s">
        <v>314</v>
      </c>
      <c r="T48" s="249" t="s">
        <v>315</v>
      </c>
      <c r="U48" s="249" t="s">
        <v>316</v>
      </c>
      <c r="V48" s="249" t="s">
        <v>317</v>
      </c>
      <c r="W48" s="249" t="s">
        <v>318</v>
      </c>
      <c r="X48" s="249" t="s">
        <v>319</v>
      </c>
      <c r="Y48" s="250" t="s">
        <v>150</v>
      </c>
    </row>
    <row r="49" spans="1:25" ht="34" x14ac:dyDescent="0.2">
      <c r="A49" s="72" t="s">
        <v>300</v>
      </c>
      <c r="B49" s="142">
        <v>-1365</v>
      </c>
      <c r="C49" s="142">
        <v>-1341</v>
      </c>
      <c r="D49" s="142">
        <v>-1976</v>
      </c>
      <c r="E49" s="142">
        <v>-2918</v>
      </c>
      <c r="F49" s="156">
        <v>-3621</v>
      </c>
      <c r="G49" s="60"/>
      <c r="H49" s="144"/>
      <c r="M49" s="264" t="s">
        <v>490</v>
      </c>
      <c r="N49" s="273">
        <f t="shared" ref="N49:Y49" si="11">N19</f>
        <v>3909</v>
      </c>
      <c r="O49" s="273">
        <f t="shared" si="11"/>
        <v>4700.5725000000002</v>
      </c>
      <c r="P49" s="273">
        <f t="shared" si="11"/>
        <v>5652.4384312500006</v>
      </c>
      <c r="Q49" s="273">
        <f t="shared" si="11"/>
        <v>6797.0572135781267</v>
      </c>
      <c r="R49" s="273">
        <f t="shared" si="11"/>
        <v>8173.4612993276978</v>
      </c>
      <c r="S49" s="273">
        <f t="shared" si="11"/>
        <v>9828.5872124415582</v>
      </c>
      <c r="T49" s="273">
        <f t="shared" si="11"/>
        <v>11479.789864131739</v>
      </c>
      <c r="U49" s="273">
        <f t="shared" si="11"/>
        <v>13012.341810993325</v>
      </c>
      <c r="V49" s="273">
        <f t="shared" si="11"/>
        <v>14300.563650281663</v>
      </c>
      <c r="W49" s="273">
        <f t="shared" si="11"/>
        <v>15222.950005724831</v>
      </c>
      <c r="X49" s="273">
        <f t="shared" si="11"/>
        <v>15679.638505896577</v>
      </c>
      <c r="Y49" s="274">
        <f t="shared" si="11"/>
        <v>16150.027661073475</v>
      </c>
    </row>
    <row r="50" spans="1:25" ht="17" x14ac:dyDescent="0.2">
      <c r="A50" s="136" t="s">
        <v>284</v>
      </c>
      <c r="B50" s="137">
        <v>0.56000000000000005</v>
      </c>
      <c r="C50" s="137">
        <v>-1.7600000000000001E-2</v>
      </c>
      <c r="D50" s="137">
        <v>0.47349999999999998</v>
      </c>
      <c r="E50" s="137">
        <v>0.47670000000000001</v>
      </c>
      <c r="F50" s="153">
        <v>0.2409</v>
      </c>
      <c r="G50" s="139">
        <v>0.34670000000000001</v>
      </c>
      <c r="H50" s="159">
        <v>0.2155</v>
      </c>
      <c r="M50" s="275" t="s">
        <v>323</v>
      </c>
      <c r="N50" s="5">
        <f>$F$57</f>
        <v>0.92632386799693012</v>
      </c>
      <c r="O50" s="193">
        <f t="shared" ref="O50:Y50" si="12">1-O51</f>
        <v>0.92632386799693012</v>
      </c>
      <c r="P50" s="193">
        <f t="shared" si="12"/>
        <v>0.92632386799693012</v>
      </c>
      <c r="Q50" s="193">
        <f t="shared" si="12"/>
        <v>0.92632386799693012</v>
      </c>
      <c r="R50" s="193">
        <f t="shared" si="12"/>
        <v>0.92632386799693012</v>
      </c>
      <c r="S50" s="193">
        <f t="shared" si="12"/>
        <v>0.92632386799693012</v>
      </c>
      <c r="T50" s="193">
        <f t="shared" si="12"/>
        <v>0.92632386799693012</v>
      </c>
      <c r="U50" s="193">
        <f t="shared" si="12"/>
        <v>0.92632386799693012</v>
      </c>
      <c r="V50" s="193">
        <f t="shared" si="12"/>
        <v>0.92632386799693012</v>
      </c>
      <c r="W50" s="193">
        <f t="shared" si="12"/>
        <v>0.92632386799693012</v>
      </c>
      <c r="X50" s="193">
        <f t="shared" si="12"/>
        <v>0.92632386799693012</v>
      </c>
      <c r="Y50" s="208">
        <f t="shared" si="12"/>
        <v>0.92632386799693012</v>
      </c>
    </row>
    <row r="51" spans="1:25" x14ac:dyDescent="0.2">
      <c r="M51" s="145" t="s">
        <v>419</v>
      </c>
      <c r="N51" s="5">
        <f>1-N50</f>
        <v>7.3676132003069883E-2</v>
      </c>
      <c r="O51" s="259">
        <f t="shared" ref="O51:W51" si="13">N51-($N$51-$Y$51)/10</f>
        <v>7.3676132003069883E-2</v>
      </c>
      <c r="P51" s="259">
        <f t="shared" si="13"/>
        <v>7.3676132003069883E-2</v>
      </c>
      <c r="Q51" s="259">
        <f t="shared" si="13"/>
        <v>7.3676132003069883E-2</v>
      </c>
      <c r="R51" s="259">
        <f t="shared" si="13"/>
        <v>7.3676132003069883E-2</v>
      </c>
      <c r="S51" s="259">
        <f t="shared" si="13"/>
        <v>7.3676132003069883E-2</v>
      </c>
      <c r="T51" s="259">
        <f t="shared" si="13"/>
        <v>7.3676132003069883E-2</v>
      </c>
      <c r="U51" s="259">
        <f t="shared" si="13"/>
        <v>7.3676132003069883E-2</v>
      </c>
      <c r="V51" s="259">
        <f t="shared" si="13"/>
        <v>7.3676132003069883E-2</v>
      </c>
      <c r="W51" s="259">
        <f t="shared" si="13"/>
        <v>7.3676132003069883E-2</v>
      </c>
      <c r="X51" s="5">
        <f>'Input for DCF'!$B$20</f>
        <v>7.3676132003069883E-2</v>
      </c>
      <c r="Y51" s="267">
        <f>'Input for DCF'!$B$20</f>
        <v>7.3676132003069883E-2</v>
      </c>
    </row>
    <row r="52" spans="1:25" ht="51" x14ac:dyDescent="0.2">
      <c r="M52" s="257" t="s">
        <v>491</v>
      </c>
      <c r="N52" s="98">
        <f t="shared" ref="N52:Y52" si="14">N49*N50</f>
        <v>3621</v>
      </c>
      <c r="O52" s="98">
        <f t="shared" si="14"/>
        <v>4354.2524999999996</v>
      </c>
      <c r="P52" s="98">
        <f t="shared" si="14"/>
        <v>5235.9886312500003</v>
      </c>
      <c r="Q52" s="98">
        <f t="shared" si="14"/>
        <v>6296.2763290781259</v>
      </c>
      <c r="R52" s="98">
        <f t="shared" si="14"/>
        <v>7571.2722857164472</v>
      </c>
      <c r="S52" s="98">
        <f t="shared" si="14"/>
        <v>9104.4549235740287</v>
      </c>
      <c r="T52" s="98">
        <f t="shared" si="14"/>
        <v>10634.003350734465</v>
      </c>
      <c r="U52" s="98">
        <f t="shared" si="14"/>
        <v>12053.642798057515</v>
      </c>
      <c r="V52" s="98">
        <f t="shared" si="14"/>
        <v>13246.953435065208</v>
      </c>
      <c r="W52" s="98">
        <f t="shared" si="14"/>
        <v>14101.381931626915</v>
      </c>
      <c r="X52" s="98">
        <f t="shared" si="14"/>
        <v>14524.423389575724</v>
      </c>
      <c r="Y52" s="258">
        <f t="shared" si="14"/>
        <v>14960.156091262996</v>
      </c>
    </row>
    <row r="54" spans="1:25" ht="32" x14ac:dyDescent="0.2">
      <c r="A54" s="230" t="s">
        <v>127</v>
      </c>
      <c r="B54" s="230">
        <v>2018</v>
      </c>
      <c r="C54" s="230">
        <v>2019</v>
      </c>
      <c r="D54" s="230">
        <v>2020</v>
      </c>
      <c r="E54" s="230">
        <v>2021</v>
      </c>
      <c r="F54" s="230">
        <v>2022</v>
      </c>
      <c r="G54" s="419" t="s">
        <v>282</v>
      </c>
    </row>
    <row r="55" spans="1:25" ht="34" x14ac:dyDescent="0.2">
      <c r="A55" s="72" t="s">
        <v>299</v>
      </c>
      <c r="B55" s="134">
        <v>1555</v>
      </c>
      <c r="C55" s="134">
        <v>1531</v>
      </c>
      <c r="D55" s="134">
        <v>1994</v>
      </c>
      <c r="E55" s="134">
        <v>2789</v>
      </c>
      <c r="F55" s="134">
        <v>3909</v>
      </c>
      <c r="G55" s="151"/>
    </row>
    <row r="56" spans="1:25" ht="34" x14ac:dyDescent="0.2">
      <c r="A56" s="72" t="s">
        <v>300</v>
      </c>
      <c r="B56" s="135">
        <v>-1365</v>
      </c>
      <c r="C56" s="135">
        <v>-1341</v>
      </c>
      <c r="D56" s="135">
        <v>-1976</v>
      </c>
      <c r="E56" s="135">
        <v>-2918</v>
      </c>
      <c r="F56" s="135">
        <v>-3621</v>
      </c>
      <c r="G56" s="151"/>
    </row>
    <row r="57" spans="1:25" ht="17" x14ac:dyDescent="0.2">
      <c r="A57" s="72" t="s">
        <v>420</v>
      </c>
      <c r="B57" s="29">
        <f>-B56/B55</f>
        <v>0.87781350482315113</v>
      </c>
      <c r="C57" s="29">
        <f t="shared" ref="C57:F57" si="15">-C56/C55</f>
        <v>0.87589810581319394</v>
      </c>
      <c r="D57" s="29">
        <f t="shared" si="15"/>
        <v>0.99097291875626881</v>
      </c>
      <c r="E57" s="29">
        <f>-E56/E55</f>
        <v>1.0462531373252062</v>
      </c>
      <c r="F57" s="29">
        <f t="shared" si="15"/>
        <v>0.92632386799693012</v>
      </c>
      <c r="G57" s="160">
        <f>SUM(B57:F57)/5</f>
        <v>0.94345230694295013</v>
      </c>
    </row>
    <row r="58" spans="1:25" ht="17" x14ac:dyDescent="0.2">
      <c r="A58" s="72" t="s">
        <v>419</v>
      </c>
      <c r="B58" s="62">
        <f>1-B57</f>
        <v>0.12218649517684887</v>
      </c>
      <c r="C58" s="62">
        <f t="shared" ref="C58:F58" si="16">1-C57</f>
        <v>0.12410189418680606</v>
      </c>
      <c r="D58" s="62">
        <f t="shared" si="16"/>
        <v>9.0270812437311942E-3</v>
      </c>
      <c r="E58" s="62">
        <f t="shared" si="16"/>
        <v>-4.6253137325206195E-2</v>
      </c>
      <c r="F58" s="62">
        <f t="shared" si="16"/>
        <v>7.3676132003069883E-2</v>
      </c>
      <c r="G58" s="160">
        <f>SUM(B58:F58)/5</f>
        <v>5.6547693057049965E-2</v>
      </c>
    </row>
    <row r="59" spans="1:25" x14ac:dyDescent="0.2">
      <c r="I59" s="104"/>
    </row>
    <row r="61" spans="1:25" ht="19" x14ac:dyDescent="0.25">
      <c r="A61" s="85" t="s">
        <v>296</v>
      </c>
    </row>
    <row r="63" spans="1:25" ht="32" x14ac:dyDescent="0.2">
      <c r="A63" s="230" t="s">
        <v>127</v>
      </c>
      <c r="B63" s="230">
        <v>2018</v>
      </c>
      <c r="C63" s="230">
        <v>2019</v>
      </c>
      <c r="D63" s="230">
        <v>2020</v>
      </c>
      <c r="E63" s="230">
        <v>2021</v>
      </c>
      <c r="F63" s="230">
        <v>2022</v>
      </c>
      <c r="G63" s="418" t="s">
        <v>282</v>
      </c>
      <c r="H63" s="418" t="s">
        <v>283</v>
      </c>
      <c r="M63" s="235" t="s">
        <v>127</v>
      </c>
      <c r="N63" s="249">
        <v>2022</v>
      </c>
      <c r="O63" s="249" t="s">
        <v>310</v>
      </c>
      <c r="P63" s="249" t="s">
        <v>311</v>
      </c>
      <c r="Q63" s="249" t="s">
        <v>312</v>
      </c>
      <c r="R63" s="249" t="s">
        <v>313</v>
      </c>
      <c r="S63" s="249" t="s">
        <v>314</v>
      </c>
      <c r="T63" s="249" t="s">
        <v>315</v>
      </c>
      <c r="U63" s="249" t="s">
        <v>316</v>
      </c>
      <c r="V63" s="249" t="s">
        <v>317</v>
      </c>
      <c r="W63" s="249" t="s">
        <v>318</v>
      </c>
      <c r="X63" s="249" t="s">
        <v>319</v>
      </c>
      <c r="Y63" s="250" t="s">
        <v>150</v>
      </c>
    </row>
    <row r="64" spans="1:25" ht="17" x14ac:dyDescent="0.2">
      <c r="A64" s="20" t="s">
        <v>188</v>
      </c>
      <c r="B64" s="134">
        <v>-1880</v>
      </c>
      <c r="C64" s="134">
        <v>-2770</v>
      </c>
      <c r="D64" s="134">
        <v>-2671</v>
      </c>
      <c r="E64" s="134">
        <v>-3906</v>
      </c>
      <c r="F64" s="138">
        <v>-5880</v>
      </c>
      <c r="G64" s="143"/>
      <c r="H64" s="60"/>
      <c r="M64" s="264" t="s">
        <v>492</v>
      </c>
      <c r="N64" s="273">
        <f t="shared" ref="N64:Y64" si="17">N26</f>
        <v>6091</v>
      </c>
      <c r="O64" s="273">
        <f t="shared" si="17"/>
        <v>8183.8675999999996</v>
      </c>
      <c r="P64" s="273">
        <f t="shared" si="17"/>
        <v>10995.844507359998</v>
      </c>
      <c r="Q64" s="273">
        <f t="shared" si="17"/>
        <v>14774.016680088893</v>
      </c>
      <c r="R64" s="273">
        <f t="shared" si="17"/>
        <v>19850.368811367436</v>
      </c>
      <c r="S64" s="273">
        <f t="shared" si="17"/>
        <v>26670.955534953286</v>
      </c>
      <c r="T64" s="273">
        <f t="shared" si="17"/>
        <v>34162.293525610963</v>
      </c>
      <c r="U64" s="273">
        <f t="shared" si="17"/>
        <v>41615.139481158258</v>
      </c>
      <c r="V64" s="273">
        <f t="shared" si="17"/>
        <v>48083.796762109501</v>
      </c>
      <c r="W64" s="273">
        <f t="shared" si="17"/>
        <v>52542.126397892287</v>
      </c>
      <c r="X64" s="273">
        <f t="shared" si="17"/>
        <v>54118.390189829057</v>
      </c>
      <c r="Y64" s="274">
        <f t="shared" si="17"/>
        <v>55741.941895523931</v>
      </c>
    </row>
    <row r="65" spans="1:43" ht="17" x14ac:dyDescent="0.2">
      <c r="A65" s="136" t="s">
        <v>284</v>
      </c>
      <c r="B65" s="137">
        <v>0.52969999999999995</v>
      </c>
      <c r="C65" s="137">
        <v>0.47339999999999999</v>
      </c>
      <c r="D65" s="137">
        <v>-3.5700000000000003E-2</v>
      </c>
      <c r="E65" s="137">
        <v>0.46239999999999998</v>
      </c>
      <c r="F65" s="153">
        <v>0.50539999999999996</v>
      </c>
      <c r="G65" s="155">
        <v>0.38700000000000001</v>
      </c>
      <c r="H65" s="140">
        <v>0.25619999999999998</v>
      </c>
      <c r="M65" s="275" t="s">
        <v>323</v>
      </c>
      <c r="N65" s="5">
        <f>$F$72</f>
        <v>0.96535872598916439</v>
      </c>
      <c r="O65" s="5">
        <f t="shared" ref="O65:X65" si="18">1-O66</f>
        <v>0.96535872598916439</v>
      </c>
      <c r="P65" s="5">
        <f t="shared" si="18"/>
        <v>0.96535872598916439</v>
      </c>
      <c r="Q65" s="5">
        <f t="shared" si="18"/>
        <v>0.96535872598916439</v>
      </c>
      <c r="R65" s="5">
        <f t="shared" si="18"/>
        <v>0.96535872598916439</v>
      </c>
      <c r="S65" s="5">
        <f>1-S66</f>
        <v>0.96535872598916439</v>
      </c>
      <c r="T65" s="5">
        <f t="shared" si="18"/>
        <v>0.96535872598916439</v>
      </c>
      <c r="U65" s="5">
        <f t="shared" si="18"/>
        <v>0.96535872598916439</v>
      </c>
      <c r="V65" s="5">
        <f t="shared" si="18"/>
        <v>0.96535872598916439</v>
      </c>
      <c r="W65" s="5">
        <f t="shared" si="18"/>
        <v>0.96535872598916439</v>
      </c>
      <c r="X65" s="5">
        <f t="shared" si="18"/>
        <v>0.96535872598916439</v>
      </c>
      <c r="Y65" s="267">
        <f>1-Y66</f>
        <v>0.96535872598916439</v>
      </c>
    </row>
    <row r="66" spans="1:43" x14ac:dyDescent="0.2">
      <c r="M66" s="145" t="s">
        <v>419</v>
      </c>
      <c r="N66" s="5">
        <f>1-N65</f>
        <v>3.464127401083561E-2</v>
      </c>
      <c r="O66" s="259">
        <f>N66-($N$66-$Y$66)/10</f>
        <v>3.464127401083561E-2</v>
      </c>
      <c r="P66" s="259">
        <f t="shared" ref="P66:V66" si="19">O66-($N$66-$Y$66)/10</f>
        <v>3.464127401083561E-2</v>
      </c>
      <c r="Q66" s="259">
        <f t="shared" si="19"/>
        <v>3.464127401083561E-2</v>
      </c>
      <c r="R66" s="259">
        <f t="shared" si="19"/>
        <v>3.464127401083561E-2</v>
      </c>
      <c r="S66" s="259">
        <f t="shared" si="19"/>
        <v>3.464127401083561E-2</v>
      </c>
      <c r="T66" s="259">
        <f t="shared" si="19"/>
        <v>3.464127401083561E-2</v>
      </c>
      <c r="U66" s="259">
        <f t="shared" si="19"/>
        <v>3.464127401083561E-2</v>
      </c>
      <c r="V66" s="259">
        <f t="shared" si="19"/>
        <v>3.464127401083561E-2</v>
      </c>
      <c r="W66" s="259">
        <f>V66-($N$66-$Y$66)/10</f>
        <v>3.464127401083561E-2</v>
      </c>
      <c r="X66" s="5">
        <f>'Input for DCF'!$B$21</f>
        <v>3.464127401083561E-2</v>
      </c>
      <c r="Y66" s="267">
        <f>'Input for DCF'!$B$21</f>
        <v>3.464127401083561E-2</v>
      </c>
    </row>
    <row r="67" spans="1:43" ht="34" x14ac:dyDescent="0.2">
      <c r="E67" s="104"/>
      <c r="F67" s="104"/>
      <c r="G67" s="104"/>
      <c r="H67" s="104"/>
      <c r="M67" s="257" t="s">
        <v>499</v>
      </c>
      <c r="N67" s="98">
        <f t="shared" ref="N67:Y67" si="20">N64*N65</f>
        <v>5880</v>
      </c>
      <c r="O67" s="98">
        <f t="shared" si="20"/>
        <v>7900.3680000000004</v>
      </c>
      <c r="P67" s="98">
        <f t="shared" si="20"/>
        <v>10614.934444799999</v>
      </c>
      <c r="Q67" s="98">
        <f t="shared" si="20"/>
        <v>14262.225920033277</v>
      </c>
      <c r="R67" s="98">
        <f t="shared" si="20"/>
        <v>19162.72674615671</v>
      </c>
      <c r="S67" s="98">
        <f>S64*S65</f>
        <v>25747.039656136156</v>
      </c>
      <c r="T67" s="98">
        <f t="shared" si="20"/>
        <v>32978.868154751675</v>
      </c>
      <c r="U67" s="98">
        <f t="shared" si="20"/>
        <v>40173.538031392309</v>
      </c>
      <c r="V67" s="98">
        <f t="shared" si="20"/>
        <v>46418.112782991935</v>
      </c>
      <c r="W67" s="98">
        <f t="shared" si="20"/>
        <v>50722.000200230941</v>
      </c>
      <c r="X67" s="98">
        <f t="shared" si="20"/>
        <v>52243.660206237873</v>
      </c>
      <c r="Y67" s="258">
        <f t="shared" si="20"/>
        <v>53810.970012425008</v>
      </c>
    </row>
    <row r="69" spans="1:43" ht="32" x14ac:dyDescent="0.2">
      <c r="A69" s="230" t="s">
        <v>127</v>
      </c>
      <c r="B69" s="230">
        <v>2018</v>
      </c>
      <c r="C69" s="230">
        <v>2019</v>
      </c>
      <c r="D69" s="230">
        <v>2020</v>
      </c>
      <c r="E69" s="230">
        <v>2021</v>
      </c>
      <c r="F69" s="230">
        <v>2022</v>
      </c>
      <c r="G69" s="419" t="s">
        <v>282</v>
      </c>
    </row>
    <row r="70" spans="1:43" x14ac:dyDescent="0.2">
      <c r="A70" s="20" t="s">
        <v>188</v>
      </c>
      <c r="B70" s="134">
        <v>1391</v>
      </c>
      <c r="C70" s="134">
        <v>2226</v>
      </c>
      <c r="D70" s="134">
        <v>2306</v>
      </c>
      <c r="E70" s="134">
        <v>3802</v>
      </c>
      <c r="F70" s="138">
        <v>6091</v>
      </c>
      <c r="G70" s="151"/>
    </row>
    <row r="71" spans="1:43" ht="34" x14ac:dyDescent="0.2">
      <c r="A71" s="72" t="s">
        <v>324</v>
      </c>
      <c r="B71" s="135">
        <v>-1880</v>
      </c>
      <c r="C71" s="135">
        <v>-2770</v>
      </c>
      <c r="D71" s="135">
        <v>-2671</v>
      </c>
      <c r="E71" s="135">
        <v>-3906</v>
      </c>
      <c r="F71" s="152">
        <v>-5880</v>
      </c>
      <c r="G71" s="151"/>
    </row>
    <row r="72" spans="1:43" ht="34" x14ac:dyDescent="0.2">
      <c r="A72" s="72" t="s">
        <v>325</v>
      </c>
      <c r="B72" s="29">
        <f>-B71/B70</f>
        <v>1.3515456506110712</v>
      </c>
      <c r="C72" s="29">
        <f t="shared" ref="C72" si="21">-C71/C70</f>
        <v>1.2443845462713388</v>
      </c>
      <c r="D72" s="29">
        <f t="shared" ref="D72" si="22">-D71/D70</f>
        <v>1.1582827406764962</v>
      </c>
      <c r="E72" s="29">
        <f t="shared" ref="E72" si="23">-E71/E70</f>
        <v>1.0273540241977905</v>
      </c>
      <c r="F72" s="29">
        <f t="shared" ref="F72" si="24">-F71/F70</f>
        <v>0.96535872598916439</v>
      </c>
      <c r="G72" s="160">
        <f>SUM(B72:F72)/5</f>
        <v>1.1493851375491722</v>
      </c>
    </row>
    <row r="73" spans="1:43" ht="17" x14ac:dyDescent="0.2">
      <c r="A73" s="72" t="s">
        <v>419</v>
      </c>
      <c r="B73" s="62">
        <f>1-B72</f>
        <v>-0.35154565061107124</v>
      </c>
      <c r="C73" s="62">
        <f t="shared" ref="C73" si="25">1-C72</f>
        <v>-0.24438454627133877</v>
      </c>
      <c r="D73" s="62">
        <f t="shared" ref="D73" si="26">1-D72</f>
        <v>-0.15828274067649617</v>
      </c>
      <c r="E73" s="62">
        <f t="shared" ref="E73" si="27">1-E72</f>
        <v>-2.7354024197790539E-2</v>
      </c>
      <c r="F73" s="62">
        <f t="shared" ref="F73" si="28">1-F72</f>
        <v>3.464127401083561E-2</v>
      </c>
      <c r="G73" s="160">
        <f>SUM(B73:F73)/5</f>
        <v>-0.14938513754917221</v>
      </c>
    </row>
    <row r="75" spans="1:43" s="190" customFormat="1" ht="19" x14ac:dyDescent="0.25">
      <c r="A75" s="190" t="s">
        <v>175</v>
      </c>
    </row>
    <row r="76" spans="1:43" s="191" customFormat="1" ht="19" x14ac:dyDescent="0.25"/>
    <row r="77" spans="1:43" ht="19" x14ac:dyDescent="0.25">
      <c r="A77" s="85" t="s">
        <v>297</v>
      </c>
    </row>
    <row r="79" spans="1:43" ht="36" customHeight="1" x14ac:dyDescent="0.2">
      <c r="A79" s="230" t="s">
        <v>127</v>
      </c>
      <c r="B79" s="230">
        <v>2018</v>
      </c>
      <c r="C79" s="230">
        <v>2019</v>
      </c>
      <c r="D79" s="230">
        <v>2020</v>
      </c>
      <c r="E79" s="230">
        <v>2021</v>
      </c>
      <c r="F79" s="230">
        <v>2022</v>
      </c>
      <c r="G79" s="418" t="s">
        <v>282</v>
      </c>
      <c r="H79" s="418" t="s">
        <v>283</v>
      </c>
      <c r="M79" s="235" t="s">
        <v>127</v>
      </c>
      <c r="N79" s="249">
        <v>2022</v>
      </c>
      <c r="O79" s="249" t="s">
        <v>310</v>
      </c>
      <c r="P79" s="249" t="s">
        <v>311</v>
      </c>
      <c r="Q79" s="249" t="s">
        <v>312</v>
      </c>
      <c r="R79" s="249" t="s">
        <v>313</v>
      </c>
      <c r="S79" s="249" t="s">
        <v>314</v>
      </c>
      <c r="T79" s="249" t="s">
        <v>315</v>
      </c>
      <c r="U79" s="249" t="s">
        <v>316</v>
      </c>
      <c r="V79" s="249" t="s">
        <v>317</v>
      </c>
      <c r="W79" s="249" t="s">
        <v>318</v>
      </c>
      <c r="X79" s="249" t="s">
        <v>319</v>
      </c>
      <c r="Y79" s="250" t="s">
        <v>150</v>
      </c>
      <c r="AA79" s="234" t="s">
        <v>422</v>
      </c>
      <c r="AB79" s="230" t="s">
        <v>389</v>
      </c>
      <c r="AC79" s="230" t="s">
        <v>390</v>
      </c>
      <c r="AD79" s="235" t="s">
        <v>384</v>
      </c>
      <c r="AE79" s="230" t="s">
        <v>482</v>
      </c>
      <c r="AF79" s="230" t="s">
        <v>292</v>
      </c>
      <c r="AG79" s="236" t="s">
        <v>483</v>
      </c>
      <c r="AJ79" s="195" t="s">
        <v>422</v>
      </c>
      <c r="AK79" s="133" t="s">
        <v>428</v>
      </c>
      <c r="AL79" s="179" t="s">
        <v>429</v>
      </c>
      <c r="AM79" s="133" t="s">
        <v>430</v>
      </c>
      <c r="AN79" s="133" t="s">
        <v>431</v>
      </c>
      <c r="AO79" s="179" t="s">
        <v>432</v>
      </c>
      <c r="AP79" s="133" t="s">
        <v>433</v>
      </c>
      <c r="AQ79" s="133" t="s">
        <v>292</v>
      </c>
    </row>
    <row r="80" spans="1:43" x14ac:dyDescent="0.2">
      <c r="A80" s="20" t="s">
        <v>177</v>
      </c>
      <c r="B80" s="141">
        <v>-725</v>
      </c>
      <c r="C80" s="141">
        <v>-971</v>
      </c>
      <c r="D80" s="141">
        <v>-1147</v>
      </c>
      <c r="E80" s="141">
        <v>-1301</v>
      </c>
      <c r="F80" s="157">
        <v>-1653</v>
      </c>
      <c r="G80" s="143"/>
      <c r="H80" s="60"/>
      <c r="M80" s="143" t="s">
        <v>340</v>
      </c>
      <c r="N80" s="268">
        <f t="shared" ref="N80:Y80" si="29">N11+N19+N26</f>
        <v>81367.072469000006</v>
      </c>
      <c r="O80" s="268">
        <f t="shared" si="29"/>
        <v>106154.06710973609</v>
      </c>
      <c r="P80" s="268">
        <f t="shared" si="29"/>
        <v>138542.35847763409</v>
      </c>
      <c r="Q80" s="268">
        <f t="shared" si="29"/>
        <v>180874.44121561761</v>
      </c>
      <c r="R80" s="268">
        <f t="shared" si="29"/>
        <v>236217.40086375235</v>
      </c>
      <c r="S80" s="268">
        <f t="shared" si="29"/>
        <v>308587.72036456532</v>
      </c>
      <c r="T80" s="268">
        <f t="shared" si="29"/>
        <v>386165.87944118388</v>
      </c>
      <c r="U80" s="268">
        <f t="shared" si="29"/>
        <v>461941.61470112251</v>
      </c>
      <c r="V80" s="268">
        <f t="shared" si="29"/>
        <v>527032.03124000877</v>
      </c>
      <c r="W80" s="268">
        <f t="shared" si="29"/>
        <v>572084.36536649673</v>
      </c>
      <c r="X80" s="268">
        <f t="shared" si="29"/>
        <v>589246.89632749162</v>
      </c>
      <c r="Y80" s="269">
        <f t="shared" si="29"/>
        <v>606924.3032173164</v>
      </c>
      <c r="AA80" s="20" t="s">
        <v>100</v>
      </c>
      <c r="AB80" s="50">
        <v>279232</v>
      </c>
      <c r="AC80" s="50">
        <v>158057</v>
      </c>
      <c r="AD80" s="231">
        <v>256840</v>
      </c>
      <c r="AE80" s="50">
        <v>1568</v>
      </c>
      <c r="AF80" s="151"/>
      <c r="AG80" s="7"/>
      <c r="AJ80" s="20" t="s">
        <v>100</v>
      </c>
      <c r="AK80" s="50">
        <v>394328</v>
      </c>
      <c r="AL80" s="50">
        <v>280875</v>
      </c>
      <c r="AM80" s="50">
        <v>513983</v>
      </c>
      <c r="AN80" s="50">
        <v>198270</v>
      </c>
      <c r="AO80" s="50">
        <v>116609</v>
      </c>
      <c r="AP80" s="50">
        <v>302231360</v>
      </c>
      <c r="AQ80" s="60"/>
    </row>
    <row r="81" spans="1:43" x14ac:dyDescent="0.2">
      <c r="A81" s="136" t="s">
        <v>284</v>
      </c>
      <c r="B81" s="137">
        <v>0.43559999999999999</v>
      </c>
      <c r="C81" s="137">
        <v>0.33929999999999999</v>
      </c>
      <c r="D81" s="137">
        <v>0.18129999999999999</v>
      </c>
      <c r="E81" s="137">
        <v>0.1343</v>
      </c>
      <c r="F81" s="153">
        <v>0.27060000000000001</v>
      </c>
      <c r="G81" s="155">
        <v>0.2722</v>
      </c>
      <c r="H81" s="140">
        <v>0.1792</v>
      </c>
      <c r="M81" s="145" t="s">
        <v>323</v>
      </c>
      <c r="N81" s="5">
        <f>$F$89</f>
        <v>3.7747661486337188E-2</v>
      </c>
      <c r="O81" s="259">
        <f t="shared" ref="O81:W81" si="30">N81-($N$81-$Y$81)/10</f>
        <v>3.7747661486337188E-2</v>
      </c>
      <c r="P81" s="259">
        <f t="shared" si="30"/>
        <v>3.7747661486337188E-2</v>
      </c>
      <c r="Q81" s="259">
        <f t="shared" si="30"/>
        <v>3.7747661486337188E-2</v>
      </c>
      <c r="R81" s="259">
        <f t="shared" si="30"/>
        <v>3.7747661486337188E-2</v>
      </c>
      <c r="S81" s="259">
        <f t="shared" si="30"/>
        <v>3.7747661486337188E-2</v>
      </c>
      <c r="T81" s="259">
        <f t="shared" si="30"/>
        <v>3.7747661486337188E-2</v>
      </c>
      <c r="U81" s="259">
        <f t="shared" si="30"/>
        <v>3.7747661486337188E-2</v>
      </c>
      <c r="V81" s="259">
        <f t="shared" si="30"/>
        <v>3.7747661486337188E-2</v>
      </c>
      <c r="W81" s="259">
        <f t="shared" si="30"/>
        <v>3.7747661486337188E-2</v>
      </c>
      <c r="X81" s="5">
        <f>'Input for DCF'!$B$23</f>
        <v>3.7747661486337188E-2</v>
      </c>
      <c r="Y81" s="267">
        <f>'Input for DCF'!$B$23</f>
        <v>3.7747661486337188E-2</v>
      </c>
      <c r="AA81" s="20" t="s">
        <v>175</v>
      </c>
      <c r="AB81" s="50">
        <v>14329</v>
      </c>
      <c r="AC81" s="50">
        <v>7800</v>
      </c>
      <c r="AD81" s="231">
        <v>8905</v>
      </c>
      <c r="AE81" s="50">
        <v>1944</v>
      </c>
      <c r="AF81" s="151"/>
      <c r="AG81" s="7"/>
      <c r="AJ81" s="20" t="s">
        <v>175</v>
      </c>
      <c r="AK81" s="50">
        <v>26251</v>
      </c>
      <c r="AL81" s="50">
        <v>39500</v>
      </c>
      <c r="AM81" s="50">
        <v>73213</v>
      </c>
      <c r="AN81" s="50">
        <v>24512</v>
      </c>
      <c r="AO81" s="50">
        <v>33619</v>
      </c>
      <c r="AP81" s="50">
        <v>24919198</v>
      </c>
      <c r="AQ81" s="63"/>
    </row>
    <row r="82" spans="1:43" x14ac:dyDescent="0.2">
      <c r="M82" s="270" t="s">
        <v>175</v>
      </c>
      <c r="N82" s="260">
        <f>N80*N81</f>
        <v>3071.4167076940785</v>
      </c>
      <c r="O82" s="260">
        <f t="shared" ref="O82:S82" si="31">O80*O81</f>
        <v>4007.0677906562382</v>
      </c>
      <c r="P82" s="260">
        <f t="shared" si="31"/>
        <v>5229.6500493325084</v>
      </c>
      <c r="Q82" s="260">
        <f t="shared" si="31"/>
        <v>6827.5871785375284</v>
      </c>
      <c r="R82" s="260">
        <f t="shared" si="31"/>
        <v>8916.6544849873371</v>
      </c>
      <c r="S82" s="260">
        <f t="shared" si="31"/>
        <v>11648.464807162092</v>
      </c>
      <c r="T82" s="260">
        <f t="shared" ref="T82:W82" si="32">T80*T81</f>
        <v>14576.858894719506</v>
      </c>
      <c r="U82" s="260">
        <f t="shared" si="32"/>
        <v>17437.215698189975</v>
      </c>
      <c r="V82" s="260">
        <f t="shared" si="32"/>
        <v>19894.226707704536</v>
      </c>
      <c r="W82" s="260">
        <f t="shared" si="32"/>
        <v>21594.846965480559</v>
      </c>
      <c r="X82" s="260">
        <f>X80*X81</f>
        <v>22242.692374444978</v>
      </c>
      <c r="Y82" s="271">
        <f>Y80*Y81</f>
        <v>22909.973145678327</v>
      </c>
      <c r="AA82" s="20" t="s">
        <v>394</v>
      </c>
      <c r="AB82" s="29">
        <f>AB81/AB80</f>
        <v>5.1315751776300711E-2</v>
      </c>
      <c r="AC82" s="29">
        <f>AC81/AC80</f>
        <v>4.9349285384386647E-2</v>
      </c>
      <c r="AD82" s="232">
        <f>AD81/AD80</f>
        <v>3.4671390749104504E-2</v>
      </c>
      <c r="AE82" s="29">
        <f>AE81/AE80</f>
        <v>1.239795918367347</v>
      </c>
      <c r="AF82" s="233">
        <f>SUM(AB82:AE82)/4</f>
        <v>0.34378308656928475</v>
      </c>
      <c r="AG82" s="66">
        <f>SUM(AB82:AD82)/3</f>
        <v>4.511214263659729E-2</v>
      </c>
      <c r="AJ82" s="20" t="s">
        <v>394</v>
      </c>
      <c r="AK82" s="29">
        <f>AK81/AK80</f>
        <v>6.657148363798665E-2</v>
      </c>
      <c r="AL82" s="29">
        <f t="shared" ref="AL82:AP82" si="33">AL81/AL80</f>
        <v>0.14063195371606588</v>
      </c>
      <c r="AM82" s="29">
        <f t="shared" si="33"/>
        <v>0.14244245432241923</v>
      </c>
      <c r="AN82" s="29">
        <f t="shared" si="33"/>
        <v>0.12362939426035205</v>
      </c>
      <c r="AO82" s="29">
        <f t="shared" si="33"/>
        <v>0.28830536236482607</v>
      </c>
      <c r="AP82" s="29">
        <f t="shared" si="33"/>
        <v>8.2450735754224846E-2</v>
      </c>
      <c r="AQ82" s="29">
        <f>SUM(AK82:AP82)/6</f>
        <v>0.14067189734264576</v>
      </c>
    </row>
    <row r="83" spans="1:43" x14ac:dyDescent="0.2">
      <c r="M83" s="145" t="s">
        <v>177</v>
      </c>
      <c r="N83" s="168">
        <f>'Prognose av F&amp;U'!B7</f>
        <v>1653</v>
      </c>
      <c r="O83" s="168">
        <f>'Prognose av F&amp;U'!C7</f>
        <v>1991.683341538816</v>
      </c>
      <c r="P83" s="168">
        <f>'Prognose av F&amp;U'!D7</f>
        <v>2501.0968996700631</v>
      </c>
      <c r="Q83" s="168">
        <f>'Prognose av F&amp;U'!E7</f>
        <v>3278.4269095365648</v>
      </c>
      <c r="R83" s="168">
        <f>'Prognose av F&amp;U'!F7</f>
        <v>4345.7443452440712</v>
      </c>
      <c r="S83" s="168">
        <f>'Prognose av F&amp;U'!G7</f>
        <v>5610.4752422415386</v>
      </c>
      <c r="T83" s="168">
        <f>'Prognose av F&amp;U'!H7</f>
        <v>7325.8848621351408</v>
      </c>
      <c r="U83" s="168">
        <f>'Prognose av F&amp;U'!I7</f>
        <v>9439.8430829477948</v>
      </c>
      <c r="V83" s="168">
        <f>'Prognose av F&amp;U'!J7</f>
        <v>11881.356212719289</v>
      </c>
      <c r="W83" s="168">
        <f>'Prognose av F&amp;U'!K7</f>
        <v>14494.68411855269</v>
      </c>
      <c r="X83" s="168">
        <f>'Prognose av F&amp;U'!L7</f>
        <v>17030.322614651333</v>
      </c>
      <c r="Y83" s="202">
        <f>'Prognose av F&amp;U'!M7</f>
        <v>19149.168128107911</v>
      </c>
    </row>
    <row r="84" spans="1:43" ht="19" x14ac:dyDescent="0.25">
      <c r="A84" s="85" t="s">
        <v>333</v>
      </c>
      <c r="M84" s="272" t="s">
        <v>495</v>
      </c>
      <c r="N84" s="98">
        <f>'Prognose av F&amp;U'!B6</f>
        <v>6869.6167076940792</v>
      </c>
      <c r="O84" s="98">
        <f>'Prognose av F&amp;U'!C6</f>
        <v>8885.0011568115024</v>
      </c>
      <c r="P84" s="98">
        <f>'Prognose av F&amp;U'!D6</f>
        <v>11613.554306473949</v>
      </c>
      <c r="Q84" s="98">
        <f>'Prognose av F&amp;U'!E6</f>
        <v>15162.714575474909</v>
      </c>
      <c r="R84" s="98">
        <f>'Prognose av F&amp;U'!F6</f>
        <v>19733.624715218175</v>
      </c>
      <c r="S84" s="98">
        <f>'Prognose av F&amp;U'!G6</f>
        <v>25771.614280138729</v>
      </c>
      <c r="T84" s="98">
        <f>'Prognose av F&amp;U'!H6</f>
        <v>33022.588312723099</v>
      </c>
      <c r="U84" s="98">
        <f>'Prognose av F&amp;U'!I6</f>
        <v>41019.96092796528</v>
      </c>
      <c r="V84" s="98">
        <f>'Prognose av F&amp;U'!J6</f>
        <v>49032.831422950527</v>
      </c>
      <c r="W84" s="98">
        <f>'Prognose av F&amp;U'!K6</f>
        <v>56132.9942698784</v>
      </c>
      <c r="X84" s="98">
        <f>'Prognose av F&amp;U'!L6</f>
        <v>61345.36402967204</v>
      </c>
      <c r="Y84" s="258">
        <f>'Prognose av F&amp;U'!M6</f>
        <v>65106.169047242453</v>
      </c>
    </row>
    <row r="86" spans="1:43" ht="32" x14ac:dyDescent="0.2">
      <c r="A86" s="230" t="s">
        <v>127</v>
      </c>
      <c r="B86" s="230">
        <v>2018</v>
      </c>
      <c r="C86" s="230">
        <v>2019</v>
      </c>
      <c r="D86" s="230">
        <v>2020</v>
      </c>
      <c r="E86" s="230">
        <v>2021</v>
      </c>
      <c r="F86" s="230">
        <v>2022</v>
      </c>
      <c r="G86" s="419" t="s">
        <v>282</v>
      </c>
      <c r="M86" s="230" t="s">
        <v>127</v>
      </c>
      <c r="N86" s="230">
        <v>2018</v>
      </c>
      <c r="O86" s="230">
        <v>2019</v>
      </c>
      <c r="P86" s="230">
        <v>2020</v>
      </c>
      <c r="Q86" s="230">
        <v>2021</v>
      </c>
      <c r="R86" s="230">
        <v>2022</v>
      </c>
      <c r="AJ86" s="133" t="s">
        <v>391</v>
      </c>
      <c r="AK86" s="133" t="s">
        <v>392</v>
      </c>
      <c r="AL86" s="179" t="s">
        <v>434</v>
      </c>
      <c r="AM86" s="133" t="s">
        <v>393</v>
      </c>
    </row>
    <row r="87" spans="1:43" x14ac:dyDescent="0.2">
      <c r="A87" s="20" t="s">
        <v>0</v>
      </c>
      <c r="B87" s="134">
        <v>21461</v>
      </c>
      <c r="C87" s="134">
        <v>24578</v>
      </c>
      <c r="D87" s="134">
        <v>31536</v>
      </c>
      <c r="E87" s="134">
        <v>53823</v>
      </c>
      <c r="F87" s="134">
        <v>81462</v>
      </c>
      <c r="G87" s="151"/>
      <c r="M87" s="198" t="s">
        <v>173</v>
      </c>
      <c r="N87" s="197">
        <v>3443</v>
      </c>
      <c r="O87" s="197">
        <v>3815</v>
      </c>
      <c r="P87" s="197">
        <v>4159</v>
      </c>
      <c r="Q87" s="197">
        <v>5451</v>
      </c>
      <c r="R87" s="197">
        <v>6873</v>
      </c>
      <c r="AJ87" s="50">
        <v>31379507</v>
      </c>
      <c r="AK87" s="50">
        <v>156735</v>
      </c>
      <c r="AL87" s="50">
        <v>150017</v>
      </c>
      <c r="AM87" s="50">
        <v>142610</v>
      </c>
    </row>
    <row r="88" spans="1:43" x14ac:dyDescent="0.2">
      <c r="A88" s="20" t="s">
        <v>334</v>
      </c>
      <c r="B88" s="134">
        <v>1460</v>
      </c>
      <c r="C88" s="134">
        <v>1343</v>
      </c>
      <c r="D88" s="134">
        <v>1491</v>
      </c>
      <c r="E88" s="134">
        <v>2593</v>
      </c>
      <c r="F88" s="134">
        <v>3075</v>
      </c>
      <c r="G88" s="151"/>
      <c r="M88" s="198" t="s">
        <v>169</v>
      </c>
      <c r="N88" s="197">
        <v>725</v>
      </c>
      <c r="O88" s="197">
        <v>971</v>
      </c>
      <c r="P88" s="197">
        <v>1147</v>
      </c>
      <c r="Q88" s="197">
        <v>1301</v>
      </c>
      <c r="R88" s="198">
        <v>1653</v>
      </c>
      <c r="AJ88" s="50">
        <v>1124262</v>
      </c>
      <c r="AK88" s="50">
        <v>9800</v>
      </c>
      <c r="AL88" s="50">
        <v>5581</v>
      </c>
      <c r="AM88" s="50">
        <v>6624</v>
      </c>
    </row>
    <row r="89" spans="1:43" ht="34" x14ac:dyDescent="0.2">
      <c r="A89" s="29" t="s">
        <v>335</v>
      </c>
      <c r="B89" s="29">
        <f>B88/B87</f>
        <v>6.8030380690554962E-2</v>
      </c>
      <c r="C89" s="29">
        <f t="shared" ref="C89:E89" si="34">C88/C87</f>
        <v>5.4642363088941333E-2</v>
      </c>
      <c r="D89" s="29">
        <f t="shared" si="34"/>
        <v>4.7279299847792999E-2</v>
      </c>
      <c r="E89" s="29">
        <f t="shared" si="34"/>
        <v>4.817643015067908E-2</v>
      </c>
      <c r="F89" s="194">
        <f>F88/F87</f>
        <v>3.7747661486337188E-2</v>
      </c>
      <c r="G89" s="64">
        <f>SUM(B89:F89)/5</f>
        <v>5.1175227052861115E-2</v>
      </c>
      <c r="M89" s="72" t="s">
        <v>423</v>
      </c>
      <c r="N89" s="197">
        <v>1460</v>
      </c>
      <c r="O89" s="197">
        <v>1343</v>
      </c>
      <c r="P89" s="197">
        <v>1491</v>
      </c>
      <c r="Q89" s="197">
        <v>2593</v>
      </c>
      <c r="R89" s="197">
        <v>3075</v>
      </c>
      <c r="AJ89" s="29">
        <f t="shared" ref="AJ89:AK89" si="35">AJ88/AJ87</f>
        <v>3.5827905135667047E-2</v>
      </c>
      <c r="AK89" s="29">
        <f t="shared" si="35"/>
        <v>6.2525919545730058E-2</v>
      </c>
      <c r="AL89" s="29">
        <f>AL88/AL87</f>
        <v>3.7202450388955921E-2</v>
      </c>
      <c r="AM89" s="29">
        <f>AM88/AM87</f>
        <v>4.6448355655283644E-2</v>
      </c>
    </row>
    <row r="90" spans="1:43" ht="34" x14ac:dyDescent="0.2">
      <c r="A90" s="193"/>
      <c r="B90" s="193"/>
      <c r="C90" s="193"/>
      <c r="D90" s="193"/>
      <c r="E90" s="193"/>
      <c r="F90" s="199"/>
      <c r="G90" s="193"/>
      <c r="M90" s="72" t="s">
        <v>424</v>
      </c>
      <c r="N90" s="197">
        <f>N89-N88</f>
        <v>735</v>
      </c>
      <c r="O90" s="197">
        <f t="shared" ref="O90:R90" si="36">O89-O88</f>
        <v>372</v>
      </c>
      <c r="P90" s="197">
        <f t="shared" si="36"/>
        <v>344</v>
      </c>
      <c r="Q90" s="197">
        <f t="shared" si="36"/>
        <v>1292</v>
      </c>
      <c r="R90" s="197">
        <f t="shared" si="36"/>
        <v>1422</v>
      </c>
    </row>
    <row r="91" spans="1:43" x14ac:dyDescent="0.2">
      <c r="N91" s="196"/>
    </row>
    <row r="92" spans="1:43" s="190" customFormat="1" ht="19" x14ac:dyDescent="0.25">
      <c r="A92" s="190" t="s">
        <v>415</v>
      </c>
    </row>
    <row r="94" spans="1:43" ht="19" x14ac:dyDescent="0.25">
      <c r="A94" s="85" t="s">
        <v>193</v>
      </c>
    </row>
    <row r="96" spans="1:43" ht="32" x14ac:dyDescent="0.2">
      <c r="A96" s="230" t="s">
        <v>127</v>
      </c>
      <c r="B96" s="230">
        <v>2018</v>
      </c>
      <c r="C96" s="230">
        <v>2019</v>
      </c>
      <c r="D96" s="230">
        <v>2020</v>
      </c>
      <c r="E96" s="230">
        <v>2021</v>
      </c>
      <c r="F96" s="230">
        <v>2022</v>
      </c>
      <c r="G96" s="418" t="s">
        <v>282</v>
      </c>
      <c r="H96" s="418" t="s">
        <v>283</v>
      </c>
      <c r="M96" s="235" t="s">
        <v>127</v>
      </c>
      <c r="N96" s="249">
        <v>2022</v>
      </c>
      <c r="O96" s="249" t="s">
        <v>310</v>
      </c>
      <c r="P96" s="249" t="s">
        <v>311</v>
      </c>
      <c r="Q96" s="249" t="s">
        <v>312</v>
      </c>
      <c r="R96" s="249" t="s">
        <v>313</v>
      </c>
      <c r="S96" s="249" t="s">
        <v>314</v>
      </c>
      <c r="T96" s="249" t="s">
        <v>315</v>
      </c>
      <c r="U96" s="249" t="s">
        <v>316</v>
      </c>
      <c r="V96" s="249" t="s">
        <v>317</v>
      </c>
      <c r="W96" s="249" t="s">
        <v>318</v>
      </c>
      <c r="X96" s="249" t="s">
        <v>319</v>
      </c>
      <c r="Y96" s="250" t="s">
        <v>150</v>
      </c>
    </row>
    <row r="97" spans="1:25" ht="17" x14ac:dyDescent="0.2">
      <c r="A97" s="72" t="s">
        <v>496</v>
      </c>
      <c r="B97" s="134">
        <v>-2834</v>
      </c>
      <c r="C97" s="134">
        <v>-2646</v>
      </c>
      <c r="D97" s="134">
        <v>-3145</v>
      </c>
      <c r="E97" s="134">
        <v>-4517</v>
      </c>
      <c r="F97" s="138">
        <v>-3946</v>
      </c>
      <c r="G97" s="143"/>
      <c r="H97" s="60"/>
      <c r="M97" s="264" t="s">
        <v>340</v>
      </c>
      <c r="N97" s="265">
        <f t="shared" ref="N97:Y97" si="37">N11+N19+N26</f>
        <v>81367.072469000006</v>
      </c>
      <c r="O97" s="265">
        <f t="shared" si="37"/>
        <v>106154.06710973609</v>
      </c>
      <c r="P97" s="265">
        <f t="shared" si="37"/>
        <v>138542.35847763409</v>
      </c>
      <c r="Q97" s="265">
        <f t="shared" si="37"/>
        <v>180874.44121561761</v>
      </c>
      <c r="R97" s="265">
        <f t="shared" si="37"/>
        <v>236217.40086375235</v>
      </c>
      <c r="S97" s="265">
        <f t="shared" si="37"/>
        <v>308587.72036456532</v>
      </c>
      <c r="T97" s="265">
        <f t="shared" si="37"/>
        <v>386165.87944118388</v>
      </c>
      <c r="U97" s="265">
        <f t="shared" si="37"/>
        <v>461941.61470112251</v>
      </c>
      <c r="V97" s="265">
        <f t="shared" si="37"/>
        <v>527032.03124000877</v>
      </c>
      <c r="W97" s="265">
        <f t="shared" si="37"/>
        <v>572084.36536649673</v>
      </c>
      <c r="X97" s="265">
        <f t="shared" si="37"/>
        <v>589246.89632749162</v>
      </c>
      <c r="Y97" s="266">
        <f t="shared" si="37"/>
        <v>606924.3032173164</v>
      </c>
    </row>
    <row r="98" spans="1:25" x14ac:dyDescent="0.2">
      <c r="A98" s="136" t="s">
        <v>284</v>
      </c>
      <c r="B98" s="137">
        <v>0.14460000000000001</v>
      </c>
      <c r="C98" s="137">
        <v>-6.6299999999999998E-2</v>
      </c>
      <c r="D98" s="137">
        <v>0.18859999999999999</v>
      </c>
      <c r="E98" s="137">
        <v>0.43619999999999998</v>
      </c>
      <c r="F98" s="153">
        <v>-0.12640000000000001</v>
      </c>
      <c r="G98" s="155">
        <v>0.1153</v>
      </c>
      <c r="H98" s="140">
        <v>6.8400000000000002E-2</v>
      </c>
      <c r="M98" s="145" t="s">
        <v>323</v>
      </c>
      <c r="N98" s="5">
        <f t="shared" ref="N98" si="38">$F$103</f>
        <v>4.8439763325231394E-2</v>
      </c>
      <c r="O98" s="259">
        <f>N98-($N$98-$Y$98)/10</f>
        <v>4.8439763325231394E-2</v>
      </c>
      <c r="P98" s="259">
        <f t="shared" ref="P98:W98" si="39">O98-($N$98-$Y$98)/10</f>
        <v>4.8439763325231394E-2</v>
      </c>
      <c r="Q98" s="259">
        <f t="shared" si="39"/>
        <v>4.8439763325231394E-2</v>
      </c>
      <c r="R98" s="259">
        <f t="shared" si="39"/>
        <v>4.8439763325231394E-2</v>
      </c>
      <c r="S98" s="259">
        <f t="shared" si="39"/>
        <v>4.8439763325231394E-2</v>
      </c>
      <c r="T98" s="259">
        <f t="shared" si="39"/>
        <v>4.8439763325231394E-2</v>
      </c>
      <c r="U98" s="259">
        <f t="shared" si="39"/>
        <v>4.8439763325231394E-2</v>
      </c>
      <c r="V98" s="259">
        <f t="shared" si="39"/>
        <v>4.8439763325231394E-2</v>
      </c>
      <c r="W98" s="259">
        <f t="shared" si="39"/>
        <v>4.8439763325231394E-2</v>
      </c>
      <c r="X98" s="5">
        <f>'Input for DCF'!$B$24</f>
        <v>4.8439763325231394E-2</v>
      </c>
      <c r="Y98" s="267">
        <f>'Input for DCF'!$B$24</f>
        <v>4.8439763325231394E-2</v>
      </c>
    </row>
    <row r="99" spans="1:25" ht="17" x14ac:dyDescent="0.2">
      <c r="M99" s="257" t="s">
        <v>496</v>
      </c>
      <c r="N99" s="98">
        <f>N97*N98</f>
        <v>3941.4017328653117</v>
      </c>
      <c r="O99" s="98">
        <f t="shared" ref="O99:S99" si="40">O97*O98</f>
        <v>5142.0778868063462</v>
      </c>
      <c r="P99" s="98">
        <f t="shared" si="40"/>
        <v>6710.9590551759602</v>
      </c>
      <c r="Q99" s="98">
        <f t="shared" si="40"/>
        <v>8761.5151240679952</v>
      </c>
      <c r="R99" s="98">
        <f t="shared" si="40"/>
        <v>11442.314991141473</v>
      </c>
      <c r="S99" s="98">
        <f t="shared" si="40"/>
        <v>14947.916139532232</v>
      </c>
      <c r="T99" s="98">
        <f t="shared" ref="T99:Y99" si="41">T97*T98</f>
        <v>18705.783804410788</v>
      </c>
      <c r="U99" s="98">
        <f t="shared" si="41"/>
        <v>22376.342486197605</v>
      </c>
      <c r="V99" s="98">
        <f t="shared" si="41"/>
        <v>25529.306858081982</v>
      </c>
      <c r="W99" s="98">
        <f t="shared" si="41"/>
        <v>27711.631260418304</v>
      </c>
      <c r="X99" s="98">
        <f t="shared" si="41"/>
        <v>28542.980198230853</v>
      </c>
      <c r="Y99" s="258">
        <f t="shared" si="41"/>
        <v>29399.269604177782</v>
      </c>
    </row>
    <row r="100" spans="1:25" ht="32" x14ac:dyDescent="0.2">
      <c r="A100" s="230" t="s">
        <v>127</v>
      </c>
      <c r="B100" s="230">
        <v>2018</v>
      </c>
      <c r="C100" s="230">
        <v>2019</v>
      </c>
      <c r="D100" s="230">
        <v>2020</v>
      </c>
      <c r="E100" s="230">
        <v>2021</v>
      </c>
      <c r="F100" s="230">
        <v>2022</v>
      </c>
      <c r="G100" s="419" t="s">
        <v>282</v>
      </c>
    </row>
    <row r="101" spans="1:25" ht="64" x14ac:dyDescent="0.2">
      <c r="A101" s="72" t="s">
        <v>131</v>
      </c>
      <c r="B101" s="134">
        <v>21461</v>
      </c>
      <c r="C101" s="134">
        <v>24578</v>
      </c>
      <c r="D101" s="134">
        <v>31536</v>
      </c>
      <c r="E101" s="134">
        <v>53823</v>
      </c>
      <c r="F101" s="134">
        <v>81462</v>
      </c>
      <c r="G101" s="151"/>
      <c r="M101" s="234" t="s">
        <v>421</v>
      </c>
      <c r="N101" s="230" t="s">
        <v>389</v>
      </c>
      <c r="O101" s="230" t="s">
        <v>390</v>
      </c>
      <c r="P101" s="230" t="s">
        <v>391</v>
      </c>
      <c r="Q101" s="230" t="s">
        <v>392</v>
      </c>
      <c r="R101" s="420" t="s">
        <v>395</v>
      </c>
      <c r="S101" s="230" t="s">
        <v>393</v>
      </c>
      <c r="T101" s="230" t="s">
        <v>292</v>
      </c>
    </row>
    <row r="102" spans="1:25" ht="34" x14ac:dyDescent="0.2">
      <c r="A102" s="72" t="s">
        <v>301</v>
      </c>
      <c r="B102" s="134">
        <v>-2834</v>
      </c>
      <c r="C102" s="134">
        <v>-2646</v>
      </c>
      <c r="D102" s="134">
        <v>-3145</v>
      </c>
      <c r="E102" s="134">
        <v>-4517</v>
      </c>
      <c r="F102" s="134">
        <v>-3946</v>
      </c>
      <c r="G102" s="151"/>
      <c r="M102" s="20" t="s">
        <v>100</v>
      </c>
      <c r="N102" s="50">
        <f>AB80</f>
        <v>279232</v>
      </c>
      <c r="O102" s="50">
        <f>AC80</f>
        <v>158057</v>
      </c>
      <c r="P102" s="50">
        <f>AJ87</f>
        <v>31379507</v>
      </c>
      <c r="Q102" s="50">
        <f>AK87</f>
        <v>156735</v>
      </c>
      <c r="R102" s="50">
        <f>AL87</f>
        <v>150017</v>
      </c>
      <c r="S102" s="50">
        <f>AM87</f>
        <v>142610</v>
      </c>
      <c r="T102" s="60"/>
    </row>
    <row r="103" spans="1:25" x14ac:dyDescent="0.2">
      <c r="A103" s="20" t="s">
        <v>326</v>
      </c>
      <c r="B103" s="29">
        <f>-B102/B101</f>
        <v>0.13205349238152927</v>
      </c>
      <c r="C103" s="29">
        <f t="shared" ref="C103:E103" si="42">-C102/C101</f>
        <v>0.10765725445520384</v>
      </c>
      <c r="D103" s="29">
        <f t="shared" si="42"/>
        <v>9.9727295788939629E-2</v>
      </c>
      <c r="E103" s="29">
        <f t="shared" si="42"/>
        <v>8.3923229845976624E-2</v>
      </c>
      <c r="F103" s="29">
        <f>-F102/F101</f>
        <v>4.8439763325231394E-2</v>
      </c>
      <c r="G103" s="160">
        <f>SUM(B103:F103)/5</f>
        <v>9.4360207159376139E-2</v>
      </c>
      <c r="M103" s="20" t="s">
        <v>291</v>
      </c>
      <c r="N103" s="50">
        <v>17146</v>
      </c>
      <c r="O103" s="50">
        <v>10888</v>
      </c>
      <c r="P103" s="50">
        <v>1851715</v>
      </c>
      <c r="Q103" s="50">
        <v>10667</v>
      </c>
      <c r="R103" s="50">
        <v>13110</v>
      </c>
      <c r="S103" s="180">
        <v>6624</v>
      </c>
      <c r="T103" s="151"/>
    </row>
    <row r="104" spans="1:25" x14ac:dyDescent="0.2">
      <c r="M104" s="20" t="s">
        <v>396</v>
      </c>
      <c r="N104" s="29">
        <f>N103/N102</f>
        <v>6.1404137061654825E-2</v>
      </c>
      <c r="O104" s="29">
        <f t="shared" ref="O104:S104" si="43">O103/O102</f>
        <v>6.8886540931436133E-2</v>
      </c>
      <c r="P104" s="29">
        <f t="shared" si="43"/>
        <v>5.9010327982526943E-2</v>
      </c>
      <c r="Q104" s="29">
        <f t="shared" si="43"/>
        <v>6.8057549366765557E-2</v>
      </c>
      <c r="R104" s="29">
        <f t="shared" si="43"/>
        <v>8.739009578914389E-2</v>
      </c>
      <c r="S104" s="29">
        <f t="shared" si="43"/>
        <v>4.6448355655283644E-2</v>
      </c>
      <c r="T104" s="29">
        <f>SUM(N104:S104)/6</f>
        <v>6.5199501131135179E-2</v>
      </c>
    </row>
    <row r="105" spans="1:25" ht="19" x14ac:dyDescent="0.25">
      <c r="A105" s="85" t="s">
        <v>194</v>
      </c>
    </row>
    <row r="107" spans="1:25" ht="32" x14ac:dyDescent="0.2">
      <c r="A107" s="230" t="s">
        <v>127</v>
      </c>
      <c r="B107" s="230">
        <v>2018</v>
      </c>
      <c r="C107" s="230">
        <v>2019</v>
      </c>
      <c r="D107" s="230">
        <v>2020</v>
      </c>
      <c r="E107" s="230">
        <v>2021</v>
      </c>
      <c r="F107" s="230">
        <v>2022</v>
      </c>
      <c r="G107" s="418" t="s">
        <v>282</v>
      </c>
      <c r="H107" s="418" t="s">
        <v>283</v>
      </c>
    </row>
    <row r="108" spans="1:25" ht="17" x14ac:dyDescent="0.2">
      <c r="A108" s="72" t="s">
        <v>194</v>
      </c>
      <c r="B108" s="134">
        <v>-135</v>
      </c>
      <c r="C108" s="134">
        <v>-149</v>
      </c>
      <c r="D108" s="134" t="s">
        <v>184</v>
      </c>
      <c r="E108" s="134">
        <v>27</v>
      </c>
      <c r="F108" s="138">
        <v>-176</v>
      </c>
      <c r="G108" s="143"/>
      <c r="H108" s="144"/>
    </row>
    <row r="109" spans="1:25" x14ac:dyDescent="0.2">
      <c r="A109" s="136" t="s">
        <v>284</v>
      </c>
      <c r="B109" s="137" t="e">
        <v>#DIV/0!</v>
      </c>
      <c r="C109" s="137">
        <v>0.1037</v>
      </c>
      <c r="D109" s="137" t="e">
        <v>#VALUE!</v>
      </c>
      <c r="E109" s="137" t="e">
        <v>#VALUE!</v>
      </c>
      <c r="F109" s="153">
        <v>-7.5185000000000004</v>
      </c>
      <c r="G109" s="155" t="e">
        <v>#VALUE!</v>
      </c>
      <c r="H109" s="159">
        <v>5.45E-2</v>
      </c>
    </row>
    <row r="112" spans="1:25" x14ac:dyDescent="0.2">
      <c r="A112" s="230" t="s">
        <v>127</v>
      </c>
      <c r="B112" s="230">
        <v>2018</v>
      </c>
      <c r="C112" s="230">
        <v>2019</v>
      </c>
      <c r="D112" s="230">
        <v>2020</v>
      </c>
      <c r="E112" s="230">
        <v>2021</v>
      </c>
      <c r="F112" s="230">
        <v>2022</v>
      </c>
      <c r="G112" s="230" t="s">
        <v>331</v>
      </c>
    </row>
    <row r="113" spans="1:25" ht="16" customHeight="1" x14ac:dyDescent="0.2">
      <c r="A113" s="72" t="s">
        <v>503</v>
      </c>
      <c r="B113" s="134">
        <v>135</v>
      </c>
      <c r="C113" s="134">
        <v>149</v>
      </c>
      <c r="D113" s="134" t="s">
        <v>184</v>
      </c>
      <c r="E113" s="134">
        <v>-27</v>
      </c>
      <c r="F113" s="134">
        <v>176</v>
      </c>
      <c r="G113" s="50">
        <f>SUM(B113:F113)/5</f>
        <v>86.6</v>
      </c>
    </row>
    <row r="116" spans="1:25" s="190" customFormat="1" ht="19" x14ac:dyDescent="0.25">
      <c r="A116" s="190" t="s">
        <v>374</v>
      </c>
    </row>
    <row r="118" spans="1:25" ht="21" x14ac:dyDescent="0.25">
      <c r="A118" s="49" t="s">
        <v>336</v>
      </c>
    </row>
    <row r="119" spans="1:25" x14ac:dyDescent="0.2">
      <c r="M119" s="235" t="s">
        <v>127</v>
      </c>
      <c r="N119" s="249">
        <v>2022</v>
      </c>
      <c r="O119" s="249" t="s">
        <v>310</v>
      </c>
      <c r="P119" s="249" t="s">
        <v>311</v>
      </c>
      <c r="Q119" s="249" t="s">
        <v>312</v>
      </c>
      <c r="R119" s="249" t="s">
        <v>313</v>
      </c>
      <c r="S119" s="249" t="s">
        <v>314</v>
      </c>
      <c r="T119" s="249" t="s">
        <v>315</v>
      </c>
      <c r="U119" s="249" t="s">
        <v>316</v>
      </c>
      <c r="V119" s="249" t="s">
        <v>317</v>
      </c>
      <c r="W119" s="249" t="s">
        <v>318</v>
      </c>
      <c r="X119" s="249" t="s">
        <v>319</v>
      </c>
      <c r="Y119" s="250" t="s">
        <v>150</v>
      </c>
    </row>
    <row r="120" spans="1:25" ht="17" x14ac:dyDescent="0.2">
      <c r="A120" s="230" t="s">
        <v>127</v>
      </c>
      <c r="B120" s="230">
        <v>2022</v>
      </c>
      <c r="M120" s="261" t="s">
        <v>337</v>
      </c>
      <c r="N120" s="262">
        <f t="shared" ref="N120:S120" si="44">$B$121</f>
        <v>8.2513302718857054E-2</v>
      </c>
      <c r="O120" s="262">
        <f t="shared" si="44"/>
        <v>8.2513302718857054E-2</v>
      </c>
      <c r="P120" s="262">
        <f t="shared" si="44"/>
        <v>8.2513302718857054E-2</v>
      </c>
      <c r="Q120" s="262">
        <f t="shared" si="44"/>
        <v>8.2513302718857054E-2</v>
      </c>
      <c r="R120" s="262">
        <f t="shared" si="44"/>
        <v>8.2513302718857054E-2</v>
      </c>
      <c r="S120" s="262">
        <f t="shared" si="44"/>
        <v>8.2513302718857054E-2</v>
      </c>
      <c r="T120" s="263">
        <f>S120+($Y$120-$S$120)/5</f>
        <v>8.7170642175085647E-2</v>
      </c>
      <c r="U120" s="263">
        <f>T120+($Y$120-$S$120)/5</f>
        <v>9.182798163131424E-2</v>
      </c>
      <c r="V120" s="263">
        <f>U120+($Y$120-$S$120)/5</f>
        <v>9.6485321087542833E-2</v>
      </c>
      <c r="W120" s="263">
        <f>V120+($Y$120-$S$120)/5</f>
        <v>0.10114266054377143</v>
      </c>
      <c r="X120" s="263">
        <f>W120+($Y$120-$S$120)/5</f>
        <v>0.10580000000000002</v>
      </c>
      <c r="Y120" s="470">
        <f>'Input for DCF'!B25</f>
        <v>0.10580000000000001</v>
      </c>
    </row>
    <row r="121" spans="1:25" x14ac:dyDescent="0.2">
      <c r="A121" s="421" t="s">
        <v>337</v>
      </c>
      <c r="B121" s="471">
        <f>-Resultatregnskap!B29/Resultatregnskap!B28</f>
        <v>8.2513302718857054E-2</v>
      </c>
    </row>
    <row r="122" spans="1:25" x14ac:dyDescent="0.2">
      <c r="M122" s="4" t="s">
        <v>418</v>
      </c>
    </row>
    <row r="123" spans="1:25" x14ac:dyDescent="0.2">
      <c r="M123" s="230" t="s">
        <v>127</v>
      </c>
      <c r="N123" s="230">
        <v>2022</v>
      </c>
      <c r="O123" s="230" t="s">
        <v>310</v>
      </c>
      <c r="P123" s="230" t="s">
        <v>311</v>
      </c>
      <c r="Q123" s="230" t="s">
        <v>312</v>
      </c>
      <c r="R123" s="230" t="s">
        <v>313</v>
      </c>
      <c r="S123" s="230" t="s">
        <v>314</v>
      </c>
      <c r="T123" s="230" t="s">
        <v>315</v>
      </c>
      <c r="U123" s="230" t="s">
        <v>316</v>
      </c>
      <c r="V123" s="230" t="s">
        <v>317</v>
      </c>
      <c r="W123" s="230" t="s">
        <v>318</v>
      </c>
      <c r="X123" s="230" t="s">
        <v>319</v>
      </c>
      <c r="Y123" s="248" t="s">
        <v>150</v>
      </c>
    </row>
    <row r="124" spans="1:25" x14ac:dyDescent="0.2">
      <c r="M124" s="20" t="s">
        <v>341</v>
      </c>
      <c r="N124" s="50">
        <f ca="1">Fremtidsregnskap!B58*'Vekst for fremtidsregnskap'!N120</f>
        <v>1125.2457946798654</v>
      </c>
      <c r="O124" s="50">
        <f>Fremtidsregnskap!C58*'Vekst for fremtidsregnskap'!O120</f>
        <v>997.30461336956103</v>
      </c>
      <c r="P124" s="50">
        <f ca="1">Fremtidsregnskap!D58*'Vekst for fremtidsregnskap'!P120</f>
        <v>1882.3441736659042</v>
      </c>
      <c r="Q124" s="50">
        <f ca="1">Fremtidsregnskap!E58*'Vekst for fremtidsregnskap'!Q120</f>
        <v>2410.9622042807828</v>
      </c>
      <c r="R124" s="50">
        <f ca="1">Fremtidsregnskap!F58*'Vekst for fremtidsregnskap'!R120</f>
        <v>3087.2989228441202</v>
      </c>
      <c r="S124" s="50">
        <f ca="1">Fremtidsregnskap!G58*'Vekst for fremtidsregnskap'!S120</f>
        <v>3952.2002681092426</v>
      </c>
      <c r="T124" s="50">
        <f ca="1">Fremtidsregnskap!H58*'Vekst for fremtidsregnskap'!T120</f>
        <v>5117.5531983000246</v>
      </c>
      <c r="U124" s="50">
        <f ca="1">Fremtidsregnskap!I58*'Vekst for fremtidsregnskap'!U120</f>
        <v>6313.8173921782445</v>
      </c>
      <c r="V124" s="50">
        <f ca="1">Fremtidsregnskap!J58*'Vekst for fremtidsregnskap'!V120</f>
        <v>7408.175362646678</v>
      </c>
      <c r="W124" s="50">
        <f ca="1">Fremtidsregnskap!K58*'Vekst for fremtidsregnskap'!W120</f>
        <v>8248.9743332126436</v>
      </c>
      <c r="X124" s="50">
        <f>Fremtidsregnskap!L58*'Vekst for fremtidsregnskap'!X120</f>
        <v>8696.0288622417993</v>
      </c>
      <c r="Y124" s="50">
        <f>Fremtidsregnskap!M58*'Vekst for fremtidsregnskap'!Y120</f>
        <v>8956.6348597090528</v>
      </c>
    </row>
    <row r="126" spans="1:25" x14ac:dyDescent="0.2">
      <c r="M126" s="4" t="s">
        <v>416</v>
      </c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</row>
    <row r="127" spans="1:25" x14ac:dyDescent="0.2">
      <c r="M127" s="230" t="s">
        <v>127</v>
      </c>
      <c r="N127" s="230">
        <v>2022</v>
      </c>
      <c r="O127" s="230" t="s">
        <v>310</v>
      </c>
      <c r="P127" s="230" t="s">
        <v>311</v>
      </c>
      <c r="Q127" s="230" t="s">
        <v>312</v>
      </c>
      <c r="R127" s="230" t="s">
        <v>313</v>
      </c>
      <c r="S127" s="230" t="s">
        <v>314</v>
      </c>
      <c r="T127" s="230" t="s">
        <v>315</v>
      </c>
      <c r="U127" s="230" t="s">
        <v>316</v>
      </c>
      <c r="V127" s="230" t="s">
        <v>317</v>
      </c>
      <c r="W127" s="230" t="s">
        <v>318</v>
      </c>
      <c r="X127" s="230" t="s">
        <v>319</v>
      </c>
      <c r="Y127" s="248" t="s">
        <v>150</v>
      </c>
    </row>
    <row r="128" spans="1:25" x14ac:dyDescent="0.2">
      <c r="M128" s="20" t="s">
        <v>341</v>
      </c>
      <c r="N128" s="50">
        <f ca="1">Fremtidsregnskap!B24*'Vekst for fremtidsregnskap'!N120</f>
        <v>1242.2840418633114</v>
      </c>
      <c r="O128" s="50">
        <f>Fremtidsregnskap!C24*'Vekst for fremtidsregnskap'!O120</f>
        <v>1149.3093364835579</v>
      </c>
      <c r="P128" s="50">
        <f ca="1">Fremtidsregnskap!D24*'Vekst for fremtidsregnskap'!P120</f>
        <v>2093.1948016575866</v>
      </c>
      <c r="Q128" s="50">
        <f ca="1">Fremtidsregnskap!E24*'Vekst for fremtidsregnskap'!Q120</f>
        <v>2689.5238359236937</v>
      </c>
      <c r="R128" s="50">
        <f ca="1">Fremtidsregnskap!F24*'Vekst for fremtidsregnskap'!R120</f>
        <v>3450.1685108745432</v>
      </c>
      <c r="S128" s="50">
        <f ca="1">Fremtidsregnskap!G24*'Vekst for fremtidsregnskap'!S120</f>
        <v>4436.1234248619257</v>
      </c>
      <c r="T128" s="50">
        <f ca="1">Fremtidsregnskap!H24*'Vekst for fremtidsregnskap'!T120</f>
        <v>5734.5273058905486</v>
      </c>
      <c r="U128" s="50">
        <f ca="1">Fremtidsregnskap!I24*'Vekst for fremtidsregnskap'!U120</f>
        <v>7032.2953713709348</v>
      </c>
      <c r="V128" s="50">
        <f ca="1">Fremtidsregnskap!J24*'Vekst for fremtidsregnskap'!V120</f>
        <v>8164.5884875758657</v>
      </c>
      <c r="W128" s="50">
        <f ca="1">Fremtidsregnskap!K24*'Vekst for fremtidsregnskap'!W120</f>
        <v>8949.5857850387856</v>
      </c>
      <c r="X128" s="50">
        <f>Fremtidsregnskap!L24*'Vekst for fremtidsregnskap'!X120</f>
        <v>9229.1730228279685</v>
      </c>
      <c r="Y128" s="50">
        <f>Fremtidsregnskap!M24*'Vekst for fremtidsregnskap'!Y120</f>
        <v>9336.2034705680035</v>
      </c>
    </row>
    <row r="130" spans="1:25" x14ac:dyDescent="0.2">
      <c r="M130" s="4" t="s">
        <v>417</v>
      </c>
      <c r="N130">
        <v>0</v>
      </c>
      <c r="O130">
        <v>1</v>
      </c>
      <c r="P130">
        <v>2</v>
      </c>
      <c r="Q130">
        <v>3</v>
      </c>
      <c r="R130">
        <v>4</v>
      </c>
      <c r="S130">
        <v>5</v>
      </c>
      <c r="T130">
        <v>6</v>
      </c>
      <c r="U130">
        <v>7</v>
      </c>
      <c r="V130">
        <v>8</v>
      </c>
      <c r="W130">
        <v>9</v>
      </c>
      <c r="X130">
        <v>10</v>
      </c>
    </row>
    <row r="131" spans="1:25" x14ac:dyDescent="0.2">
      <c r="M131" s="230" t="s">
        <v>127</v>
      </c>
      <c r="N131" s="230">
        <v>2022</v>
      </c>
      <c r="O131" s="230" t="s">
        <v>310</v>
      </c>
      <c r="P131" s="230" t="s">
        <v>311</v>
      </c>
      <c r="Q131" s="230" t="s">
        <v>312</v>
      </c>
      <c r="R131" s="230" t="s">
        <v>313</v>
      </c>
      <c r="S131" s="230" t="s">
        <v>314</v>
      </c>
      <c r="T131" s="230" t="s">
        <v>315</v>
      </c>
      <c r="U131" s="230" t="s">
        <v>316</v>
      </c>
      <c r="V131" s="230" t="s">
        <v>317</v>
      </c>
      <c r="W131" s="230" t="s">
        <v>318</v>
      </c>
      <c r="X131" s="230" t="s">
        <v>319</v>
      </c>
      <c r="Y131" s="248" t="s">
        <v>150</v>
      </c>
    </row>
    <row r="132" spans="1:25" x14ac:dyDescent="0.2">
      <c r="M132" s="20" t="s">
        <v>417</v>
      </c>
      <c r="N132" s="50">
        <f ca="1">N128-N124</f>
        <v>117.03824718344595</v>
      </c>
      <c r="O132" s="50">
        <f>O128-O124</f>
        <v>152.00472311399687</v>
      </c>
      <c r="P132" s="50">
        <f t="shared" ref="P132:X132" ca="1" si="45">P128-P124</f>
        <v>210.85062799168236</v>
      </c>
      <c r="Q132" s="50">
        <f t="shared" ca="1" si="45"/>
        <v>278.56163164291092</v>
      </c>
      <c r="R132" s="50">
        <f t="shared" ca="1" si="45"/>
        <v>362.86958803042307</v>
      </c>
      <c r="S132" s="50">
        <f t="shared" ca="1" si="45"/>
        <v>483.9231567526831</v>
      </c>
      <c r="T132" s="50">
        <f t="shared" ca="1" si="45"/>
        <v>616.974107590524</v>
      </c>
      <c r="U132" s="50">
        <f t="shared" ca="1" si="45"/>
        <v>718.47797919269033</v>
      </c>
      <c r="V132" s="50">
        <f t="shared" ca="1" si="45"/>
        <v>756.41312492918769</v>
      </c>
      <c r="W132" s="50">
        <f t="shared" ca="1" si="45"/>
        <v>700.611451826142</v>
      </c>
      <c r="X132" s="50">
        <f t="shared" si="45"/>
        <v>533.14416058616916</v>
      </c>
      <c r="Y132" s="50">
        <f>(Y128-Y124)/('CAPM og WACC'!B23-'Input for DCF'!B16)</f>
        <v>5392.4596121562645</v>
      </c>
    </row>
    <row r="133" spans="1:25" x14ac:dyDescent="0.2">
      <c r="M133" s="20" t="s">
        <v>427</v>
      </c>
      <c r="N133" s="50"/>
      <c r="O133" s="50">
        <f>O132/(1+'CAPM og WACC'!$B$23)^O130</f>
        <v>138.13729016863641</v>
      </c>
      <c r="P133" s="50">
        <f ca="1">P132/(1+'CAPM og WACC'!$B$23)^P130</f>
        <v>174.13360779060864</v>
      </c>
      <c r="Q133" s="50">
        <f ca="1">Q132/(1+'CAPM og WACC'!$B$23)^Q130</f>
        <v>209.06572865755851</v>
      </c>
      <c r="R133" s="50">
        <f ca="1">R132/(1+'CAPM og WACC'!$B$23)^R130</f>
        <v>247.49473815515131</v>
      </c>
      <c r="S133" s="50">
        <f ca="1">S132/(1+'CAPM og WACC'!$B$23)^S130</f>
        <v>299.947780412349</v>
      </c>
      <c r="T133" s="50">
        <f ca="1">T132/(1+'CAPM og WACC'!$B$23)^T130</f>
        <v>347.52818811292906</v>
      </c>
      <c r="U133" s="50">
        <f ca="1">U132/(1+'CAPM og WACC'!$B$23)^U130</f>
        <v>367.78194829355562</v>
      </c>
      <c r="V133" s="50">
        <f ca="1">V132/(1+'CAPM og WACC'!$B$23)^V130</f>
        <v>351.8761671720145</v>
      </c>
      <c r="W133" s="50">
        <f ca="1">W132/(1+'CAPM og WACC'!$B$23)^W130</f>
        <v>296.18419382453698</v>
      </c>
      <c r="X133" s="50">
        <f>X132/(1+'CAPM og WACC'!$B$23)^X130</f>
        <v>204.8250893021704</v>
      </c>
      <c r="Y133" s="50">
        <f>Y132/(1+'CAPM og WACC'!$B$23)^X130</f>
        <v>2071.6929927618289</v>
      </c>
    </row>
    <row r="134" spans="1:25" x14ac:dyDescent="0.2">
      <c r="M134" s="421" t="s">
        <v>552</v>
      </c>
      <c r="N134" s="50">
        <f ca="1">SUM(O133:Y133)</f>
        <v>4708.6677246513391</v>
      </c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</row>
    <row r="136" spans="1:25" s="190" customFormat="1" ht="19" x14ac:dyDescent="0.25">
      <c r="A136" s="190" t="s">
        <v>288</v>
      </c>
    </row>
    <row r="138" spans="1:25" ht="19" x14ac:dyDescent="0.25">
      <c r="A138" s="85" t="s">
        <v>351</v>
      </c>
    </row>
    <row r="140" spans="1:25" x14ac:dyDescent="0.2">
      <c r="A140" s="4" t="s">
        <v>553</v>
      </c>
    </row>
    <row r="141" spans="1:25" x14ac:dyDescent="0.2">
      <c r="A141" s="235" t="s">
        <v>127</v>
      </c>
      <c r="B141" s="249">
        <v>2018</v>
      </c>
      <c r="C141" s="249">
        <v>2019</v>
      </c>
      <c r="D141" s="249">
        <v>2020</v>
      </c>
      <c r="E141" s="249">
        <v>2021</v>
      </c>
      <c r="F141" s="249">
        <v>2022</v>
      </c>
      <c r="G141" s="280" t="s">
        <v>339</v>
      </c>
    </row>
    <row r="142" spans="1:25" x14ac:dyDescent="0.2">
      <c r="A142" s="151" t="s">
        <v>363</v>
      </c>
      <c r="B142" s="205">
        <f>Resultatregnskap!F12-Resultatregnskap!G12</f>
        <v>9703</v>
      </c>
      <c r="C142" s="205">
        <f>Resultatregnskap!E12-Resultatregnskap!F12</f>
        <v>3117</v>
      </c>
      <c r="D142" s="205">
        <f>Resultatregnskap!D12-Resultatregnskap!E12</f>
        <v>6958</v>
      </c>
      <c r="E142" s="205">
        <f>Resultatregnskap!C12-Resultatregnskap!D12</f>
        <v>22287</v>
      </c>
      <c r="F142" s="205">
        <f>Resultatregnskap!B12-Resultatregnskap!C12</f>
        <v>27639</v>
      </c>
      <c r="G142" s="202"/>
    </row>
    <row r="143" spans="1:25" x14ac:dyDescent="0.2">
      <c r="A143" s="151"/>
      <c r="B143" s="206"/>
      <c r="C143" s="206"/>
      <c r="D143" s="206"/>
      <c r="E143" s="206"/>
      <c r="F143" s="206"/>
      <c r="G143" s="202"/>
    </row>
    <row r="144" spans="1:25" x14ac:dyDescent="0.2">
      <c r="A144" s="151" t="s">
        <v>437</v>
      </c>
      <c r="B144" s="206">
        <f>-(Kontantstrøm!F30+Kontantstrøm!F31+Kontantstrøm!F34)</f>
        <v>2320</v>
      </c>
      <c r="C144" s="206">
        <f>-(Kontantstrøm!E30+Kontantstrøm!E31+Kontantstrøm!E34)</f>
        <v>1437</v>
      </c>
      <c r="D144" s="206">
        <f>-(Kontantstrøm!D30+Kontantstrøm!D31+Kontantstrøm!D34)</f>
        <v>3242</v>
      </c>
      <c r="E144" s="206">
        <f>-(Kontantstrøm!C30+Kontantstrøm!C31+Kontantstrøm!C34)</f>
        <v>6514</v>
      </c>
      <c r="F144" s="206">
        <f>-(Kontantstrøm!B30+Kontantstrøm!B31+Kontantstrøm!B34)</f>
        <v>7172</v>
      </c>
      <c r="G144" s="202"/>
    </row>
    <row r="145" spans="1:7" x14ac:dyDescent="0.2">
      <c r="A145" s="151" t="s">
        <v>438</v>
      </c>
      <c r="B145" s="206">
        <f>Kontantstrøm!F9</f>
        <v>1901</v>
      </c>
      <c r="C145" s="206">
        <f>Kontantstrøm!E9</f>
        <v>2154</v>
      </c>
      <c r="D145" s="206">
        <f>Kontantstrøm!D9</f>
        <v>2322</v>
      </c>
      <c r="E145" s="206">
        <f>Kontantstrøm!C9</f>
        <v>2911</v>
      </c>
      <c r="F145" s="206">
        <f>Kontantstrøm!B9</f>
        <v>3747</v>
      </c>
      <c r="G145" s="202"/>
    </row>
    <row r="146" spans="1:7" ht="34" x14ac:dyDescent="0.2">
      <c r="A146" s="302" t="s">
        <v>442</v>
      </c>
      <c r="B146" s="206"/>
      <c r="C146" s="206"/>
      <c r="D146" s="206"/>
      <c r="E146" s="206"/>
      <c r="F146" s="206"/>
      <c r="G146" s="202"/>
    </row>
    <row r="147" spans="1:7" ht="34" x14ac:dyDescent="0.2">
      <c r="A147" s="297" t="s">
        <v>443</v>
      </c>
      <c r="B147" s="205">
        <f>Kontantstrøm!F16</f>
        <v>-497</v>
      </c>
      <c r="C147" s="205">
        <f>Kontantstrøm!E16</f>
        <v>-367</v>
      </c>
      <c r="D147" s="205">
        <f>Kontantstrøm!D16</f>
        <v>-652</v>
      </c>
      <c r="E147" s="205">
        <f>Kontantstrøm!C16</f>
        <v>-130</v>
      </c>
      <c r="F147" s="205">
        <f>Kontantstrøm!B16</f>
        <v>-1124</v>
      </c>
      <c r="G147" s="202"/>
    </row>
    <row r="148" spans="1:7" x14ac:dyDescent="0.2">
      <c r="A148" s="298" t="s">
        <v>47</v>
      </c>
      <c r="B148" s="206">
        <f>Kontantstrøm!F17</f>
        <v>-1023</v>
      </c>
      <c r="C148" s="206">
        <f>Kontantstrøm!E17</f>
        <v>-429</v>
      </c>
      <c r="D148" s="206">
        <f>Kontantstrøm!D17</f>
        <v>-422</v>
      </c>
      <c r="E148" s="206">
        <f>Kontantstrøm!C17</f>
        <v>-1709</v>
      </c>
      <c r="F148" s="206">
        <f>Kontantstrøm!B17</f>
        <v>-6465</v>
      </c>
      <c r="G148" s="202"/>
    </row>
    <row r="149" spans="1:7" ht="17" x14ac:dyDescent="0.2">
      <c r="A149" s="299" t="s">
        <v>439</v>
      </c>
      <c r="B149" s="206">
        <f>Kontantstrøm!F19</f>
        <v>-82</v>
      </c>
      <c r="C149" s="206">
        <f>Kontantstrøm!E19</f>
        <v>-288</v>
      </c>
      <c r="D149" s="206">
        <f>Kontantstrøm!D19</f>
        <v>-251</v>
      </c>
      <c r="E149" s="206">
        <f>Kontantstrøm!C19</f>
        <v>-271</v>
      </c>
      <c r="F149" s="206">
        <f>Kontantstrøm!B19</f>
        <v>-1417</v>
      </c>
      <c r="G149" s="202"/>
    </row>
    <row r="150" spans="1:7" x14ac:dyDescent="0.2">
      <c r="A150" s="298" t="s">
        <v>132</v>
      </c>
      <c r="B150" s="206">
        <f>Kontantstrøm!F21</f>
        <v>1723</v>
      </c>
      <c r="C150" s="206">
        <f>Kontantstrøm!E21</f>
        <v>646</v>
      </c>
      <c r="D150" s="206">
        <f>Kontantstrøm!D21</f>
        <v>2102</v>
      </c>
      <c r="E150" s="206">
        <f>Kontantstrøm!C21</f>
        <v>4578</v>
      </c>
      <c r="F150" s="206">
        <f>Kontantstrøm!B21</f>
        <v>6029</v>
      </c>
      <c r="G150" s="202"/>
    </row>
    <row r="151" spans="1:7" x14ac:dyDescent="0.2">
      <c r="A151" s="298" t="s">
        <v>375</v>
      </c>
      <c r="B151" s="206">
        <f>Kontantstrøm!F22</f>
        <v>407</v>
      </c>
      <c r="C151" s="206">
        <f>Kontantstrøm!E22</f>
        <v>801</v>
      </c>
      <c r="D151" s="206">
        <f>Kontantstrøm!D22</f>
        <v>321</v>
      </c>
      <c r="E151" s="206">
        <f>Kontantstrøm!C22</f>
        <v>793</v>
      </c>
      <c r="F151" s="206">
        <f>Kontantstrøm!B22</f>
        <v>1131</v>
      </c>
      <c r="G151" s="202"/>
    </row>
    <row r="152" spans="1:7" x14ac:dyDescent="0.2">
      <c r="A152" s="300" t="s">
        <v>220</v>
      </c>
      <c r="B152" s="165">
        <f>Kontantstrøm!F23</f>
        <v>-97</v>
      </c>
      <c r="C152" s="165">
        <f>Kontantstrøm!E23</f>
        <v>-58</v>
      </c>
      <c r="D152" s="165">
        <f>Kontantstrøm!D23</f>
        <v>7</v>
      </c>
      <c r="E152" s="165">
        <f>Kontantstrøm!C23</f>
        <v>186</v>
      </c>
      <c r="F152" s="165">
        <f>Kontantstrøm!B23</f>
        <v>155</v>
      </c>
      <c r="G152" s="202"/>
    </row>
    <row r="153" spans="1:7" x14ac:dyDescent="0.2">
      <c r="A153" s="151" t="s">
        <v>440</v>
      </c>
      <c r="B153" s="206">
        <f>-SUM(B147:B152)</f>
        <v>-431</v>
      </c>
      <c r="C153" s="206">
        <f t="shared" ref="C153:F153" si="46">-SUM(C147:C152)</f>
        <v>-305</v>
      </c>
      <c r="D153" s="206">
        <f t="shared" si="46"/>
        <v>-1105</v>
      </c>
      <c r="E153" s="206">
        <f t="shared" si="46"/>
        <v>-3447</v>
      </c>
      <c r="F153" s="206">
        <f t="shared" si="46"/>
        <v>1691</v>
      </c>
      <c r="G153" s="202"/>
    </row>
    <row r="154" spans="1:7" x14ac:dyDescent="0.2">
      <c r="A154" s="151"/>
      <c r="B154" s="206"/>
      <c r="C154" s="206"/>
      <c r="D154" s="206"/>
      <c r="E154" s="206"/>
      <c r="F154" s="206"/>
      <c r="G154" s="202"/>
    </row>
    <row r="155" spans="1:7" x14ac:dyDescent="0.2">
      <c r="A155" s="301" t="s">
        <v>288</v>
      </c>
      <c r="B155" s="206">
        <f>B144-B145+B153</f>
        <v>-12</v>
      </c>
      <c r="C155" s="206">
        <f>C144-C145+C153</f>
        <v>-1022</v>
      </c>
      <c r="D155" s="206">
        <f>D144-D145+D153</f>
        <v>-185</v>
      </c>
      <c r="E155" s="206">
        <f>E144-E145+E153</f>
        <v>156</v>
      </c>
      <c r="F155" s="206">
        <f>F144-F145+F153</f>
        <v>5116</v>
      </c>
      <c r="G155" s="202"/>
    </row>
    <row r="156" spans="1:7" x14ac:dyDescent="0.2">
      <c r="A156" s="151"/>
      <c r="B156" s="206"/>
      <c r="C156" s="206"/>
      <c r="D156" s="206"/>
      <c r="E156" s="206"/>
      <c r="F156" s="206"/>
      <c r="G156" s="202"/>
    </row>
    <row r="157" spans="1:7" x14ac:dyDescent="0.2">
      <c r="A157" s="19" t="s">
        <v>408</v>
      </c>
      <c r="B157" s="73">
        <f>B142/B155</f>
        <v>-808.58333333333337</v>
      </c>
      <c r="C157" s="73">
        <f>C142/C155</f>
        <v>-3.0499021526418786</v>
      </c>
      <c r="D157" s="73">
        <f>D142/D155</f>
        <v>-37.610810810810811</v>
      </c>
      <c r="E157" s="73">
        <f>E142/E155</f>
        <v>142.86538461538461</v>
      </c>
      <c r="F157" s="73">
        <f>F142/F155</f>
        <v>5.4024628616106334</v>
      </c>
      <c r="G157" s="204">
        <f>SUM(B157:F157)/5</f>
        <v>-140.19523976395814</v>
      </c>
    </row>
    <row r="161" spans="1:7" x14ac:dyDescent="0.2">
      <c r="A161" s="4" t="s">
        <v>554</v>
      </c>
    </row>
    <row r="162" spans="1:7" x14ac:dyDescent="0.2">
      <c r="A162" s="235" t="s">
        <v>127</v>
      </c>
      <c r="B162" s="249">
        <v>2018</v>
      </c>
      <c r="C162" s="249">
        <v>2019</v>
      </c>
      <c r="D162" s="249">
        <v>2020</v>
      </c>
      <c r="E162" s="249">
        <v>2021</v>
      </c>
      <c r="F162" s="249">
        <v>2022</v>
      </c>
      <c r="G162" s="280" t="s">
        <v>339</v>
      </c>
    </row>
    <row r="163" spans="1:7" x14ac:dyDescent="0.2">
      <c r="A163" s="151" t="s">
        <v>363</v>
      </c>
      <c r="B163" s="202">
        <f>B142</f>
        <v>9703</v>
      </c>
      <c r="C163" s="202">
        <f>C142</f>
        <v>3117</v>
      </c>
      <c r="D163" s="202">
        <f>D142</f>
        <v>6958</v>
      </c>
      <c r="E163" s="202">
        <f>E142</f>
        <v>22287</v>
      </c>
      <c r="F163" s="202">
        <f>F142</f>
        <v>27639</v>
      </c>
      <c r="G163" s="7"/>
    </row>
    <row r="164" spans="1:7" x14ac:dyDescent="0.2">
      <c r="A164" s="151"/>
      <c r="B164" s="202"/>
      <c r="C164" s="202"/>
      <c r="D164" s="202"/>
      <c r="E164" s="202"/>
      <c r="F164" s="202"/>
      <c r="G164" s="7"/>
    </row>
    <row r="165" spans="1:7" x14ac:dyDescent="0.2">
      <c r="A165" s="151" t="s">
        <v>437</v>
      </c>
      <c r="B165" s="202">
        <f>B144</f>
        <v>2320</v>
      </c>
      <c r="C165" s="202">
        <f t="shared" ref="C165:F165" si="47">C144</f>
        <v>1437</v>
      </c>
      <c r="D165" s="202">
        <f t="shared" si="47"/>
        <v>3242</v>
      </c>
      <c r="E165" s="202">
        <f t="shared" si="47"/>
        <v>6514</v>
      </c>
      <c r="F165" s="202">
        <f t="shared" si="47"/>
        <v>7172</v>
      </c>
      <c r="G165" s="7"/>
    </row>
    <row r="166" spans="1:7" x14ac:dyDescent="0.2">
      <c r="A166" s="151" t="s">
        <v>438</v>
      </c>
      <c r="B166" s="202">
        <f>B145</f>
        <v>1901</v>
      </c>
      <c r="C166" s="202">
        <f t="shared" ref="C166:F166" si="48">C145</f>
        <v>2154</v>
      </c>
      <c r="D166" s="202">
        <f t="shared" si="48"/>
        <v>2322</v>
      </c>
      <c r="E166" s="202">
        <f t="shared" si="48"/>
        <v>2911</v>
      </c>
      <c r="F166" s="202">
        <f t="shared" si="48"/>
        <v>3747</v>
      </c>
      <c r="G166" s="7"/>
    </row>
    <row r="167" spans="1:7" x14ac:dyDescent="0.2">
      <c r="A167" s="151" t="s">
        <v>440</v>
      </c>
      <c r="B167" s="202">
        <f>B153</f>
        <v>-431</v>
      </c>
      <c r="C167" s="202">
        <f t="shared" ref="C167:F167" si="49">C153</f>
        <v>-305</v>
      </c>
      <c r="D167" s="202">
        <f t="shared" si="49"/>
        <v>-1105</v>
      </c>
      <c r="E167" s="202">
        <f t="shared" si="49"/>
        <v>-3447</v>
      </c>
      <c r="F167" s="202">
        <f t="shared" si="49"/>
        <v>1691</v>
      </c>
      <c r="G167" s="7"/>
    </row>
    <row r="168" spans="1:7" x14ac:dyDescent="0.2">
      <c r="A168" s="151"/>
      <c r="B168" s="202"/>
      <c r="C168" s="202"/>
      <c r="D168" s="202"/>
      <c r="E168" s="202"/>
      <c r="F168" s="202"/>
      <c r="G168" s="7"/>
    </row>
    <row r="169" spans="1:7" x14ac:dyDescent="0.2">
      <c r="A169" s="151" t="s">
        <v>286</v>
      </c>
      <c r="B169" s="202">
        <f>Resultatregnskap!T22</f>
        <v>1460</v>
      </c>
      <c r="C169" s="202">
        <f>Resultatregnskap!U22</f>
        <v>1343</v>
      </c>
      <c r="D169" s="202">
        <f>Resultatregnskap!V22</f>
        <v>1491</v>
      </c>
      <c r="E169" s="202">
        <f>Resultatregnskap!W22</f>
        <v>2593</v>
      </c>
      <c r="F169" s="202">
        <f>Resultatregnskap!X22</f>
        <v>3075</v>
      </c>
      <c r="G169" s="7"/>
    </row>
    <row r="170" spans="1:7" x14ac:dyDescent="0.2">
      <c r="A170" s="151" t="s">
        <v>441</v>
      </c>
      <c r="B170" s="202">
        <f>-Resultatregnskap!T18</f>
        <v>725</v>
      </c>
      <c r="C170" s="202">
        <f>-Resultatregnskap!U18</f>
        <v>971</v>
      </c>
      <c r="D170" s="202">
        <f>-Resultatregnskap!V18</f>
        <v>1147</v>
      </c>
      <c r="E170" s="202">
        <f>-Resultatregnskap!W18</f>
        <v>1301</v>
      </c>
      <c r="F170" s="202">
        <f>-Resultatregnskap!X18</f>
        <v>1653</v>
      </c>
      <c r="G170" s="7"/>
    </row>
    <row r="171" spans="1:7" x14ac:dyDescent="0.2">
      <c r="A171" s="151"/>
      <c r="B171" s="202"/>
      <c r="C171" s="202"/>
      <c r="D171" s="202"/>
      <c r="E171" s="202"/>
      <c r="F171" s="202"/>
      <c r="G171" s="7"/>
    </row>
    <row r="172" spans="1:7" x14ac:dyDescent="0.2">
      <c r="A172" s="151" t="s">
        <v>288</v>
      </c>
      <c r="B172" s="202">
        <f>B165-B166+B167+B169-B170</f>
        <v>723</v>
      </c>
      <c r="C172" s="202">
        <f t="shared" ref="C172:F172" si="50">C165-C166+C167+C169-C170</f>
        <v>-650</v>
      </c>
      <c r="D172" s="202">
        <f t="shared" si="50"/>
        <v>159</v>
      </c>
      <c r="E172" s="202">
        <f t="shared" si="50"/>
        <v>1448</v>
      </c>
      <c r="F172" s="202">
        <f t="shared" si="50"/>
        <v>6538</v>
      </c>
      <c r="G172" s="7"/>
    </row>
    <row r="173" spans="1:7" x14ac:dyDescent="0.2">
      <c r="A173" s="151"/>
      <c r="B173" s="7"/>
      <c r="C173" s="7"/>
      <c r="D173" s="7"/>
      <c r="E173" s="7"/>
      <c r="F173" s="7"/>
      <c r="G173" s="7"/>
    </row>
    <row r="174" spans="1:7" x14ac:dyDescent="0.2">
      <c r="A174" s="20" t="s">
        <v>408</v>
      </c>
      <c r="B174" s="203">
        <f>B163/B172</f>
        <v>13.420470262793915</v>
      </c>
      <c r="C174" s="203">
        <f>C163/C172</f>
        <v>-4.7953846153846156</v>
      </c>
      <c r="D174" s="203">
        <f>D163/D172</f>
        <v>43.761006289308177</v>
      </c>
      <c r="E174" s="203">
        <f>E163/E172</f>
        <v>15.391574585635359</v>
      </c>
      <c r="F174" s="204">
        <f>F163/F172</f>
        <v>4.2274395839706331</v>
      </c>
      <c r="G174" s="203">
        <f>SUM(B174:F174)/5</f>
        <v>14.401021221264694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A4B5-08CC-6E44-8CB3-3B779636E11F}">
  <dimension ref="A2:N73"/>
  <sheetViews>
    <sheetView topLeftCell="A22" zoomScale="82" workbookViewId="0">
      <selection activeCell="V52" sqref="V52"/>
    </sheetView>
  </sheetViews>
  <sheetFormatPr baseColWidth="10" defaultRowHeight="16" x14ac:dyDescent="0.2"/>
  <cols>
    <col min="1" max="1" width="29" bestFit="1" customWidth="1"/>
    <col min="2" max="2" width="22.5" bestFit="1" customWidth="1"/>
    <col min="3" max="3" width="10" bestFit="1" customWidth="1"/>
    <col min="4" max="4" width="12.6640625" bestFit="1" customWidth="1"/>
    <col min="5" max="12" width="10" bestFit="1" customWidth="1"/>
    <col min="13" max="14" width="12" bestFit="1" customWidth="1"/>
  </cols>
  <sheetData>
    <row r="2" spans="1:13" ht="19" x14ac:dyDescent="0.25">
      <c r="A2" s="85" t="s">
        <v>561</v>
      </c>
    </row>
    <row r="5" spans="1:13" ht="19" x14ac:dyDescent="0.25">
      <c r="A5" s="85" t="s">
        <v>563</v>
      </c>
    </row>
    <row r="6" spans="1:13" x14ac:dyDescent="0.2">
      <c r="A6" s="235" t="s">
        <v>127</v>
      </c>
      <c r="B6" s="249">
        <v>2022</v>
      </c>
      <c r="C6" s="249" t="s">
        <v>310</v>
      </c>
      <c r="D6" s="249" t="s">
        <v>311</v>
      </c>
      <c r="E6" s="249" t="s">
        <v>312</v>
      </c>
      <c r="F6" s="249" t="s">
        <v>313</v>
      </c>
      <c r="G6" s="249" t="s">
        <v>314</v>
      </c>
      <c r="H6" s="249" t="s">
        <v>315</v>
      </c>
      <c r="I6" s="249" t="s">
        <v>316</v>
      </c>
      <c r="J6" s="249" t="s">
        <v>317</v>
      </c>
      <c r="K6" s="249" t="s">
        <v>318</v>
      </c>
      <c r="L6" s="249" t="s">
        <v>319</v>
      </c>
      <c r="M6" s="280" t="s">
        <v>150</v>
      </c>
    </row>
    <row r="7" spans="1:13" x14ac:dyDescent="0.2">
      <c r="A7" s="281" t="s">
        <v>486</v>
      </c>
      <c r="B7" s="168">
        <f>'Vekst for fremtidsregnskap'!N11</f>
        <v>71367.072469000006</v>
      </c>
      <c r="C7" s="168">
        <f>'Vekst for fremtidsregnskap'!O11</f>
        <v>93269.627009736098</v>
      </c>
      <c r="D7" s="168">
        <f>'Vekst for fremtidsregnskap'!P11</f>
        <v>121894.0755390241</v>
      </c>
      <c r="E7" s="168">
        <f>'Vekst for fremtidsregnskap'!Q11</f>
        <v>159303.36732195059</v>
      </c>
      <c r="F7" s="168">
        <f>'Vekst for fremtidsregnskap'!R11</f>
        <v>208193.57075305723</v>
      </c>
      <c r="G7" s="168">
        <f>'Vekst for fremtidsregnskap'!S11</f>
        <v>272088.1776171705</v>
      </c>
      <c r="H7" s="168">
        <f>'Vekst for fremtidsregnskap'!T11</f>
        <v>340523.79605144123</v>
      </c>
      <c r="I7" s="168">
        <f>'Vekst for fremtidsregnskap'!U11</f>
        <v>407314.1334089709</v>
      </c>
      <c r="J7" s="168">
        <f>'Vekst for fremtidsregnskap'!V11</f>
        <v>464647.67082761764</v>
      </c>
      <c r="K7" s="168">
        <f>'Vekst for fremtidsregnskap'!W11</f>
        <v>504319.28896287963</v>
      </c>
      <c r="L7" s="168">
        <f>'Vekst for fremtidsregnskap'!X11</f>
        <v>519448.86763176601</v>
      </c>
      <c r="M7" s="202">
        <f>'Vekst for fremtidsregnskap'!Y11</f>
        <v>535032.33366071898</v>
      </c>
    </row>
    <row r="8" spans="1:13" x14ac:dyDescent="0.2">
      <c r="A8" s="281" t="s">
        <v>487</v>
      </c>
      <c r="B8" s="168">
        <f>'Vekst for fremtidsregnskap'!N19</f>
        <v>3909</v>
      </c>
      <c r="C8" s="168">
        <f>'Vekst for fremtidsregnskap'!O19</f>
        <v>4700.5725000000002</v>
      </c>
      <c r="D8" s="168">
        <f>'Vekst for fremtidsregnskap'!P19</f>
        <v>5652.4384312500006</v>
      </c>
      <c r="E8" s="168">
        <f>'Vekst for fremtidsregnskap'!Q19</f>
        <v>6797.0572135781267</v>
      </c>
      <c r="F8" s="168">
        <f>'Vekst for fremtidsregnskap'!R19</f>
        <v>8173.4612993276978</v>
      </c>
      <c r="G8" s="168">
        <f>'Vekst for fremtidsregnskap'!S19</f>
        <v>9828.5872124415582</v>
      </c>
      <c r="H8" s="168">
        <f>'Vekst for fremtidsregnskap'!T19</f>
        <v>11479.789864131739</v>
      </c>
      <c r="I8" s="168">
        <f>'Vekst for fremtidsregnskap'!U19</f>
        <v>13012.341810993325</v>
      </c>
      <c r="J8" s="168">
        <f>'Vekst for fremtidsregnskap'!V19</f>
        <v>14300.563650281663</v>
      </c>
      <c r="K8" s="168">
        <f>'Vekst for fremtidsregnskap'!W19</f>
        <v>15222.950005724831</v>
      </c>
      <c r="L8" s="168">
        <f>'Vekst for fremtidsregnskap'!X19</f>
        <v>15679.638505896577</v>
      </c>
      <c r="M8" s="202">
        <f>'Vekst for fremtidsregnskap'!Y19</f>
        <v>16150.027661073475</v>
      </c>
    </row>
    <row r="9" spans="1:13" x14ac:dyDescent="0.2">
      <c r="A9" s="281" t="s">
        <v>492</v>
      </c>
      <c r="B9" s="168">
        <f>'Vekst for fremtidsregnskap'!N26</f>
        <v>6091</v>
      </c>
      <c r="C9" s="168">
        <f>'Vekst for fremtidsregnskap'!O26</f>
        <v>8183.8675999999996</v>
      </c>
      <c r="D9" s="168">
        <f>'Vekst for fremtidsregnskap'!P26</f>
        <v>10995.844507359998</v>
      </c>
      <c r="E9" s="168">
        <f>'Vekst for fremtidsregnskap'!Q26</f>
        <v>14774.016680088893</v>
      </c>
      <c r="F9" s="168">
        <f>'Vekst for fremtidsregnskap'!R26</f>
        <v>19850.368811367436</v>
      </c>
      <c r="G9" s="168">
        <f>'Vekst for fremtidsregnskap'!S26</f>
        <v>26670.955534953286</v>
      </c>
      <c r="H9" s="168">
        <f>'Vekst for fremtidsregnskap'!T26</f>
        <v>34162.293525610963</v>
      </c>
      <c r="I9" s="168">
        <f>'Vekst for fremtidsregnskap'!U26</f>
        <v>41615.139481158258</v>
      </c>
      <c r="J9" s="168">
        <f>'Vekst for fremtidsregnskap'!V26</f>
        <v>48083.796762109501</v>
      </c>
      <c r="K9" s="168">
        <f>'Vekst for fremtidsregnskap'!W26</f>
        <v>52542.126397892287</v>
      </c>
      <c r="L9" s="168">
        <f>'Vekst for fremtidsregnskap'!X26</f>
        <v>54118.390189829057</v>
      </c>
      <c r="M9" s="202">
        <f>'Vekst for fremtidsregnskap'!Y26</f>
        <v>55741.941895523931</v>
      </c>
    </row>
    <row r="10" spans="1:13" x14ac:dyDescent="0.2">
      <c r="A10" s="282" t="s">
        <v>500</v>
      </c>
      <c r="B10" s="279">
        <f>SUM(B7:B9)</f>
        <v>81367.072469000006</v>
      </c>
      <c r="C10" s="279">
        <f>SUM(C7:C9)</f>
        <v>106154.06710973609</v>
      </c>
      <c r="D10" s="279">
        <f t="shared" ref="D10:H10" si="0">SUM(D7:D9)</f>
        <v>138542.35847763409</v>
      </c>
      <c r="E10" s="279">
        <f t="shared" si="0"/>
        <v>180874.44121561761</v>
      </c>
      <c r="F10" s="279">
        <f t="shared" si="0"/>
        <v>236217.40086375235</v>
      </c>
      <c r="G10" s="279">
        <f t="shared" si="0"/>
        <v>308587.72036456532</v>
      </c>
      <c r="H10" s="279">
        <f t="shared" si="0"/>
        <v>386165.87944118388</v>
      </c>
      <c r="I10" s="279">
        <f>SUM(I7:I9)</f>
        <v>461941.61470112251</v>
      </c>
      <c r="J10" s="279">
        <f t="shared" ref="J10:K10" si="1">SUM(J7:J9)</f>
        <v>527032.03124000877</v>
      </c>
      <c r="K10" s="279">
        <f t="shared" si="1"/>
        <v>572084.36536649673</v>
      </c>
      <c r="L10" s="279">
        <f>SUM(L7:L9)</f>
        <v>589246.89632749162</v>
      </c>
      <c r="M10" s="283">
        <f>SUM(M7:M9)</f>
        <v>606924.3032173164</v>
      </c>
    </row>
    <row r="11" spans="1:13" x14ac:dyDescent="0.2">
      <c r="A11" s="284"/>
      <c r="M11" s="7"/>
    </row>
    <row r="12" spans="1:13" x14ac:dyDescent="0.2">
      <c r="A12" s="281" t="s">
        <v>494</v>
      </c>
      <c r="B12" s="168">
        <f ca="1">'Vekst for fremtidsregnskap'!N36</f>
        <v>51040.10998496617</v>
      </c>
      <c r="C12" s="168">
        <f>'Vekst for fremtidsregnskap'!O36</f>
        <v>72750.309067594164</v>
      </c>
      <c r="D12" s="168">
        <f ca="1">'Vekst for fremtidsregnskap'!P36</f>
        <v>88024.811704741209</v>
      </c>
      <c r="E12" s="168">
        <f ca="1">'Vekst for fremtidsregnskap'!Q36</f>
        <v>115594.36380124338</v>
      </c>
      <c r="F12" s="168">
        <f ca="1">'Vekst for fremtidsregnskap'!R36</f>
        <v>151795.26033940897</v>
      </c>
      <c r="G12" s="168">
        <f ca="1">'Vekst for fremtidsregnskap'!S36</f>
        <v>199328.71031679094</v>
      </c>
      <c r="H12" s="168">
        <f ca="1">'Vekst for fremtidsregnskap'!T36</f>
        <v>250649.66343625236</v>
      </c>
      <c r="I12" s="168">
        <f ca="1">'Vekst for fremtidsregnskap'!U36</f>
        <v>301230.46633116121</v>
      </c>
      <c r="J12" s="168">
        <f ca="1">'Vekst for fremtidsregnskap'!V36</f>
        <v>345249.69555486139</v>
      </c>
      <c r="K12" s="168">
        <f ca="1">'Vekst for fremtidsregnskap'!W36</f>
        <v>376483.29064174753</v>
      </c>
      <c r="L12" s="168">
        <f>'Vekst for fremtidsregnskap'!X36</f>
        <v>389586.65072382451</v>
      </c>
      <c r="M12" s="202">
        <f>'Vekst for fremtidsregnskap'!Y36</f>
        <v>401274.25024553924</v>
      </c>
    </row>
    <row r="13" spans="1:13" ht="32" x14ac:dyDescent="0.2">
      <c r="A13" s="281" t="s">
        <v>501</v>
      </c>
      <c r="B13" s="168">
        <f>'Vekst for fremtidsregnskap'!N52</f>
        <v>3621</v>
      </c>
      <c r="C13" s="168">
        <f>'Vekst for fremtidsregnskap'!O52</f>
        <v>4354.2524999999996</v>
      </c>
      <c r="D13" s="168">
        <f>'Vekst for fremtidsregnskap'!P52</f>
        <v>5235.9886312500003</v>
      </c>
      <c r="E13" s="168">
        <f>'Vekst for fremtidsregnskap'!Q52</f>
        <v>6296.2763290781259</v>
      </c>
      <c r="F13" s="168">
        <f>'Vekst for fremtidsregnskap'!R52</f>
        <v>7571.2722857164472</v>
      </c>
      <c r="G13" s="168">
        <f>'Vekst for fremtidsregnskap'!S52</f>
        <v>9104.4549235740287</v>
      </c>
      <c r="H13" s="168">
        <f>'Vekst for fremtidsregnskap'!T52</f>
        <v>10634.003350734465</v>
      </c>
      <c r="I13" s="168">
        <f>'Vekst for fremtidsregnskap'!U52</f>
        <v>12053.642798057515</v>
      </c>
      <c r="J13" s="168">
        <f>'Vekst for fremtidsregnskap'!V52</f>
        <v>13246.953435065208</v>
      </c>
      <c r="K13" s="168">
        <f>'Vekst for fremtidsregnskap'!W52</f>
        <v>14101.381931626915</v>
      </c>
      <c r="L13" s="168">
        <f>'Vekst for fremtidsregnskap'!X52</f>
        <v>14524.423389575724</v>
      </c>
      <c r="M13" s="202">
        <f>'Vekst for fremtidsregnskap'!Y52</f>
        <v>14960.156091262996</v>
      </c>
    </row>
    <row r="14" spans="1:13" x14ac:dyDescent="0.2">
      <c r="A14" s="281" t="s">
        <v>499</v>
      </c>
      <c r="B14" s="168">
        <f>'Vekst for fremtidsregnskap'!N67</f>
        <v>5880</v>
      </c>
      <c r="C14" s="168">
        <f>'Vekst for fremtidsregnskap'!O67</f>
        <v>7900.3680000000004</v>
      </c>
      <c r="D14" s="168">
        <f>'Vekst for fremtidsregnskap'!P67</f>
        <v>10614.934444799999</v>
      </c>
      <c r="E14" s="168">
        <f>'Vekst for fremtidsregnskap'!Q67</f>
        <v>14262.225920033277</v>
      </c>
      <c r="F14" s="168">
        <f>'Vekst for fremtidsregnskap'!R67</f>
        <v>19162.72674615671</v>
      </c>
      <c r="G14" s="168">
        <f>'Vekst for fremtidsregnskap'!S67</f>
        <v>25747.039656136156</v>
      </c>
      <c r="H14" s="168">
        <f>'Vekst for fremtidsregnskap'!T67</f>
        <v>32978.868154751675</v>
      </c>
      <c r="I14" s="168">
        <f>'Vekst for fremtidsregnskap'!U67</f>
        <v>40173.538031392309</v>
      </c>
      <c r="J14" s="168">
        <f>'Vekst for fremtidsregnskap'!V67</f>
        <v>46418.112782991935</v>
      </c>
      <c r="K14" s="168">
        <f>'Vekst for fremtidsregnskap'!W67</f>
        <v>50722.000200230941</v>
      </c>
      <c r="L14" s="168">
        <f>'Vekst for fremtidsregnskap'!X67</f>
        <v>52243.660206237873</v>
      </c>
      <c r="M14" s="202">
        <f>'Vekst for fremtidsregnskap'!Y67</f>
        <v>53810.970012425008</v>
      </c>
    </row>
    <row r="15" spans="1:13" x14ac:dyDescent="0.2">
      <c r="A15" s="282" t="s">
        <v>414</v>
      </c>
      <c r="B15" s="279">
        <f ca="1">SUM(B12:B14)</f>
        <v>60541.10998496617</v>
      </c>
      <c r="C15" s="279">
        <f t="shared" ref="C15:M15" si="2">SUM(C12:C14)</f>
        <v>85004.929567594168</v>
      </c>
      <c r="D15" s="279">
        <f t="shared" ca="1" si="2"/>
        <v>103875.73478079122</v>
      </c>
      <c r="E15" s="279">
        <f t="shared" ca="1" si="2"/>
        <v>136152.86605035479</v>
      </c>
      <c r="F15" s="279">
        <f t="shared" ca="1" si="2"/>
        <v>178529.25937128213</v>
      </c>
      <c r="G15" s="279">
        <f t="shared" ca="1" si="2"/>
        <v>234180.20489650112</v>
      </c>
      <c r="H15" s="279">
        <f t="shared" ca="1" si="2"/>
        <v>294262.53494173853</v>
      </c>
      <c r="I15" s="279">
        <f t="shared" ca="1" si="2"/>
        <v>353457.64716061106</v>
      </c>
      <c r="J15" s="279">
        <f t="shared" ca="1" si="2"/>
        <v>404914.76177291857</v>
      </c>
      <c r="K15" s="279">
        <f t="shared" ca="1" si="2"/>
        <v>441306.67277360539</v>
      </c>
      <c r="L15" s="279">
        <f t="shared" si="2"/>
        <v>456354.73431963811</v>
      </c>
      <c r="M15" s="283">
        <f t="shared" si="2"/>
        <v>470045.37634922727</v>
      </c>
    </row>
    <row r="16" spans="1:13" x14ac:dyDescent="0.2">
      <c r="A16" s="284"/>
      <c r="M16" s="7"/>
    </row>
    <row r="17" spans="1:13" x14ac:dyDescent="0.2">
      <c r="A17" s="287" t="s">
        <v>502</v>
      </c>
      <c r="B17" s="97">
        <f ca="1">B10-B15</f>
        <v>20825.962484033837</v>
      </c>
      <c r="C17" s="97">
        <f t="shared" ref="C17:M17" si="3">C10-C15</f>
        <v>21149.137542141922</v>
      </c>
      <c r="D17" s="97">
        <f t="shared" ca="1" si="3"/>
        <v>34666.623696842871</v>
      </c>
      <c r="E17" s="97">
        <f t="shared" ca="1" si="3"/>
        <v>44721.575165262824</v>
      </c>
      <c r="F17" s="97">
        <f t="shared" ca="1" si="3"/>
        <v>57688.141492470226</v>
      </c>
      <c r="G17" s="97">
        <f t="shared" ca="1" si="3"/>
        <v>74407.515468064201</v>
      </c>
      <c r="H17" s="97">
        <f t="shared" ca="1" si="3"/>
        <v>91903.344499445346</v>
      </c>
      <c r="I17" s="97">
        <f t="shared" ca="1" si="3"/>
        <v>108483.96754051145</v>
      </c>
      <c r="J17" s="97">
        <f t="shared" ca="1" si="3"/>
        <v>122117.2694670902</v>
      </c>
      <c r="K17" s="97">
        <f t="shared" ca="1" si="3"/>
        <v>130777.69259289134</v>
      </c>
      <c r="L17" s="97">
        <f t="shared" si="3"/>
        <v>132892.16200785351</v>
      </c>
      <c r="M17" s="288">
        <f t="shared" si="3"/>
        <v>136878.92686808913</v>
      </c>
    </row>
    <row r="18" spans="1:13" x14ac:dyDescent="0.2">
      <c r="A18" s="282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202"/>
    </row>
    <row r="19" spans="1:13" x14ac:dyDescent="0.2">
      <c r="A19" s="281" t="s">
        <v>177</v>
      </c>
      <c r="B19" s="168">
        <f>'Vekst for fremtidsregnskap'!N83</f>
        <v>1653</v>
      </c>
      <c r="C19" s="168">
        <f>'Vekst for fremtidsregnskap'!O83</f>
        <v>1991.683341538816</v>
      </c>
      <c r="D19" s="168">
        <f>'Vekst for fremtidsregnskap'!P83</f>
        <v>2501.0968996700631</v>
      </c>
      <c r="E19" s="168">
        <f>'Vekst for fremtidsregnskap'!Q83</f>
        <v>3278.4269095365648</v>
      </c>
      <c r="F19" s="168">
        <f>'Vekst for fremtidsregnskap'!R83</f>
        <v>4345.7443452440712</v>
      </c>
      <c r="G19" s="168">
        <f>'Vekst for fremtidsregnskap'!S83</f>
        <v>5610.4752422415386</v>
      </c>
      <c r="H19" s="168">
        <f>'Vekst for fremtidsregnskap'!T83</f>
        <v>7325.8848621351408</v>
      </c>
      <c r="I19" s="168">
        <f>'Vekst for fremtidsregnskap'!U83</f>
        <v>9439.8430829477948</v>
      </c>
      <c r="J19" s="168">
        <f>'Vekst for fremtidsregnskap'!V83</f>
        <v>11881.356212719289</v>
      </c>
      <c r="K19" s="168">
        <f>'Vekst for fremtidsregnskap'!W83</f>
        <v>14494.68411855269</v>
      </c>
      <c r="L19" s="168">
        <f>'Vekst for fremtidsregnskap'!X83</f>
        <v>17030.322614651333</v>
      </c>
      <c r="M19" s="202">
        <f>'Vekst for fremtidsregnskap'!Y83</f>
        <v>19149.168128107911</v>
      </c>
    </row>
    <row r="20" spans="1:13" x14ac:dyDescent="0.2">
      <c r="A20" s="281" t="s">
        <v>503</v>
      </c>
      <c r="B20" s="168">
        <v>176</v>
      </c>
      <c r="C20" s="168">
        <f>'Vekst for fremtidsregnskap'!$G$113</f>
        <v>86.6</v>
      </c>
      <c r="D20" s="168">
        <f>'Vekst for fremtidsregnskap'!$G$113</f>
        <v>86.6</v>
      </c>
      <c r="E20" s="168">
        <f>'Vekst for fremtidsregnskap'!$G$113</f>
        <v>86.6</v>
      </c>
      <c r="F20" s="168">
        <f>'Vekst for fremtidsregnskap'!$G$113</f>
        <v>86.6</v>
      </c>
      <c r="G20" s="168">
        <f>'Vekst for fremtidsregnskap'!$G$113</f>
        <v>86.6</v>
      </c>
      <c r="H20" s="168">
        <f>'Vekst for fremtidsregnskap'!$G$113</f>
        <v>86.6</v>
      </c>
      <c r="I20" s="168">
        <f>'Vekst for fremtidsregnskap'!$G$113</f>
        <v>86.6</v>
      </c>
      <c r="J20" s="168">
        <f>'Vekst for fremtidsregnskap'!$G$113</f>
        <v>86.6</v>
      </c>
      <c r="K20" s="168">
        <f>'Vekst for fremtidsregnskap'!$G$113</f>
        <v>86.6</v>
      </c>
      <c r="L20" s="168">
        <f>'Vekst for fremtidsregnskap'!$G$113</f>
        <v>86.6</v>
      </c>
      <c r="M20" s="202">
        <f>'Vekst for fremtidsregnskap'!$G$113</f>
        <v>86.6</v>
      </c>
    </row>
    <row r="21" spans="1:13" x14ac:dyDescent="0.2">
      <c r="A21" s="281" t="s">
        <v>496</v>
      </c>
      <c r="B21" s="168">
        <f>'Vekst for fremtidsregnskap'!N99</f>
        <v>3941.4017328653117</v>
      </c>
      <c r="C21" s="168">
        <f>'Vekst for fremtidsregnskap'!O99</f>
        <v>5142.0778868063462</v>
      </c>
      <c r="D21" s="168">
        <f>'Vekst for fremtidsregnskap'!P99</f>
        <v>6710.9590551759602</v>
      </c>
      <c r="E21" s="168">
        <f>'Vekst for fremtidsregnskap'!Q99</f>
        <v>8761.5151240679952</v>
      </c>
      <c r="F21" s="168">
        <f>'Vekst for fremtidsregnskap'!R99</f>
        <v>11442.314991141473</v>
      </c>
      <c r="G21" s="168">
        <f>'Vekst for fremtidsregnskap'!S99</f>
        <v>14947.916139532232</v>
      </c>
      <c r="H21" s="168">
        <f>'Vekst for fremtidsregnskap'!T99</f>
        <v>18705.783804410788</v>
      </c>
      <c r="I21" s="168">
        <f>'Vekst for fremtidsregnskap'!U99</f>
        <v>22376.342486197605</v>
      </c>
      <c r="J21" s="168">
        <f>'Vekst for fremtidsregnskap'!V99</f>
        <v>25529.306858081982</v>
      </c>
      <c r="K21" s="168">
        <f>'Vekst for fremtidsregnskap'!W99</f>
        <v>27711.631260418304</v>
      </c>
      <c r="L21" s="168">
        <f>'Vekst for fremtidsregnskap'!X99</f>
        <v>28542.980198230853</v>
      </c>
      <c r="M21" s="202">
        <f>'Vekst for fremtidsregnskap'!Y99</f>
        <v>29399.269604177782</v>
      </c>
    </row>
    <row r="22" spans="1:13" x14ac:dyDescent="0.2">
      <c r="A22" s="285" t="s">
        <v>504</v>
      </c>
      <c r="B22" s="303">
        <f>SUM(B19:B21)</f>
        <v>5770.4017328653117</v>
      </c>
      <c r="C22" s="303">
        <f t="shared" ref="C22:M22" si="4">SUM(C19:C21)</f>
        <v>7220.3612283451621</v>
      </c>
      <c r="D22" s="303">
        <f t="shared" si="4"/>
        <v>9298.6559548460227</v>
      </c>
      <c r="E22" s="303">
        <f t="shared" si="4"/>
        <v>12126.542033604561</v>
      </c>
      <c r="F22" s="303">
        <f t="shared" si="4"/>
        <v>15874.659336385545</v>
      </c>
      <c r="G22" s="303">
        <f t="shared" si="4"/>
        <v>20644.991381773769</v>
      </c>
      <c r="H22" s="303">
        <f t="shared" si="4"/>
        <v>26118.26866654593</v>
      </c>
      <c r="I22" s="303">
        <f t="shared" si="4"/>
        <v>31902.785569145402</v>
      </c>
      <c r="J22" s="303">
        <f t="shared" si="4"/>
        <v>37497.263070801273</v>
      </c>
      <c r="K22" s="303">
        <f t="shared" si="4"/>
        <v>42292.915378970996</v>
      </c>
      <c r="L22" s="303">
        <f t="shared" si="4"/>
        <v>45659.902812882181</v>
      </c>
      <c r="M22" s="286">
        <f t="shared" si="4"/>
        <v>48635.037732285695</v>
      </c>
    </row>
    <row r="23" spans="1:13" x14ac:dyDescent="0.2">
      <c r="A23" s="284"/>
      <c r="M23" s="7"/>
    </row>
    <row r="24" spans="1:13" x14ac:dyDescent="0.2">
      <c r="A24" s="287" t="s">
        <v>370</v>
      </c>
      <c r="B24" s="290">
        <f t="shared" ref="B24:L24" ca="1" si="5">B17-B22</f>
        <v>15055.560751168525</v>
      </c>
      <c r="C24" s="290">
        <f t="shared" si="5"/>
        <v>13928.776313796759</v>
      </c>
      <c r="D24" s="290">
        <f t="shared" ca="1" si="5"/>
        <v>25367.96774199685</v>
      </c>
      <c r="E24" s="290">
        <f t="shared" ca="1" si="5"/>
        <v>32595.033131658263</v>
      </c>
      <c r="F24" s="290">
        <f t="shared" ca="1" si="5"/>
        <v>41813.482156084683</v>
      </c>
      <c r="G24" s="290">
        <f t="shared" ca="1" si="5"/>
        <v>53762.524086290432</v>
      </c>
      <c r="H24" s="290">
        <f t="shared" ca="1" si="5"/>
        <v>65785.075832899412</v>
      </c>
      <c r="I24" s="290">
        <f t="shared" ca="1" si="5"/>
        <v>76581.181971366052</v>
      </c>
      <c r="J24" s="290">
        <f t="shared" ca="1" si="5"/>
        <v>84620.006396288925</v>
      </c>
      <c r="K24" s="290">
        <f t="shared" ca="1" si="5"/>
        <v>88484.777213920344</v>
      </c>
      <c r="L24" s="290">
        <f t="shared" si="5"/>
        <v>87232.259194971324</v>
      </c>
      <c r="M24" s="291">
        <f>M17-M22</f>
        <v>88243.889135803431</v>
      </c>
    </row>
    <row r="25" spans="1:13" x14ac:dyDescent="0.2">
      <c r="A25" s="145"/>
      <c r="M25" s="7"/>
    </row>
    <row r="26" spans="1:13" x14ac:dyDescent="0.2">
      <c r="A26" s="281" t="s">
        <v>425</v>
      </c>
      <c r="B26" s="168">
        <f ca="1">B24*'Vekst for fremtidsregnskap'!N120</f>
        <v>1242.2840418633114</v>
      </c>
      <c r="C26" s="168">
        <f>C24*'Vekst for fremtidsregnskap'!O120</f>
        <v>1149.3093364835579</v>
      </c>
      <c r="D26" s="168">
        <f ca="1">D24*'Vekst for fremtidsregnskap'!P120</f>
        <v>2093.1948016575866</v>
      </c>
      <c r="E26" s="168">
        <f ca="1">E24*'Vekst for fremtidsregnskap'!Q120</f>
        <v>2689.5238359236937</v>
      </c>
      <c r="F26" s="168">
        <f ca="1">F24*'Vekst for fremtidsregnskap'!R120</f>
        <v>3450.1685108745432</v>
      </c>
      <c r="G26" s="168">
        <f ca="1">G24*'Vekst for fremtidsregnskap'!S120</f>
        <v>4436.1234248619257</v>
      </c>
      <c r="H26" s="168">
        <f ca="1">H24*'Vekst for fremtidsregnskap'!T120</f>
        <v>5734.5273058905486</v>
      </c>
      <c r="I26" s="168">
        <f ca="1">I24*'Vekst for fremtidsregnskap'!U120</f>
        <v>7032.2953713709348</v>
      </c>
      <c r="J26" s="168">
        <f ca="1">J24*'Vekst for fremtidsregnskap'!V120</f>
        <v>8164.5884875758657</v>
      </c>
      <c r="K26" s="168">
        <f ca="1">K24*'Vekst for fremtidsregnskap'!W120</f>
        <v>8949.5857850387856</v>
      </c>
      <c r="L26" s="168">
        <f>L24*'Vekst for fremtidsregnskap'!X120</f>
        <v>9229.1730228279685</v>
      </c>
      <c r="M26" s="202">
        <f>M24*'Vekst for fremtidsregnskap'!Y120</f>
        <v>9336.2034705680035</v>
      </c>
    </row>
    <row r="27" spans="1:13" x14ac:dyDescent="0.2">
      <c r="A27" s="145"/>
      <c r="M27" s="7"/>
    </row>
    <row r="28" spans="1:13" x14ac:dyDescent="0.2">
      <c r="A28" s="289" t="s">
        <v>426</v>
      </c>
      <c r="B28" s="290">
        <f ca="1">B24-B26</f>
        <v>13813.276709305213</v>
      </c>
      <c r="C28" s="290">
        <f t="shared" ref="C28:K28" si="6">C24-C26</f>
        <v>12779.466977313201</v>
      </c>
      <c r="D28" s="290">
        <f t="shared" ca="1" si="6"/>
        <v>23274.772940339262</v>
      </c>
      <c r="E28" s="290">
        <f t="shared" ca="1" si="6"/>
        <v>29905.50929573457</v>
      </c>
      <c r="F28" s="290">
        <f t="shared" ca="1" si="6"/>
        <v>38363.313645210139</v>
      </c>
      <c r="G28" s="290">
        <f t="shared" ca="1" si="6"/>
        <v>49326.400661428503</v>
      </c>
      <c r="H28" s="290">
        <f ca="1">H24-H26</f>
        <v>60050.548527008861</v>
      </c>
      <c r="I28" s="290">
        <f t="shared" ca="1" si="6"/>
        <v>69548.886599995123</v>
      </c>
      <c r="J28" s="290">
        <f t="shared" ca="1" si="6"/>
        <v>76455.417908713061</v>
      </c>
      <c r="K28" s="290">
        <f t="shared" ca="1" si="6"/>
        <v>79535.191428881561</v>
      </c>
      <c r="L28" s="290">
        <f>L24-L26</f>
        <v>78003.086172143361</v>
      </c>
      <c r="M28" s="291">
        <f>M24-M26</f>
        <v>78907.685665235433</v>
      </c>
    </row>
    <row r="29" spans="1:13" x14ac:dyDescent="0.2">
      <c r="A29" s="143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144"/>
    </row>
    <row r="30" spans="1:13" ht="34" x14ac:dyDescent="0.2">
      <c r="A30" s="275" t="s">
        <v>505</v>
      </c>
      <c r="B30" s="168">
        <f>'DCF; F&amp;U justert'!B46</f>
        <v>5116</v>
      </c>
      <c r="C30" s="168">
        <f>'DCF; F&amp;U justert'!C46</f>
        <v>4588.0916307393827</v>
      </c>
      <c r="D30" s="168">
        <f>'DCF; F&amp;U justert'!D46</f>
        <v>5995.0974578735177</v>
      </c>
      <c r="E30" s="168">
        <f>'DCF; F&amp;U justert'!E46</f>
        <v>7835.7008317060572</v>
      </c>
      <c r="F30" s="168">
        <f>'DCF; F&amp;U justert'!F46</f>
        <v>10244.024080460846</v>
      </c>
      <c r="G30" s="168">
        <f>'DCF; F&amp;U justert'!G46</f>
        <v>13395.801388116761</v>
      </c>
      <c r="H30" s="168">
        <f>'DCF; F&amp;U justert'!H46</f>
        <v>21539.664704004153</v>
      </c>
      <c r="I30" s="168">
        <f>'DCF; F&amp;U justert'!I46</f>
        <v>21039.219667309564</v>
      </c>
      <c r="J30" s="168">
        <f>'DCF; F&amp;U justert'!J46</f>
        <v>18072.428688426251</v>
      </c>
      <c r="K30" s="168">
        <f>'DCF; F&amp;U justert'!K46</f>
        <v>12508.832160594398</v>
      </c>
      <c r="L30" s="168">
        <f>'DCF; F&amp;U justert'!L46</f>
        <v>4765.19637449527</v>
      </c>
      <c r="M30" s="7"/>
    </row>
    <row r="31" spans="1:13" x14ac:dyDescent="0.2">
      <c r="A31" s="145" t="s">
        <v>506</v>
      </c>
      <c r="B31" s="168">
        <f>'DCF; F&amp;U justert'!B47</f>
        <v>1418.4167076940785</v>
      </c>
      <c r="C31" s="168">
        <f>'DCF; F&amp;U justert'!C47</f>
        <v>2015.3844491174223</v>
      </c>
      <c r="D31" s="168">
        <f>'DCF; F&amp;U justert'!D47</f>
        <v>2728.5531496624453</v>
      </c>
      <c r="E31" s="168">
        <f>'DCF; F&amp;U justert'!E47</f>
        <v>3549.1602690009636</v>
      </c>
      <c r="F31" s="168">
        <f>'DCF; F&amp;U justert'!F47</f>
        <v>4570.910139743266</v>
      </c>
      <c r="G31" s="168">
        <f>'DCF; F&amp;U justert'!G47</f>
        <v>6037.9895649205537</v>
      </c>
      <c r="H31" s="168">
        <f>'DCF; F&amp;U justert'!H47</f>
        <v>7250.974032584365</v>
      </c>
      <c r="I31" s="168">
        <f>'DCF; F&amp;U justert'!I47</f>
        <v>7997.3726152421805</v>
      </c>
      <c r="J31" s="168">
        <f>'DCF; F&amp;U justert'!J47</f>
        <v>8012.8704949852472</v>
      </c>
      <c r="K31" s="168">
        <f>'DCF; F&amp;U justert'!K47</f>
        <v>7100.1628469278694</v>
      </c>
      <c r="L31" s="168">
        <f>'DCF; F&amp;U justert'!L47</f>
        <v>5212.3697597936443</v>
      </c>
      <c r="M31" s="202"/>
    </row>
    <row r="32" spans="1:13" x14ac:dyDescent="0.2">
      <c r="A32" s="145" t="s">
        <v>507</v>
      </c>
      <c r="B32" s="168">
        <f>B30+B31</f>
        <v>6534.4167076940785</v>
      </c>
      <c r="C32" s="168">
        <f t="shared" ref="C32:L32" si="7">C30+C31</f>
        <v>6603.476079856805</v>
      </c>
      <c r="D32" s="168">
        <f t="shared" si="7"/>
        <v>8723.650607535963</v>
      </c>
      <c r="E32" s="168">
        <f t="shared" si="7"/>
        <v>11384.861100707021</v>
      </c>
      <c r="F32" s="168">
        <f t="shared" si="7"/>
        <v>14814.934220204112</v>
      </c>
      <c r="G32" s="168">
        <f t="shared" si="7"/>
        <v>19433.790953037314</v>
      </c>
      <c r="H32" s="168">
        <f t="shared" si="7"/>
        <v>28790.638736588517</v>
      </c>
      <c r="I32" s="168">
        <f t="shared" si="7"/>
        <v>29036.592282551745</v>
      </c>
      <c r="J32" s="168">
        <f t="shared" si="7"/>
        <v>26085.299183411498</v>
      </c>
      <c r="K32" s="168">
        <f t="shared" si="7"/>
        <v>19608.995007522266</v>
      </c>
      <c r="L32" s="168">
        <f t="shared" si="7"/>
        <v>9977.5661342889143</v>
      </c>
      <c r="M32" s="292">
        <f>'DCF; F&amp;U justert'!M48</f>
        <v>23580.630779082167</v>
      </c>
    </row>
    <row r="33" spans="1:13" x14ac:dyDescent="0.2">
      <c r="A33" s="145"/>
      <c r="M33" s="7"/>
    </row>
    <row r="34" spans="1:13" x14ac:dyDescent="0.2">
      <c r="A34" s="212" t="s">
        <v>180</v>
      </c>
      <c r="B34" s="290">
        <f ca="1">B28-B32</f>
        <v>7278.860001611135</v>
      </c>
      <c r="C34" s="290">
        <f t="shared" ref="C34:L34" si="8">C28-C32</f>
        <v>6175.9908974563959</v>
      </c>
      <c r="D34" s="290">
        <f t="shared" ca="1" si="8"/>
        <v>14551.122332803299</v>
      </c>
      <c r="E34" s="290">
        <f t="shared" ca="1" si="8"/>
        <v>18520.648195027548</v>
      </c>
      <c r="F34" s="290">
        <f t="shared" ca="1" si="8"/>
        <v>23548.379425006027</v>
      </c>
      <c r="G34" s="290">
        <f t="shared" ca="1" si="8"/>
        <v>29892.609708391188</v>
      </c>
      <c r="H34" s="290">
        <f t="shared" ca="1" si="8"/>
        <v>31259.909790420345</v>
      </c>
      <c r="I34" s="290">
        <f t="shared" ca="1" si="8"/>
        <v>40512.294317443375</v>
      </c>
      <c r="J34" s="290">
        <f t="shared" ca="1" si="8"/>
        <v>50370.118725301567</v>
      </c>
      <c r="K34" s="290">
        <f t="shared" ca="1" si="8"/>
        <v>59926.196421359295</v>
      </c>
      <c r="L34" s="290">
        <f t="shared" si="8"/>
        <v>68025.52003785444</v>
      </c>
      <c r="M34" s="291">
        <f>M28-M32</f>
        <v>55327.054886153266</v>
      </c>
    </row>
    <row r="35" spans="1:13" x14ac:dyDescent="0.2">
      <c r="A35" s="393"/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</row>
    <row r="36" spans="1:13" x14ac:dyDescent="0.2"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</row>
    <row r="37" spans="1:13" ht="19" x14ac:dyDescent="0.25">
      <c r="A37" s="443" t="s">
        <v>579</v>
      </c>
    </row>
    <row r="39" spans="1:13" ht="19" x14ac:dyDescent="0.25">
      <c r="A39" s="85" t="s">
        <v>564</v>
      </c>
    </row>
    <row r="40" spans="1:13" x14ac:dyDescent="0.2">
      <c r="A40" s="235" t="s">
        <v>127</v>
      </c>
      <c r="B40" s="249">
        <v>2022</v>
      </c>
      <c r="C40" s="249" t="s">
        <v>310</v>
      </c>
      <c r="D40" s="249" t="s">
        <v>311</v>
      </c>
      <c r="E40" s="249" t="s">
        <v>312</v>
      </c>
      <c r="F40" s="249" t="s">
        <v>313</v>
      </c>
      <c r="G40" s="249" t="s">
        <v>314</v>
      </c>
      <c r="H40" s="249" t="s">
        <v>315</v>
      </c>
      <c r="I40" s="249" t="s">
        <v>316</v>
      </c>
      <c r="J40" s="249" t="s">
        <v>317</v>
      </c>
      <c r="K40" s="249" t="s">
        <v>318</v>
      </c>
      <c r="L40" s="249" t="s">
        <v>319</v>
      </c>
      <c r="M40" s="280" t="s">
        <v>150</v>
      </c>
    </row>
    <row r="41" spans="1:13" x14ac:dyDescent="0.2">
      <c r="A41" s="281" t="s">
        <v>486</v>
      </c>
      <c r="B41" s="168">
        <f>'Vekst for fremtidsregnskap'!N11</f>
        <v>71367.072469000006</v>
      </c>
      <c r="C41" s="168">
        <f>'Vekst for fremtidsregnskap'!O11</f>
        <v>93269.627009736098</v>
      </c>
      <c r="D41" s="168">
        <f>'Vekst for fremtidsregnskap'!P11</f>
        <v>121894.0755390241</v>
      </c>
      <c r="E41" s="168">
        <f>'Vekst for fremtidsregnskap'!Q11</f>
        <v>159303.36732195059</v>
      </c>
      <c r="F41" s="168">
        <f>'Vekst for fremtidsregnskap'!R11</f>
        <v>208193.57075305723</v>
      </c>
      <c r="G41" s="168">
        <f>'Vekst for fremtidsregnskap'!S11</f>
        <v>272088.1776171705</v>
      </c>
      <c r="H41" s="168">
        <f>'Vekst for fremtidsregnskap'!T11</f>
        <v>340523.79605144123</v>
      </c>
      <c r="I41" s="168">
        <f>'Vekst for fremtidsregnskap'!U11</f>
        <v>407314.1334089709</v>
      </c>
      <c r="J41" s="168">
        <f>'Vekst for fremtidsregnskap'!V11</f>
        <v>464647.67082761764</v>
      </c>
      <c r="K41" s="168">
        <f>'Vekst for fremtidsregnskap'!W11</f>
        <v>504319.28896287963</v>
      </c>
      <c r="L41" s="168">
        <f>'Vekst for fremtidsregnskap'!X11</f>
        <v>519448.86763176601</v>
      </c>
      <c r="M41" s="202">
        <f>'Vekst for fremtidsregnskap'!Y11</f>
        <v>535032.33366071898</v>
      </c>
    </row>
    <row r="42" spans="1:13" x14ac:dyDescent="0.2">
      <c r="A42" s="281" t="s">
        <v>487</v>
      </c>
      <c r="B42" s="168">
        <f>'Vekst for fremtidsregnskap'!N19</f>
        <v>3909</v>
      </c>
      <c r="C42" s="168">
        <f>'Vekst for fremtidsregnskap'!O19</f>
        <v>4700.5725000000002</v>
      </c>
      <c r="D42" s="168">
        <f>'Vekst for fremtidsregnskap'!P19</f>
        <v>5652.4384312500006</v>
      </c>
      <c r="E42" s="168">
        <f>'Vekst for fremtidsregnskap'!Q19</f>
        <v>6797.0572135781267</v>
      </c>
      <c r="F42" s="168">
        <f>'Vekst for fremtidsregnskap'!R19</f>
        <v>8173.4612993276978</v>
      </c>
      <c r="G42" s="168">
        <f>'Vekst for fremtidsregnskap'!S19</f>
        <v>9828.5872124415582</v>
      </c>
      <c r="H42" s="168">
        <f>'Vekst for fremtidsregnskap'!T19</f>
        <v>11479.789864131739</v>
      </c>
      <c r="I42" s="168">
        <f>'Vekst for fremtidsregnskap'!U19</f>
        <v>13012.341810993325</v>
      </c>
      <c r="J42" s="168">
        <f>'Vekst for fremtidsregnskap'!V19</f>
        <v>14300.563650281663</v>
      </c>
      <c r="K42" s="168">
        <f>'Vekst for fremtidsregnskap'!W19</f>
        <v>15222.950005724831</v>
      </c>
      <c r="L42" s="168">
        <f>'Vekst for fremtidsregnskap'!X19</f>
        <v>15679.638505896577</v>
      </c>
      <c r="M42" s="202">
        <f>'Vekst for fremtidsregnskap'!Y19</f>
        <v>16150.027661073475</v>
      </c>
    </row>
    <row r="43" spans="1:13" x14ac:dyDescent="0.2">
      <c r="A43" s="281" t="s">
        <v>492</v>
      </c>
      <c r="B43" s="168">
        <f>'Vekst for fremtidsregnskap'!N26</f>
        <v>6091</v>
      </c>
      <c r="C43" s="168">
        <f>'Vekst for fremtidsregnskap'!O26</f>
        <v>8183.8675999999996</v>
      </c>
      <c r="D43" s="168">
        <f>'Vekst for fremtidsregnskap'!P26</f>
        <v>10995.844507359998</v>
      </c>
      <c r="E43" s="168">
        <f>'Vekst for fremtidsregnskap'!Q26</f>
        <v>14774.016680088893</v>
      </c>
      <c r="F43" s="168">
        <f>'Vekst for fremtidsregnskap'!R26</f>
        <v>19850.368811367436</v>
      </c>
      <c r="G43" s="168">
        <f>'Vekst for fremtidsregnskap'!S26</f>
        <v>26670.955534953286</v>
      </c>
      <c r="H43" s="168">
        <f>'Vekst for fremtidsregnskap'!T26</f>
        <v>34162.293525610963</v>
      </c>
      <c r="I43" s="168">
        <f>'Vekst for fremtidsregnskap'!U26</f>
        <v>41615.139481158258</v>
      </c>
      <c r="J43" s="168">
        <f>'Vekst for fremtidsregnskap'!V26</f>
        <v>48083.796762109501</v>
      </c>
      <c r="K43" s="168">
        <f>'Vekst for fremtidsregnskap'!W26</f>
        <v>52542.126397892287</v>
      </c>
      <c r="L43" s="168">
        <f>'Vekst for fremtidsregnskap'!X26</f>
        <v>54118.390189829057</v>
      </c>
      <c r="M43" s="202">
        <f>'Vekst for fremtidsregnskap'!Y26</f>
        <v>55741.941895523931</v>
      </c>
    </row>
    <row r="44" spans="1:13" x14ac:dyDescent="0.2">
      <c r="A44" s="282" t="s">
        <v>500</v>
      </c>
      <c r="B44" s="279">
        <f>SUM(B41:B43)</f>
        <v>81367.072469000006</v>
      </c>
      <c r="C44" s="279">
        <f>SUM(C41:C43)</f>
        <v>106154.06710973609</v>
      </c>
      <c r="D44" s="279">
        <f t="shared" ref="D44:G44" si="9">SUM(D41:D43)</f>
        <v>138542.35847763409</v>
      </c>
      <c r="E44" s="279">
        <f t="shared" si="9"/>
        <v>180874.44121561761</v>
      </c>
      <c r="F44" s="279">
        <f t="shared" si="9"/>
        <v>236217.40086375235</v>
      </c>
      <c r="G44" s="279">
        <f t="shared" si="9"/>
        <v>308587.72036456532</v>
      </c>
      <c r="H44" s="279">
        <f t="shared" ref="H44:L44" si="10">SUM(H41:H43)</f>
        <v>386165.87944118388</v>
      </c>
      <c r="I44" s="279">
        <f>SUM(I41:I43)</f>
        <v>461941.61470112251</v>
      </c>
      <c r="J44" s="279">
        <f t="shared" si="10"/>
        <v>527032.03124000877</v>
      </c>
      <c r="K44" s="279">
        <f t="shared" si="10"/>
        <v>572084.36536649673</v>
      </c>
      <c r="L44" s="279">
        <f t="shared" si="10"/>
        <v>589246.89632749162</v>
      </c>
      <c r="M44" s="283">
        <f>SUM(M41:M43)</f>
        <v>606924.3032173164</v>
      </c>
    </row>
    <row r="45" spans="1:13" x14ac:dyDescent="0.2">
      <c r="A45" s="284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7"/>
    </row>
    <row r="46" spans="1:13" x14ac:dyDescent="0.2">
      <c r="A46" s="281" t="s">
        <v>494</v>
      </c>
      <c r="B46" s="168">
        <f ca="1">'Vekst for fremtidsregnskap'!N36</f>
        <v>51040.10998496617</v>
      </c>
      <c r="C46" s="168">
        <f>'Vekst for fremtidsregnskap'!O36</f>
        <v>72750.309067594164</v>
      </c>
      <c r="D46" s="168">
        <f ca="1">'Vekst for fremtidsregnskap'!P36</f>
        <v>88024.811704741209</v>
      </c>
      <c r="E46" s="168">
        <f ca="1">'Vekst for fremtidsregnskap'!Q36</f>
        <v>115594.36380124338</v>
      </c>
      <c r="F46" s="168">
        <f ca="1">'Vekst for fremtidsregnskap'!R36</f>
        <v>151795.26033940897</v>
      </c>
      <c r="G46" s="168">
        <f ca="1">'Vekst for fremtidsregnskap'!S36</f>
        <v>199328.71031679094</v>
      </c>
      <c r="H46" s="168">
        <f ca="1">'Vekst for fremtidsregnskap'!T36</f>
        <v>250649.66343625236</v>
      </c>
      <c r="I46" s="168">
        <f ca="1">'Vekst for fremtidsregnskap'!U36</f>
        <v>301230.46633116121</v>
      </c>
      <c r="J46" s="168">
        <f ca="1">'Vekst for fremtidsregnskap'!V36</f>
        <v>345249.69555486139</v>
      </c>
      <c r="K46" s="168">
        <f ca="1">'Vekst for fremtidsregnskap'!W36</f>
        <v>376483.29064174753</v>
      </c>
      <c r="L46" s="168">
        <f>'Vekst for fremtidsregnskap'!X36</f>
        <v>389586.65072382451</v>
      </c>
      <c r="M46" s="202">
        <f>'Vekst for fremtidsregnskap'!Y36</f>
        <v>401274.25024553924</v>
      </c>
    </row>
    <row r="47" spans="1:13" ht="32" x14ac:dyDescent="0.2">
      <c r="A47" s="281" t="s">
        <v>501</v>
      </c>
      <c r="B47" s="168">
        <f>'Vekst for fremtidsregnskap'!N52</f>
        <v>3621</v>
      </c>
      <c r="C47" s="168">
        <f>'Vekst for fremtidsregnskap'!O52</f>
        <v>4354.2524999999996</v>
      </c>
      <c r="D47" s="168">
        <f>'Vekst for fremtidsregnskap'!P52</f>
        <v>5235.9886312500003</v>
      </c>
      <c r="E47" s="168">
        <f>'Vekst for fremtidsregnskap'!Q52</f>
        <v>6296.2763290781259</v>
      </c>
      <c r="F47" s="168">
        <f>'Vekst for fremtidsregnskap'!R52</f>
        <v>7571.2722857164472</v>
      </c>
      <c r="G47" s="168">
        <f>'Vekst for fremtidsregnskap'!S52</f>
        <v>9104.4549235740287</v>
      </c>
      <c r="H47" s="168">
        <f>'Vekst for fremtidsregnskap'!T52</f>
        <v>10634.003350734465</v>
      </c>
      <c r="I47" s="168">
        <f>'Vekst for fremtidsregnskap'!U52</f>
        <v>12053.642798057515</v>
      </c>
      <c r="J47" s="168">
        <f>'Vekst for fremtidsregnskap'!V52</f>
        <v>13246.953435065208</v>
      </c>
      <c r="K47" s="168">
        <f>'Vekst for fremtidsregnskap'!W52</f>
        <v>14101.381931626915</v>
      </c>
      <c r="L47" s="168">
        <f>'Vekst for fremtidsregnskap'!X52</f>
        <v>14524.423389575724</v>
      </c>
      <c r="M47" s="202">
        <f>'Vekst for fremtidsregnskap'!Y52</f>
        <v>14960.156091262996</v>
      </c>
    </row>
    <row r="48" spans="1:13" x14ac:dyDescent="0.2">
      <c r="A48" s="281" t="s">
        <v>499</v>
      </c>
      <c r="B48" s="168">
        <f>'Vekst for fremtidsregnskap'!N67</f>
        <v>5880</v>
      </c>
      <c r="C48" s="168">
        <f>'Vekst for fremtidsregnskap'!O67</f>
        <v>7900.3680000000004</v>
      </c>
      <c r="D48" s="168">
        <f>'Vekst for fremtidsregnskap'!P67</f>
        <v>10614.934444799999</v>
      </c>
      <c r="E48" s="168">
        <f>'Vekst for fremtidsregnskap'!Q67</f>
        <v>14262.225920033277</v>
      </c>
      <c r="F48" s="168">
        <f>'Vekst for fremtidsregnskap'!R67</f>
        <v>19162.72674615671</v>
      </c>
      <c r="G48" s="168">
        <f>'Vekst for fremtidsregnskap'!S67</f>
        <v>25747.039656136156</v>
      </c>
      <c r="H48" s="168">
        <f>'Vekst for fremtidsregnskap'!T67</f>
        <v>32978.868154751675</v>
      </c>
      <c r="I48" s="168">
        <f>'Vekst for fremtidsregnskap'!U67</f>
        <v>40173.538031392309</v>
      </c>
      <c r="J48" s="168">
        <f>'Vekst for fremtidsregnskap'!V67</f>
        <v>46418.112782991935</v>
      </c>
      <c r="K48" s="168">
        <f>'Vekst for fremtidsregnskap'!W67</f>
        <v>50722.000200230941</v>
      </c>
      <c r="L48" s="168">
        <f>'Vekst for fremtidsregnskap'!X67</f>
        <v>52243.660206237873</v>
      </c>
      <c r="M48" s="202">
        <f>'Vekst for fremtidsregnskap'!Y67</f>
        <v>53810.970012425008</v>
      </c>
    </row>
    <row r="49" spans="1:13" x14ac:dyDescent="0.2">
      <c r="A49" s="282" t="s">
        <v>414</v>
      </c>
      <c r="B49" s="279">
        <f ca="1">SUM(B46:B48)</f>
        <v>60541.10998496617</v>
      </c>
      <c r="C49" s="279">
        <f t="shared" ref="C49:G49" si="11">SUM(C46:C48)</f>
        <v>85004.929567594168</v>
      </c>
      <c r="D49" s="279">
        <f t="shared" ca="1" si="11"/>
        <v>103875.73478079122</v>
      </c>
      <c r="E49" s="279">
        <f t="shared" ca="1" si="11"/>
        <v>136152.86605035479</v>
      </c>
      <c r="F49" s="279">
        <f t="shared" ca="1" si="11"/>
        <v>178529.25937128213</v>
      </c>
      <c r="G49" s="279">
        <f t="shared" ca="1" si="11"/>
        <v>234180.20489650112</v>
      </c>
      <c r="H49" s="279">
        <f t="shared" ref="H49:M49" ca="1" si="12">SUM(H46:H48)</f>
        <v>294262.53494173853</v>
      </c>
      <c r="I49" s="279">
        <f t="shared" ca="1" si="12"/>
        <v>353457.64716061106</v>
      </c>
      <c r="J49" s="279">
        <f t="shared" ca="1" si="12"/>
        <v>404914.76177291857</v>
      </c>
      <c r="K49" s="279">
        <f t="shared" ca="1" si="12"/>
        <v>441306.67277360539</v>
      </c>
      <c r="L49" s="279">
        <f t="shared" si="12"/>
        <v>456354.73431963811</v>
      </c>
      <c r="M49" s="283">
        <f t="shared" si="12"/>
        <v>470045.37634922727</v>
      </c>
    </row>
    <row r="50" spans="1:13" x14ac:dyDescent="0.2">
      <c r="A50" s="284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7"/>
    </row>
    <row r="51" spans="1:13" x14ac:dyDescent="0.2">
      <c r="A51" s="287" t="s">
        <v>502</v>
      </c>
      <c r="B51" s="97">
        <f ca="1">B44-B49</f>
        <v>20825.962484033837</v>
      </c>
      <c r="C51" s="97">
        <f t="shared" ref="C51:M51" si="13">C44-C49</f>
        <v>21149.137542141922</v>
      </c>
      <c r="D51" s="97">
        <f t="shared" ca="1" si="13"/>
        <v>34666.623696842871</v>
      </c>
      <c r="E51" s="97">
        <f t="shared" ca="1" si="13"/>
        <v>44721.575165262824</v>
      </c>
      <c r="F51" s="97">
        <f t="shared" ca="1" si="13"/>
        <v>57688.141492470226</v>
      </c>
      <c r="G51" s="97">
        <f t="shared" ca="1" si="13"/>
        <v>74407.515468064201</v>
      </c>
      <c r="H51" s="97">
        <f t="shared" ca="1" si="13"/>
        <v>91903.344499445346</v>
      </c>
      <c r="I51" s="97">
        <f t="shared" ca="1" si="13"/>
        <v>108483.96754051145</v>
      </c>
      <c r="J51" s="97">
        <f t="shared" ca="1" si="13"/>
        <v>122117.2694670902</v>
      </c>
      <c r="K51" s="97">
        <f t="shared" ca="1" si="13"/>
        <v>130777.69259289134</v>
      </c>
      <c r="L51" s="97">
        <f t="shared" si="13"/>
        <v>132892.16200785351</v>
      </c>
      <c r="M51" s="288">
        <f t="shared" si="13"/>
        <v>136878.92686808913</v>
      </c>
    </row>
    <row r="52" spans="1:13" x14ac:dyDescent="0.2">
      <c r="A52" s="28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7"/>
    </row>
    <row r="53" spans="1:13" x14ac:dyDescent="0.2">
      <c r="A53" s="281" t="s">
        <v>369</v>
      </c>
      <c r="B53" s="168">
        <f>'DCF; U.S. GAAP'!B30</f>
        <v>3071.4167076940785</v>
      </c>
      <c r="C53" s="168">
        <f>'DCF; U.S. GAAP'!C30</f>
        <v>4007.0677906562382</v>
      </c>
      <c r="D53" s="168">
        <f>'DCF; U.S. GAAP'!D30</f>
        <v>5229.6500493325084</v>
      </c>
      <c r="E53" s="168">
        <f>'DCF; U.S. GAAP'!E30</f>
        <v>6827.5871785375284</v>
      </c>
      <c r="F53" s="168">
        <f>'DCF; U.S. GAAP'!F30</f>
        <v>8916.6544849873371</v>
      </c>
      <c r="G53" s="168">
        <f>'DCF; U.S. GAAP'!G30</f>
        <v>11648.464807162092</v>
      </c>
      <c r="H53" s="168">
        <f>'DCF; U.S. GAAP'!H30</f>
        <v>14576.858894719506</v>
      </c>
      <c r="I53" s="168">
        <f>'DCF; U.S. GAAP'!I30</f>
        <v>17437.215698189975</v>
      </c>
      <c r="J53" s="168">
        <f>'DCF; U.S. GAAP'!J30</f>
        <v>19894.226707704536</v>
      </c>
      <c r="K53" s="168">
        <f>'DCF; U.S. GAAP'!K30</f>
        <v>21594.846965480559</v>
      </c>
      <c r="L53" s="168">
        <f>'DCF; U.S. GAAP'!L30</f>
        <v>22242.692374444978</v>
      </c>
      <c r="M53" s="202">
        <f>'DCF; U.S. GAAP'!M30</f>
        <v>22909.973145678327</v>
      </c>
    </row>
    <row r="54" spans="1:13" x14ac:dyDescent="0.2">
      <c r="A54" s="281" t="s">
        <v>503</v>
      </c>
      <c r="B54" s="168">
        <f>-'Vekst for fremtidsregnskap'!F108</f>
        <v>176</v>
      </c>
      <c r="C54" s="168">
        <f>-'Vekst for fremtidsregnskap'!$G$113</f>
        <v>-86.6</v>
      </c>
      <c r="D54" s="168">
        <f>-'Vekst for fremtidsregnskap'!$G$113</f>
        <v>-86.6</v>
      </c>
      <c r="E54" s="168">
        <f>-'Vekst for fremtidsregnskap'!$G$113</f>
        <v>-86.6</v>
      </c>
      <c r="F54" s="168">
        <f>-'Vekst for fremtidsregnskap'!$G$113</f>
        <v>-86.6</v>
      </c>
      <c r="G54" s="168">
        <f>-'Vekst for fremtidsregnskap'!$G$113</f>
        <v>-86.6</v>
      </c>
      <c r="H54" s="168">
        <f>-'Vekst for fremtidsregnskap'!$G$113</f>
        <v>-86.6</v>
      </c>
      <c r="I54" s="168">
        <f>-'Vekst for fremtidsregnskap'!$G$113</f>
        <v>-86.6</v>
      </c>
      <c r="J54" s="168">
        <f>-'Vekst for fremtidsregnskap'!$G$113</f>
        <v>-86.6</v>
      </c>
      <c r="K54" s="168">
        <f>-'Vekst for fremtidsregnskap'!$G$113</f>
        <v>-86.6</v>
      </c>
      <c r="L54" s="168">
        <f>-'Vekst for fremtidsregnskap'!$G$113</f>
        <v>-86.6</v>
      </c>
      <c r="M54" s="202">
        <f>-'Vekst for fremtidsregnskap'!$G$113</f>
        <v>-86.6</v>
      </c>
    </row>
    <row r="55" spans="1:13" x14ac:dyDescent="0.2">
      <c r="A55" s="281" t="s">
        <v>496</v>
      </c>
      <c r="B55" s="168">
        <f>'DCF; U.S. GAAP'!B35</f>
        <v>3941.4017328653117</v>
      </c>
      <c r="C55" s="168">
        <f>'DCF; U.S. GAAP'!C35</f>
        <v>5142.0778868063462</v>
      </c>
      <c r="D55" s="168">
        <f>'DCF; U.S. GAAP'!D35</f>
        <v>6710.9590551759602</v>
      </c>
      <c r="E55" s="168">
        <f>'DCF; U.S. GAAP'!E35</f>
        <v>8761.5151240679952</v>
      </c>
      <c r="F55" s="168">
        <f>'DCF; U.S. GAAP'!F35</f>
        <v>11442.314991141473</v>
      </c>
      <c r="G55" s="168">
        <f>'DCF; U.S. GAAP'!G35</f>
        <v>14947.916139532232</v>
      </c>
      <c r="H55" s="168">
        <f>'DCF; U.S. GAAP'!H35</f>
        <v>18705.783804410788</v>
      </c>
      <c r="I55" s="168">
        <f>'DCF; U.S. GAAP'!I35</f>
        <v>22376.342486197605</v>
      </c>
      <c r="J55" s="168">
        <f>'DCF; U.S. GAAP'!J35</f>
        <v>25529.306858081982</v>
      </c>
      <c r="K55" s="168">
        <f>'DCF; U.S. GAAP'!K35</f>
        <v>27711.631260418304</v>
      </c>
      <c r="L55" s="168">
        <f>'DCF; U.S. GAAP'!L35</f>
        <v>28542.980198230853</v>
      </c>
      <c r="M55" s="202">
        <f>'DCF; U.S. GAAP'!M35</f>
        <v>29399.269604177782</v>
      </c>
    </row>
    <row r="56" spans="1:13" x14ac:dyDescent="0.2">
      <c r="A56" s="285" t="s">
        <v>504</v>
      </c>
      <c r="B56" s="388">
        <f t="shared" ref="B56:M56" si="14">SUM(B53:B55)</f>
        <v>7188.8184405593902</v>
      </c>
      <c r="C56" s="388">
        <f t="shared" si="14"/>
        <v>9062.5456774625854</v>
      </c>
      <c r="D56" s="388">
        <f t="shared" si="14"/>
        <v>11854.009104508468</v>
      </c>
      <c r="E56" s="388">
        <f t="shared" si="14"/>
        <v>15502.502302605524</v>
      </c>
      <c r="F56" s="388">
        <f t="shared" si="14"/>
        <v>20272.36947612881</v>
      </c>
      <c r="G56" s="388">
        <f t="shared" si="14"/>
        <v>26509.780946694322</v>
      </c>
      <c r="H56" s="388">
        <f t="shared" si="14"/>
        <v>33196.042699130296</v>
      </c>
      <c r="I56" s="388">
        <f t="shared" si="14"/>
        <v>39726.958184387579</v>
      </c>
      <c r="J56" s="388">
        <f t="shared" si="14"/>
        <v>45336.933565786516</v>
      </c>
      <c r="K56" s="388">
        <f t="shared" si="14"/>
        <v>49219.878225898865</v>
      </c>
      <c r="L56" s="388">
        <f t="shared" si="14"/>
        <v>50699.072572675832</v>
      </c>
      <c r="M56" s="286">
        <f t="shared" si="14"/>
        <v>52222.64274985611</v>
      </c>
    </row>
    <row r="57" spans="1:13" x14ac:dyDescent="0.2">
      <c r="A57" s="389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7"/>
    </row>
    <row r="58" spans="1:13" x14ac:dyDescent="0.2">
      <c r="A58" s="287" t="s">
        <v>370</v>
      </c>
      <c r="B58" s="290">
        <f t="shared" ref="B58:M58" ca="1" si="15">B51-B56</f>
        <v>13637.144043474447</v>
      </c>
      <c r="C58" s="290">
        <f t="shared" si="15"/>
        <v>12086.591864679336</v>
      </c>
      <c r="D58" s="290">
        <f t="shared" ca="1" si="15"/>
        <v>22812.614592334401</v>
      </c>
      <c r="E58" s="290">
        <f t="shared" ca="1" si="15"/>
        <v>29219.0728626573</v>
      </c>
      <c r="F58" s="290">
        <f t="shared" ca="1" si="15"/>
        <v>37415.77201634142</v>
      </c>
      <c r="G58" s="290">
        <f t="shared" ca="1" si="15"/>
        <v>47897.734521369879</v>
      </c>
      <c r="H58" s="290">
        <f t="shared" ca="1" si="15"/>
        <v>58707.30180031505</v>
      </c>
      <c r="I58" s="290">
        <f t="shared" ca="1" si="15"/>
        <v>68757.009356123875</v>
      </c>
      <c r="J58" s="290">
        <f t="shared" ca="1" si="15"/>
        <v>76780.335901303682</v>
      </c>
      <c r="K58" s="290">
        <f t="shared" ca="1" si="15"/>
        <v>81557.814366992476</v>
      </c>
      <c r="L58" s="290">
        <f t="shared" si="15"/>
        <v>82193.089435177681</v>
      </c>
      <c r="M58" s="291">
        <f t="shared" si="15"/>
        <v>84656.284118233016</v>
      </c>
    </row>
    <row r="59" spans="1:13" x14ac:dyDescent="0.2">
      <c r="A59" s="390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7"/>
    </row>
    <row r="60" spans="1:13" x14ac:dyDescent="0.2">
      <c r="A60" s="390" t="s">
        <v>425</v>
      </c>
      <c r="B60" s="168">
        <f ca="1">B58*'Vekst for fremtidsregnskap'!N120</f>
        <v>1125.2457946798654</v>
      </c>
      <c r="C60" s="168">
        <f>C58*'Vekst for fremtidsregnskap'!O120</f>
        <v>997.30461336956103</v>
      </c>
      <c r="D60" s="168">
        <f ca="1">D58*'Vekst for fremtidsregnskap'!P120</f>
        <v>1882.3441736659042</v>
      </c>
      <c r="E60" s="168">
        <f ca="1">E58*'Vekst for fremtidsregnskap'!Q120</f>
        <v>2410.9622042807828</v>
      </c>
      <c r="F60" s="168">
        <f ca="1">F58*'Vekst for fremtidsregnskap'!R120</f>
        <v>3087.2989228441202</v>
      </c>
      <c r="G60" s="168">
        <f ca="1">G58*'Vekst for fremtidsregnskap'!S120</f>
        <v>3952.2002681092426</v>
      </c>
      <c r="H60" s="168">
        <f ca="1">H58*'Vekst for fremtidsregnskap'!T120</f>
        <v>5117.5531983000246</v>
      </c>
      <c r="I60" s="168">
        <f ca="1">I58*'Vekst for fremtidsregnskap'!U120</f>
        <v>6313.8173921782445</v>
      </c>
      <c r="J60" s="168">
        <f ca="1">J58*'Vekst for fremtidsregnskap'!V120</f>
        <v>7408.175362646678</v>
      </c>
      <c r="K60" s="168">
        <f ca="1">K58*'Vekst for fremtidsregnskap'!W120</f>
        <v>8248.9743332126436</v>
      </c>
      <c r="L60" s="168">
        <f>L58*'Vekst for fremtidsregnskap'!X120</f>
        <v>8696.0288622417993</v>
      </c>
      <c r="M60" s="202">
        <f>M58*'Vekst for fremtidsregnskap'!Y120</f>
        <v>8956.6348597090528</v>
      </c>
    </row>
    <row r="61" spans="1:13" x14ac:dyDescent="0.2">
      <c r="A61" s="390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202"/>
    </row>
    <row r="62" spans="1:13" x14ac:dyDescent="0.2">
      <c r="A62" s="289" t="s">
        <v>426</v>
      </c>
      <c r="B62" s="97">
        <f ca="1">B58-B60</f>
        <v>12511.898248794581</v>
      </c>
      <c r="C62" s="97">
        <f t="shared" ref="C62:M62" si="16">C58-C60</f>
        <v>11089.287251309775</v>
      </c>
      <c r="D62" s="97">
        <f t="shared" ca="1" si="16"/>
        <v>20930.270418668497</v>
      </c>
      <c r="E62" s="97">
        <f t="shared" ca="1" si="16"/>
        <v>26808.110658376518</v>
      </c>
      <c r="F62" s="97">
        <f t="shared" ca="1" si="16"/>
        <v>34328.473093497298</v>
      </c>
      <c r="G62" s="97">
        <f t="shared" ca="1" si="16"/>
        <v>43945.534253260637</v>
      </c>
      <c r="H62" s="97">
        <f t="shared" ca="1" si="16"/>
        <v>53589.748602015025</v>
      </c>
      <c r="I62" s="97">
        <f t="shared" ca="1" si="16"/>
        <v>62443.191963945632</v>
      </c>
      <c r="J62" s="97">
        <f t="shared" ca="1" si="16"/>
        <v>69372.160538657001</v>
      </c>
      <c r="K62" s="97">
        <f t="shared" ca="1" si="16"/>
        <v>73308.840033779838</v>
      </c>
      <c r="L62" s="97">
        <f t="shared" si="16"/>
        <v>73497.060572935879</v>
      </c>
      <c r="M62" s="288">
        <f t="shared" si="16"/>
        <v>75699.649258523961</v>
      </c>
    </row>
    <row r="68" spans="3:14" x14ac:dyDescent="0.2"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70" spans="3:14" x14ac:dyDescent="0.2">
      <c r="D70" s="86"/>
      <c r="E70" s="86"/>
      <c r="F70" s="86"/>
    </row>
    <row r="72" spans="3:14" x14ac:dyDescent="0.2">
      <c r="D72" s="46"/>
    </row>
    <row r="73" spans="3:14" x14ac:dyDescent="0.2">
      <c r="D73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Input for DCF</vt:lpstr>
      <vt:lpstr>DCF; F&amp;U justert</vt:lpstr>
      <vt:lpstr>DCF; U.S. GAAP</vt:lpstr>
      <vt:lpstr>Sensitivitetsanalyse</vt:lpstr>
      <vt:lpstr>Multippel analyse</vt:lpstr>
      <vt:lpstr>Beregning av verdi per aksje</vt:lpstr>
      <vt:lpstr>Regnskapsanalyse</vt:lpstr>
      <vt:lpstr>Vekst for fremtidsregnskap</vt:lpstr>
      <vt:lpstr>Fremtidsregnskap</vt:lpstr>
      <vt:lpstr>Regresjonsbeta</vt:lpstr>
      <vt:lpstr>Implisert markedspremie</vt:lpstr>
      <vt:lpstr>ERP</vt:lpstr>
      <vt:lpstr>Markedsverdi av gjeld</vt:lpstr>
      <vt:lpstr>Bottom-up beta</vt:lpstr>
      <vt:lpstr>CAPM og WACC</vt:lpstr>
      <vt:lpstr>Prognose av F&amp;U</vt:lpstr>
      <vt:lpstr>Aktivering av historisk F&amp;U</vt:lpstr>
      <vt:lpstr>Resultatregnskap</vt:lpstr>
      <vt:lpstr>Balanse</vt:lpstr>
      <vt:lpstr>Kontantstrøm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Henrik Grønhaug</cp:lastModifiedBy>
  <dcterms:created xsi:type="dcterms:W3CDTF">2023-02-21T08:40:26Z</dcterms:created>
  <dcterms:modified xsi:type="dcterms:W3CDTF">2023-05-10T19:11:58Z</dcterms:modified>
</cp:coreProperties>
</file>