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494bd573b2e21b6/Skrivebord/"/>
    </mc:Choice>
  </mc:AlternateContent>
  <xr:revisionPtr revIDLastSave="0" documentId="8_{88C21F9C-4C8A-4064-AF0A-23817F2DA644}" xr6:coauthVersionLast="47" xr6:coauthVersionMax="47" xr10:uidLastSave="{00000000-0000-0000-0000-000000000000}"/>
  <bookViews>
    <workbookView xWindow="-98" yWindow="-98" windowWidth="19396" windowHeight="11596" firstSheet="1" activeTab="1" xr2:uid="{00000000-000D-0000-FFFF-FFFF00000000}"/>
  </bookViews>
  <sheets>
    <sheet name="pH og biomedie brukt" sheetId="21" r:id="rId1"/>
    <sheet name="Målinger" sheetId="9" r:id="rId2"/>
    <sheet name="Miljødata" sheetId="23" r:id="rId3"/>
    <sheet name="pH, alk og TDS" sheetId="14" r:id="rId4"/>
    <sheet name="Alkalitet" sheetId="12" r:id="rId5"/>
    <sheet name="Modning biofilter" sheetId="3" r:id="rId6"/>
    <sheet name="Ammonium " sheetId="10" r:id="rId7"/>
    <sheet name="3.4" sheetId="19" r:id="rId8"/>
    <sheet name="Ark3" sheetId="27" r:id="rId9"/>
    <sheet name="Ark4" sheetId="28" r:id="rId10"/>
    <sheet name="Ark5" sheetId="29" r:id="rId11"/>
    <sheet name="Ark6" sheetId="30" r:id="rId12"/>
    <sheet name="12.4" sheetId="18" r:id="rId13"/>
    <sheet name="pH-reduksjon på 1" sheetId="26" r:id="rId14"/>
    <sheet name="NO3,Alk,pH" sheetId="20" r:id="rId15"/>
    <sheet name="1 time etter tilsetning " sheetId="17" r:id="rId16"/>
    <sheet name="Nitritt " sheetId="11" r:id="rId17"/>
    <sheet name="Flow" sheetId="13" r:id="rId18"/>
    <sheet name="Hypotese 1" sheetId="25" r:id="rId19"/>
    <sheet name="Hypotese 2" sheetId="24" r:id="rId20"/>
    <sheet name="Ark2" sheetId="16" r:id="rId21"/>
    <sheet name="Ark1" sheetId="15" r:id="rId22"/>
  </sheets>
  <externalReferences>
    <externalReference r:id="rId2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3" l="1"/>
  <c r="F7" i="26"/>
  <c r="F6" i="26"/>
  <c r="F5" i="26"/>
  <c r="F4" i="26"/>
  <c r="B8" i="26"/>
  <c r="B7" i="26"/>
  <c r="B6" i="26"/>
  <c r="B5" i="26"/>
  <c r="B4" i="26"/>
  <c r="L4" i="24"/>
  <c r="B58" i="23"/>
  <c r="C58" i="23"/>
  <c r="D58" i="23"/>
  <c r="E58" i="23"/>
  <c r="A58" i="23"/>
  <c r="E9" i="18"/>
  <c r="E8" i="18"/>
  <c r="E7" i="18"/>
  <c r="E6" i="18"/>
  <c r="E5" i="18"/>
  <c r="D9" i="18"/>
  <c r="D8" i="18"/>
  <c r="D7" i="18"/>
  <c r="D6" i="18"/>
  <c r="D5" i="18"/>
  <c r="A57" i="23"/>
  <c r="E57" i="23"/>
  <c r="C57" i="23"/>
  <c r="D57" i="23"/>
  <c r="B57" i="2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C50" i="3"/>
  <c r="C51" i="3"/>
  <c r="C52" i="3"/>
  <c r="C53" i="3"/>
  <c r="C54" i="3"/>
  <c r="B49" i="3"/>
  <c r="B50" i="3"/>
  <c r="B51" i="3"/>
  <c r="B52" i="3"/>
  <c r="B53" i="3"/>
  <c r="B54" i="3"/>
  <c r="N60" i="9"/>
  <c r="L60" i="9"/>
  <c r="F60" i="9"/>
  <c r="E60" i="9"/>
  <c r="I60" i="9"/>
  <c r="H60" i="9"/>
  <c r="A67" i="10"/>
  <c r="I59" i="9"/>
  <c r="N59" i="9"/>
  <c r="L59" i="9"/>
  <c r="F59" i="9"/>
  <c r="E59" i="9"/>
  <c r="H59" i="9"/>
  <c r="I58" i="9"/>
  <c r="H58" i="9"/>
  <c r="N58" i="9"/>
  <c r="L58" i="9"/>
  <c r="I57" i="9"/>
  <c r="F58" i="9"/>
  <c r="E58" i="9"/>
  <c r="L57" i="9"/>
  <c r="N57" i="9"/>
  <c r="H57" i="9"/>
  <c r="N56" i="9"/>
  <c r="L56" i="9"/>
  <c r="I56" i="9"/>
  <c r="H56" i="9"/>
  <c r="C63" i="10"/>
  <c r="C64" i="10"/>
  <c r="C65" i="10"/>
  <c r="C66" i="10"/>
  <c r="E55" i="9"/>
  <c r="N55" i="9"/>
  <c r="L55" i="9"/>
  <c r="I55" i="9"/>
  <c r="H55" i="9"/>
  <c r="F55" i="9"/>
  <c r="C62" i="10" s="1"/>
  <c r="I54" i="9"/>
  <c r="H54" i="9"/>
  <c r="N54" i="9"/>
  <c r="L54" i="9"/>
  <c r="B21" i="20" s="1"/>
  <c r="F54" i="9"/>
  <c r="C61" i="10" s="1"/>
  <c r="E54" i="9"/>
  <c r="F15" i="17"/>
  <c r="E15" i="17"/>
  <c r="D15" i="17"/>
  <c r="A61" i="10"/>
  <c r="A62" i="10"/>
  <c r="A63" i="10"/>
  <c r="A64" i="10"/>
  <c r="A65" i="10"/>
  <c r="A66" i="10"/>
  <c r="F53" i="9"/>
  <c r="C60" i="10" s="1"/>
  <c r="E53" i="9"/>
  <c r="I53" i="9"/>
  <c r="H53" i="9"/>
  <c r="N53" i="9"/>
  <c r="L53" i="9"/>
  <c r="E2" i="20"/>
  <c r="B2" i="20"/>
  <c r="C3" i="20" s="1"/>
  <c r="A2" i="20"/>
  <c r="E20" i="20"/>
  <c r="E21" i="20"/>
  <c r="E22" i="20"/>
  <c r="E23" i="20"/>
  <c r="E24" i="20"/>
  <c r="E25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3" i="20"/>
  <c r="B15" i="20"/>
  <c r="B16" i="20"/>
  <c r="B17" i="20"/>
  <c r="C17" i="20" s="1"/>
  <c r="B18" i="20"/>
  <c r="B19" i="20"/>
  <c r="C19" i="20" s="1"/>
  <c r="B20" i="20"/>
  <c r="C20" i="20" s="1"/>
  <c r="B22" i="20"/>
  <c r="B23" i="20"/>
  <c r="B24" i="20"/>
  <c r="B25" i="20"/>
  <c r="B14" i="20"/>
  <c r="B4" i="20"/>
  <c r="B5" i="20"/>
  <c r="B6" i="20"/>
  <c r="C6" i="20" s="1"/>
  <c r="B7" i="20"/>
  <c r="B8" i="20"/>
  <c r="B9" i="20"/>
  <c r="C9" i="20" s="1"/>
  <c r="B10" i="20"/>
  <c r="B11" i="20"/>
  <c r="B12" i="20"/>
  <c r="B13" i="20"/>
  <c r="B3" i="20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3" i="20"/>
  <c r="E8" i="19"/>
  <c r="E7" i="19"/>
  <c r="E6" i="19"/>
  <c r="E5" i="19"/>
  <c r="E4" i="19"/>
  <c r="E3" i="19"/>
  <c r="D8" i="19"/>
  <c r="D7" i="19"/>
  <c r="D6" i="19"/>
  <c r="D5" i="19"/>
  <c r="D4" i="19"/>
  <c r="D3" i="19"/>
  <c r="C8" i="19"/>
  <c r="C7" i="19"/>
  <c r="C6" i="19"/>
  <c r="C5" i="19"/>
  <c r="C4" i="19"/>
  <c r="C3" i="19"/>
  <c r="B8" i="19"/>
  <c r="B7" i="19"/>
  <c r="B6" i="19"/>
  <c r="B5" i="19"/>
  <c r="B4" i="19"/>
  <c r="B3" i="19"/>
  <c r="L51" i="9"/>
  <c r="L52" i="9"/>
  <c r="E4" i="18"/>
  <c r="E3" i="18"/>
  <c r="D4" i="18"/>
  <c r="D3" i="18"/>
  <c r="G9" i="18"/>
  <c r="G8" i="18"/>
  <c r="G7" i="18"/>
  <c r="G6" i="18"/>
  <c r="G5" i="18"/>
  <c r="G4" i="18"/>
  <c r="G3" i="18"/>
  <c r="F9" i="18"/>
  <c r="F8" i="18"/>
  <c r="F7" i="18"/>
  <c r="F6" i="18"/>
  <c r="F5" i="18"/>
  <c r="F4" i="18"/>
  <c r="F3" i="18"/>
  <c r="C9" i="18"/>
  <c r="C8" i="18"/>
  <c r="C7" i="18"/>
  <c r="C6" i="18"/>
  <c r="C5" i="18"/>
  <c r="C4" i="18"/>
  <c r="C3" i="18"/>
  <c r="B9" i="18"/>
  <c r="B8" i="18"/>
  <c r="B7" i="18"/>
  <c r="B6" i="18"/>
  <c r="B5" i="18"/>
  <c r="B4" i="18"/>
  <c r="B3" i="18"/>
  <c r="N52" i="9"/>
  <c r="I52" i="9"/>
  <c r="H52" i="9"/>
  <c r="F52" i="9"/>
  <c r="C59" i="10" s="1"/>
  <c r="E52" i="9"/>
  <c r="N51" i="9"/>
  <c r="F51" i="9"/>
  <c r="E51" i="9"/>
  <c r="I51" i="9"/>
  <c r="H51" i="9"/>
  <c r="I50" i="9"/>
  <c r="C49" i="3" s="1"/>
  <c r="H50" i="9"/>
  <c r="F49" i="9"/>
  <c r="B48" i="3" s="1"/>
  <c r="E49" i="9"/>
  <c r="I49" i="9"/>
  <c r="C48" i="3" s="1"/>
  <c r="H49" i="9"/>
  <c r="I48" i="9"/>
  <c r="H48" i="9"/>
  <c r="I47" i="9"/>
  <c r="C46" i="3" s="1"/>
  <c r="H47" i="9"/>
  <c r="H46" i="9"/>
  <c r="I46" i="9"/>
  <c r="C45" i="3" s="1"/>
  <c r="I45" i="9"/>
  <c r="C44" i="3" s="1"/>
  <c r="H45" i="9"/>
  <c r="H42" i="9"/>
  <c r="I43" i="9"/>
  <c r="C42" i="3" s="1"/>
  <c r="H43" i="9"/>
  <c r="H44" i="9"/>
  <c r="I44" i="9"/>
  <c r="C43" i="3" s="1"/>
  <c r="D7" i="17"/>
  <c r="I40" i="9"/>
  <c r="C39" i="3" s="1"/>
  <c r="H40" i="9"/>
  <c r="E40" i="14"/>
  <c r="A46" i="10"/>
  <c r="A47" i="10"/>
  <c r="D6" i="17"/>
  <c r="C7" i="17"/>
  <c r="C8" i="17"/>
  <c r="C9" i="17"/>
  <c r="F39" i="9"/>
  <c r="C6" i="17" s="1"/>
  <c r="I39" i="9"/>
  <c r="H39" i="9"/>
  <c r="C58" i="10"/>
  <c r="C51" i="10"/>
  <c r="C52" i="10"/>
  <c r="C53" i="10"/>
  <c r="C54" i="10"/>
  <c r="C55" i="10"/>
  <c r="C56" i="10"/>
  <c r="C57" i="10"/>
  <c r="A51" i="10"/>
  <c r="A52" i="10"/>
  <c r="A53" i="10"/>
  <c r="A54" i="10"/>
  <c r="A55" i="10"/>
  <c r="A56" i="10"/>
  <c r="A57" i="10"/>
  <c r="A58" i="10"/>
  <c r="A59" i="10"/>
  <c r="A60" i="10"/>
  <c r="B43" i="3"/>
  <c r="B44" i="3"/>
  <c r="B45" i="3"/>
  <c r="B46" i="3"/>
  <c r="B47" i="3"/>
  <c r="C40" i="3"/>
  <c r="C41" i="3"/>
  <c r="C47" i="3"/>
  <c r="H38" i="9"/>
  <c r="I38" i="9"/>
  <c r="C37" i="3" s="1"/>
  <c r="C5" i="17"/>
  <c r="C3" i="17"/>
  <c r="E38" i="14"/>
  <c r="E39" i="14"/>
  <c r="E37" i="14"/>
  <c r="I37" i="9"/>
  <c r="B43" i="11" s="1"/>
  <c r="C43" i="11" s="1"/>
  <c r="D43" i="11" s="1"/>
  <c r="H37" i="9"/>
  <c r="F37" i="9"/>
  <c r="B36" i="3" s="1"/>
  <c r="E37" i="9"/>
  <c r="F36" i="9"/>
  <c r="B35" i="3" s="1"/>
  <c r="E36" i="9"/>
  <c r="H36" i="9"/>
  <c r="I36" i="9"/>
  <c r="C35" i="3" s="1"/>
  <c r="C45" i="10"/>
  <c r="C47" i="10"/>
  <c r="C48" i="10"/>
  <c r="C49" i="10"/>
  <c r="C50" i="10"/>
  <c r="A44" i="10"/>
  <c r="A45" i="10"/>
  <c r="A48" i="10"/>
  <c r="A49" i="10"/>
  <c r="A50" i="10"/>
  <c r="I35" i="9"/>
  <c r="C34" i="3" s="1"/>
  <c r="H35" i="9"/>
  <c r="E35" i="9"/>
  <c r="F35" i="9"/>
  <c r="B34" i="3" s="1"/>
  <c r="F35" i="15"/>
  <c r="F31" i="15"/>
  <c r="F32" i="15"/>
  <c r="F33" i="15"/>
  <c r="F34" i="15"/>
  <c r="F30" i="15"/>
  <c r="C2" i="16"/>
  <c r="C3" i="16"/>
  <c r="C4" i="16"/>
  <c r="C5" i="16"/>
  <c r="F5" i="16" s="1"/>
  <c r="C6" i="16"/>
  <c r="C7" i="16"/>
  <c r="C8" i="16"/>
  <c r="F8" i="16" s="1"/>
  <c r="C9" i="16"/>
  <c r="F9" i="16" s="1"/>
  <c r="C10" i="16"/>
  <c r="F10" i="16" s="1"/>
  <c r="C11" i="16"/>
  <c r="C12" i="16"/>
  <c r="C13" i="16"/>
  <c r="C14" i="16"/>
  <c r="C15" i="16"/>
  <c r="E2" i="16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H2" i="16"/>
  <c r="H3" i="16"/>
  <c r="H4" i="16"/>
  <c r="H5" i="16"/>
  <c r="H6" i="16"/>
  <c r="H7" i="16"/>
  <c r="H8" i="16"/>
  <c r="H9" i="16"/>
  <c r="H10" i="16"/>
  <c r="H11" i="16"/>
  <c r="K11" i="16" s="1"/>
  <c r="H12" i="16"/>
  <c r="K12" i="16" s="1"/>
  <c r="H13" i="16"/>
  <c r="K13" i="16" s="1"/>
  <c r="H14" i="16"/>
  <c r="H15" i="16"/>
  <c r="J2" i="16"/>
  <c r="J3" i="16"/>
  <c r="J4" i="16"/>
  <c r="J5" i="16"/>
  <c r="J6" i="16"/>
  <c r="J7" i="16"/>
  <c r="J8" i="16"/>
  <c r="J9" i="16"/>
  <c r="J10" i="16"/>
  <c r="J11" i="16"/>
  <c r="J12" i="16"/>
  <c r="J13" i="16"/>
  <c r="J14" i="16"/>
  <c r="J15" i="16"/>
  <c r="F2" i="16"/>
  <c r="F3" i="16"/>
  <c r="D19" i="16"/>
  <c r="D20" i="16"/>
  <c r="P6" i="15"/>
  <c r="P7" i="15"/>
  <c r="P8" i="15"/>
  <c r="P9" i="15"/>
  <c r="P5" i="15"/>
  <c r="K2" i="16"/>
  <c r="K4" i="16"/>
  <c r="K5" i="16"/>
  <c r="K6" i="16"/>
  <c r="K7" i="16"/>
  <c r="K8" i="16"/>
  <c r="K9" i="16"/>
  <c r="K10" i="16"/>
  <c r="K14" i="16"/>
  <c r="K15" i="16"/>
  <c r="K3" i="16"/>
  <c r="B2" i="16"/>
  <c r="D18" i="16"/>
  <c r="E5" i="15"/>
  <c r="E6" i="15"/>
  <c r="E7" i="15"/>
  <c r="E8" i="15"/>
  <c r="E9" i="15"/>
  <c r="H8" i="15"/>
  <c r="H7" i="15"/>
  <c r="H6" i="15"/>
  <c r="H4" i="15"/>
  <c r="H5" i="15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7" i="3"/>
  <c r="B39" i="3"/>
  <c r="B40" i="3"/>
  <c r="B41" i="3"/>
  <c r="B42" i="3"/>
  <c r="C30" i="3"/>
  <c r="C32" i="3"/>
  <c r="C33" i="3"/>
  <c r="C38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5" i="10"/>
  <c r="C36" i="10"/>
  <c r="C37" i="10"/>
  <c r="C38" i="10"/>
  <c r="C39" i="10"/>
  <c r="C40" i="10"/>
  <c r="C41" i="10"/>
  <c r="C43" i="10"/>
  <c r="A35" i="10"/>
  <c r="A36" i="10"/>
  <c r="A37" i="10"/>
  <c r="A38" i="10"/>
  <c r="A39" i="10"/>
  <c r="A40" i="10"/>
  <c r="A41" i="10"/>
  <c r="A42" i="10"/>
  <c r="A43" i="10"/>
  <c r="B34" i="11"/>
  <c r="C34" i="11" s="1"/>
  <c r="D34" i="11" s="1"/>
  <c r="B35" i="11"/>
  <c r="C35" i="11" s="1"/>
  <c r="D35" i="11" s="1"/>
  <c r="B36" i="11"/>
  <c r="C36" i="11" s="1"/>
  <c r="D36" i="11" s="1"/>
  <c r="B37" i="11"/>
  <c r="C37" i="11" s="1"/>
  <c r="D37" i="11" s="1"/>
  <c r="B38" i="11"/>
  <c r="C38" i="11" s="1"/>
  <c r="D38" i="11" s="1"/>
  <c r="B39" i="11"/>
  <c r="C39" i="11" s="1"/>
  <c r="D39" i="11" s="1"/>
  <c r="B40" i="11"/>
  <c r="C40" i="11" s="1"/>
  <c r="D40" i="11" s="1"/>
  <c r="A34" i="11"/>
  <c r="A35" i="11"/>
  <c r="A36" i="11"/>
  <c r="A37" i="11"/>
  <c r="A38" i="11"/>
  <c r="A39" i="11"/>
  <c r="A40" i="11"/>
  <c r="A41" i="11"/>
  <c r="A42" i="11"/>
  <c r="A43" i="11"/>
  <c r="A29" i="12"/>
  <c r="A30" i="12"/>
  <c r="A31" i="12"/>
  <c r="A32" i="12"/>
  <c r="A33" i="12"/>
  <c r="A34" i="12"/>
  <c r="A35" i="12"/>
  <c r="C32" i="10"/>
  <c r="C33" i="10"/>
  <c r="C34" i="10"/>
  <c r="A26" i="12"/>
  <c r="A27" i="12"/>
  <c r="A28" i="12"/>
  <c r="A27" i="11"/>
  <c r="A28" i="11"/>
  <c r="A29" i="11"/>
  <c r="A30" i="11"/>
  <c r="A31" i="11"/>
  <c r="A32" i="11"/>
  <c r="A33" i="11"/>
  <c r="B27" i="11"/>
  <c r="C27" i="11" s="1"/>
  <c r="D27" i="11" s="1"/>
  <c r="B28" i="11"/>
  <c r="C28" i="11" s="1"/>
  <c r="D28" i="11" s="1"/>
  <c r="B29" i="11"/>
  <c r="C29" i="11" s="1"/>
  <c r="D29" i="11" s="1"/>
  <c r="B30" i="11"/>
  <c r="C30" i="11" s="1"/>
  <c r="D30" i="11" s="1"/>
  <c r="B31" i="11"/>
  <c r="C31" i="11" s="1"/>
  <c r="D31" i="11" s="1"/>
  <c r="B32" i="11"/>
  <c r="C32" i="11" s="1"/>
  <c r="D32" i="11" s="1"/>
  <c r="B33" i="11"/>
  <c r="C33" i="11" s="1"/>
  <c r="D33" i="11" s="1"/>
  <c r="A29" i="10"/>
  <c r="A30" i="10"/>
  <c r="A31" i="10"/>
  <c r="A32" i="10"/>
  <c r="A33" i="10"/>
  <c r="A34" i="10"/>
  <c r="B25" i="11"/>
  <c r="C25" i="11" s="1"/>
  <c r="D25" i="11" s="1"/>
  <c r="A21" i="12"/>
  <c r="A22" i="12"/>
  <c r="A23" i="12"/>
  <c r="A24" i="12"/>
  <c r="A25" i="12"/>
  <c r="H20" i="13"/>
  <c r="J20" i="13" s="1"/>
  <c r="H19" i="13"/>
  <c r="J19" i="13" s="1"/>
  <c r="H18" i="13"/>
  <c r="J18" i="13" s="1"/>
  <c r="H17" i="13"/>
  <c r="J17" i="13" s="1"/>
  <c r="H16" i="13"/>
  <c r="J16" i="13" s="1"/>
  <c r="H15" i="13"/>
  <c r="J15" i="13" s="1"/>
  <c r="H14" i="13"/>
  <c r="J14" i="13" s="1"/>
  <c r="B14" i="13"/>
  <c r="D14" i="13" s="1"/>
  <c r="B15" i="13"/>
  <c r="D15" i="13" s="1"/>
  <c r="B16" i="13"/>
  <c r="D16" i="13" s="1"/>
  <c r="B17" i="13"/>
  <c r="D17" i="13" s="1"/>
  <c r="B18" i="13"/>
  <c r="D18" i="13" s="1"/>
  <c r="B19" i="13"/>
  <c r="D19" i="13" s="1"/>
  <c r="B20" i="13"/>
  <c r="D20" i="13" s="1"/>
  <c r="B9" i="13"/>
  <c r="A13" i="12"/>
  <c r="A14" i="12"/>
  <c r="A15" i="12"/>
  <c r="A16" i="12"/>
  <c r="A17" i="12"/>
  <c r="A18" i="12"/>
  <c r="A19" i="12"/>
  <c r="A20" i="12"/>
  <c r="C5" i="3"/>
  <c r="C6" i="3"/>
  <c r="C7" i="3"/>
  <c r="C4" i="3"/>
  <c r="B9" i="11"/>
  <c r="C9" i="11" s="1"/>
  <c r="D9" i="11" s="1"/>
  <c r="B5" i="3"/>
  <c r="B6" i="3"/>
  <c r="B7" i="3"/>
  <c r="B8" i="3"/>
  <c r="B9" i="3"/>
  <c r="B10" i="3"/>
  <c r="B11" i="3"/>
  <c r="B11" i="11"/>
  <c r="C11" i="11" s="1"/>
  <c r="D11" i="11" s="1"/>
  <c r="B12" i="11"/>
  <c r="C12" i="11" s="1"/>
  <c r="D12" i="11" s="1"/>
  <c r="B13" i="11"/>
  <c r="C13" i="11" s="1"/>
  <c r="D13" i="11" s="1"/>
  <c r="B14" i="11"/>
  <c r="C14" i="11" s="1"/>
  <c r="D14" i="11" s="1"/>
  <c r="B15" i="11"/>
  <c r="C15" i="11" s="1"/>
  <c r="D15" i="11" s="1"/>
  <c r="B16" i="11"/>
  <c r="C16" i="11" s="1"/>
  <c r="D16" i="11" s="1"/>
  <c r="B17" i="11"/>
  <c r="C17" i="11" s="1"/>
  <c r="D17" i="11" s="1"/>
  <c r="B18" i="11"/>
  <c r="C18" i="11" s="1"/>
  <c r="D18" i="11" s="1"/>
  <c r="C13" i="10"/>
  <c r="C14" i="10"/>
  <c r="C15" i="10"/>
  <c r="C16" i="10"/>
  <c r="C17" i="10"/>
  <c r="C18" i="10"/>
  <c r="C19" i="10"/>
  <c r="C12" i="10"/>
  <c r="C11" i="10"/>
  <c r="B10" i="11"/>
  <c r="C10" i="11" s="1"/>
  <c r="D10" i="11" s="1"/>
  <c r="A8" i="12"/>
  <c r="A9" i="12"/>
  <c r="A10" i="12"/>
  <c r="A11" i="12"/>
  <c r="A12" i="12"/>
  <c r="A7" i="12"/>
  <c r="C3" i="12"/>
  <c r="D19" i="12" s="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B19" i="11"/>
  <c r="C19" i="11" s="1"/>
  <c r="D19" i="11" s="1"/>
  <c r="B20" i="11"/>
  <c r="C20" i="11" s="1"/>
  <c r="D20" i="11" s="1"/>
  <c r="B21" i="11"/>
  <c r="C21" i="11" s="1"/>
  <c r="D21" i="11" s="1"/>
  <c r="B22" i="11"/>
  <c r="C22" i="11" s="1"/>
  <c r="D22" i="11" s="1"/>
  <c r="B23" i="11"/>
  <c r="C23" i="11" s="1"/>
  <c r="D23" i="11" s="1"/>
  <c r="B24" i="11"/>
  <c r="C24" i="11" s="1"/>
  <c r="D24" i="11" s="1"/>
  <c r="B26" i="11"/>
  <c r="C26" i="11" s="1"/>
  <c r="D26" i="11" s="1"/>
  <c r="A9" i="11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10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10" i="10"/>
  <c r="C3" i="10"/>
  <c r="D64" i="10" s="1"/>
  <c r="B4" i="3"/>
  <c r="D36" i="12" l="1"/>
  <c r="D2" i="20" s="1"/>
  <c r="D54" i="12"/>
  <c r="D20" i="20" s="1"/>
  <c r="D42" i="12"/>
  <c r="D8" i="20" s="1"/>
  <c r="D12" i="12"/>
  <c r="D35" i="12"/>
  <c r="D41" i="12"/>
  <c r="D7" i="20" s="1"/>
  <c r="D61" i="12"/>
  <c r="D53" i="12"/>
  <c r="D19" i="20" s="1"/>
  <c r="D14" i="12"/>
  <c r="D40" i="12"/>
  <c r="D6" i="20" s="1"/>
  <c r="D13" i="12"/>
  <c r="D24" i="12"/>
  <c r="D23" i="12"/>
  <c r="D52" i="12"/>
  <c r="D18" i="20" s="1"/>
  <c r="D20" i="12"/>
  <c r="D22" i="12"/>
  <c r="D51" i="12"/>
  <c r="D17" i="20" s="1"/>
  <c r="D21" i="12"/>
  <c r="D50" i="12"/>
  <c r="D16" i="20" s="1"/>
  <c r="D7" i="12"/>
  <c r="D49" i="12"/>
  <c r="D15" i="20" s="1"/>
  <c r="D31" i="12"/>
  <c r="D48" i="12"/>
  <c r="D14" i="20" s="1"/>
  <c r="D30" i="12"/>
  <c r="D47" i="12"/>
  <c r="D13" i="20" s="1"/>
  <c r="D28" i="12"/>
  <c r="D46" i="12"/>
  <c r="D12" i="20" s="1"/>
  <c r="D27" i="12"/>
  <c r="D60" i="12"/>
  <c r="D59" i="12"/>
  <c r="D25" i="20" s="1"/>
  <c r="D9" i="12"/>
  <c r="D34" i="12"/>
  <c r="D45" i="12"/>
  <c r="D11" i="20" s="1"/>
  <c r="D10" i="12"/>
  <c r="D26" i="12"/>
  <c r="D33" i="12"/>
  <c r="D38" i="12"/>
  <c r="D4" i="20" s="1"/>
  <c r="D39" i="12"/>
  <c r="D5" i="20" s="1"/>
  <c r="D44" i="12"/>
  <c r="D10" i="20" s="1"/>
  <c r="D56" i="12"/>
  <c r="D22" i="20" s="1"/>
  <c r="D57" i="12"/>
  <c r="D23" i="20" s="1"/>
  <c r="D11" i="12"/>
  <c r="D25" i="12"/>
  <c r="D32" i="12"/>
  <c r="D37" i="12"/>
  <c r="D3" i="20" s="1"/>
  <c r="D55" i="12"/>
  <c r="D21" i="20" s="1"/>
  <c r="D43" i="12"/>
  <c r="D9" i="20" s="1"/>
  <c r="D58" i="12"/>
  <c r="D24" i="20" s="1"/>
  <c r="D45" i="10"/>
  <c r="D59" i="10"/>
  <c r="D57" i="10"/>
  <c r="D10" i="10"/>
  <c r="D56" i="10"/>
  <c r="D60" i="10"/>
  <c r="D61" i="10"/>
  <c r="D66" i="10"/>
  <c r="D65" i="10"/>
  <c r="D43" i="10"/>
  <c r="D53" i="10"/>
  <c r="D63" i="10"/>
  <c r="D34" i="10"/>
  <c r="D33" i="10"/>
  <c r="D41" i="10"/>
  <c r="D55" i="10"/>
  <c r="D32" i="10"/>
  <c r="D40" i="10"/>
  <c r="D54" i="10"/>
  <c r="D39" i="10"/>
  <c r="D38" i="10"/>
  <c r="D50" i="10"/>
  <c r="D52" i="10"/>
  <c r="D37" i="10"/>
  <c r="D49" i="10"/>
  <c r="D51" i="10"/>
  <c r="D62" i="10"/>
  <c r="D36" i="10"/>
  <c r="D48" i="10"/>
  <c r="D58" i="10"/>
  <c r="D35" i="10"/>
  <c r="D47" i="10"/>
  <c r="C8" i="20"/>
  <c r="C18" i="20"/>
  <c r="C46" i="10"/>
  <c r="D46" i="10" s="1"/>
  <c r="C14" i="20"/>
  <c r="B38" i="3"/>
  <c r="C5" i="20"/>
  <c r="C16" i="20"/>
  <c r="C44" i="10"/>
  <c r="D44" i="10" s="1"/>
  <c r="C4" i="17"/>
  <c r="C11" i="20"/>
  <c r="C12" i="20"/>
  <c r="C15" i="20"/>
  <c r="C10" i="20"/>
  <c r="C7" i="20"/>
  <c r="C4" i="20"/>
  <c r="C13" i="20"/>
  <c r="C36" i="3"/>
  <c r="C42" i="10"/>
  <c r="D42" i="10" s="1"/>
  <c r="B42" i="11"/>
  <c r="C42" i="11" s="1"/>
  <c r="D42" i="11" s="1"/>
  <c r="C2" i="17"/>
  <c r="B41" i="11"/>
  <c r="C41" i="11" s="1"/>
  <c r="D41" i="11" s="1"/>
  <c r="F4" i="16"/>
  <c r="F7" i="16"/>
  <c r="F13" i="16"/>
  <c r="F14" i="16"/>
  <c r="F12" i="16"/>
  <c r="F15" i="16"/>
  <c r="F6" i="16"/>
  <c r="F11" i="16"/>
  <c r="D21" i="13"/>
  <c r="B24" i="13" s="1"/>
  <c r="J21" i="13"/>
  <c r="D15" i="12"/>
  <c r="D17" i="12"/>
  <c r="D18" i="12"/>
  <c r="D8" i="12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</calcChain>
</file>

<file path=xl/sharedStrings.xml><?xml version="1.0" encoding="utf-8"?>
<sst xmlns="http://schemas.openxmlformats.org/spreadsheetml/2006/main" count="255" uniqueCount="186">
  <si>
    <t>pH</t>
  </si>
  <si>
    <t>NH4+[mg/l]</t>
  </si>
  <si>
    <t>NO2-N [mg/l]</t>
  </si>
  <si>
    <t>NO3</t>
  </si>
  <si>
    <t>Dato</t>
  </si>
  <si>
    <t>Tid</t>
  </si>
  <si>
    <t>Før tilsettning av vann</t>
  </si>
  <si>
    <t>Etter tilsetting av vann</t>
  </si>
  <si>
    <t>Før</t>
  </si>
  <si>
    <t>Etter</t>
  </si>
  <si>
    <t>Type prøve</t>
  </si>
  <si>
    <t>Før.</t>
  </si>
  <si>
    <t>Etter.</t>
  </si>
  <si>
    <t>Type prøve.</t>
  </si>
  <si>
    <t>Før2</t>
  </si>
  <si>
    <t>Før utvannet</t>
  </si>
  <si>
    <t>Etter2</t>
  </si>
  <si>
    <t>Etter utvannet</t>
  </si>
  <si>
    <t>Type prøve2</t>
  </si>
  <si>
    <t>Sal</t>
  </si>
  <si>
    <t>TDS</t>
  </si>
  <si>
    <t>Ledningsevne</t>
  </si>
  <si>
    <t>Temp</t>
  </si>
  <si>
    <t>O2 met %</t>
  </si>
  <si>
    <t xml:space="preserve">  </t>
  </si>
  <si>
    <t>-</t>
  </si>
  <si>
    <t>&gt;14</t>
  </si>
  <si>
    <t xml:space="preserve">Dato </t>
  </si>
  <si>
    <t>Alk</t>
  </si>
  <si>
    <t>Kommentar</t>
  </si>
  <si>
    <t>Nytt vann i tanken pga skittent vann
Tilsatt 121g NaHCO3</t>
  </si>
  <si>
    <t>Tilsatte 1 liter med 0,1 mol HCl</t>
  </si>
  <si>
    <t>Tilsatte 2x med 0,1 mol HCl</t>
  </si>
  <si>
    <t>Tilsatt x4 med 0,1 mol HCl</t>
  </si>
  <si>
    <t>Tilsatt 0.5 liter med 1 mol HCl, startet syrepumpe med 4 rpm</t>
  </si>
  <si>
    <t>Tilsatte 40 g NaHCO3 og 1 l med 0,5 mol HCl</t>
  </si>
  <si>
    <t>Tilsatte 60g NaHCO3 og 1 liter 0,5 mol HCl</t>
  </si>
  <si>
    <t>Byttet 5% av vannet og tilsatte 80g NaHCO3</t>
  </si>
  <si>
    <t>Byttet 5% vann og tilsatt 50g bicarbonate</t>
  </si>
  <si>
    <t>Tilsatt 50g bicarbonat</t>
  </si>
  <si>
    <t>Byttet 5% av vannet og tilsatte NaHCO3, tilsatte 2/3 av 5g ammoniumklorid og 2g natriumnitritt</t>
  </si>
  <si>
    <t>Byttet 5% vann og tilsatt 65g bicarbonate, resten av ammonium og nitritt</t>
  </si>
  <si>
    <t>Tilsatte 2/3 av 4 g ammoniumklorid</t>
  </si>
  <si>
    <t>Byttet 5% av vannet tilsatte 50 g bikarbonat, tilsatte resten av ammonium</t>
  </si>
  <si>
    <t>Tilsatte 1,5 g ammoniumklorid</t>
  </si>
  <si>
    <t>Tilsatt 65g bikarbonate</t>
  </si>
  <si>
    <t>tilsatte 0,5 g ammoniumklorid</t>
  </si>
  <si>
    <t>2,5g ammoniumklorid tilsatt</t>
  </si>
  <si>
    <t xml:space="preserve">tilsatt 20g bikaronat </t>
  </si>
  <si>
    <t>tilsatt 40g bikarbonat og 1,3 g ammoniumklorid</t>
  </si>
  <si>
    <t>tilsatt 1,7g med ammoniumm 11:17</t>
  </si>
  <si>
    <t>tilsatt 7,2 g ammoniumklorid 11:30 og 50g bikarbonat</t>
  </si>
  <si>
    <t>Tilsatt 8,7g ammoniumklorid kl 11:30</t>
  </si>
  <si>
    <t>tilsatt 8,9 g ammoniumklorid 11:15</t>
  </si>
  <si>
    <t xml:space="preserve">Tilsatte 8,9g ammoniumklorid </t>
  </si>
  <si>
    <t xml:space="preserve">tilsatte 8,92g ammoniumklorid 11:00, enden på slagen var over vann nedi dunken, så har ikke blitt pumpet inn bikarbonat, tilsatte 40g og fikset slangen </t>
  </si>
  <si>
    <t>Normalitet</t>
  </si>
  <si>
    <t>CaCO3</t>
  </si>
  <si>
    <t xml:space="preserve">Volum tank </t>
  </si>
  <si>
    <t>Volum syre</t>
  </si>
  <si>
    <t>Alkalitet</t>
  </si>
  <si>
    <t xml:space="preserve">Dag /Nitrogen </t>
  </si>
  <si>
    <t xml:space="preserve">Ammonium </t>
  </si>
  <si>
    <t xml:space="preserve">Nitritt </t>
  </si>
  <si>
    <t xml:space="preserve">Nitrat </t>
  </si>
  <si>
    <t>NH4Cl [g/mol]</t>
  </si>
  <si>
    <t>NH3 [g/mol]</t>
  </si>
  <si>
    <t>Vann volum [l]</t>
  </si>
  <si>
    <t>Ønsket nivå NH3 [g/mol]</t>
  </si>
  <si>
    <t>Målt ammonium NH4-N</t>
  </si>
  <si>
    <t>Tilfør ammonium g</t>
  </si>
  <si>
    <t>Ammonium</t>
  </si>
  <si>
    <t>Nitritt</t>
  </si>
  <si>
    <t xml:space="preserve">Kl </t>
  </si>
  <si>
    <t xml:space="preserve">Før </t>
  </si>
  <si>
    <t xml:space="preserve">Etter </t>
  </si>
  <si>
    <t>Nitrat</t>
  </si>
  <si>
    <t>Differanse</t>
  </si>
  <si>
    <t>Tilsatt bikarbonat</t>
  </si>
  <si>
    <t xml:space="preserve">dato </t>
  </si>
  <si>
    <t xml:space="preserve">Tidspunkt tillseting </t>
  </si>
  <si>
    <t xml:space="preserve">Ammonium før tilsetning </t>
  </si>
  <si>
    <t xml:space="preserve">Ammonium 1 time etter tilsetning </t>
  </si>
  <si>
    <t>Nitritt før tilsetning 2</t>
  </si>
  <si>
    <t>Nitritt 1 time etter tilsetning 3</t>
  </si>
  <si>
    <t xml:space="preserve">glemte å gange svaret med 2 så tilsatt for mye ammonium </t>
  </si>
  <si>
    <t xml:space="preserve">tilsatte 8,7g </t>
  </si>
  <si>
    <t xml:space="preserve">tilsatte 8,9g </t>
  </si>
  <si>
    <t xml:space="preserve">Tilsatte 8,92g </t>
  </si>
  <si>
    <t>tilsatte 8.95</t>
  </si>
  <si>
    <t>tilsatte 11,5 g sikter mot 5 istedenfor 4, eskjed fra leila</t>
  </si>
  <si>
    <t xml:space="preserve">tilsatte 11.5 g </t>
  </si>
  <si>
    <t>Tilsatt 15,7 g ammonium klorid</t>
  </si>
  <si>
    <t>Tilsatt 13.8 g ammoniumklorid</t>
  </si>
  <si>
    <t>Tilsatt 15,6 g ammoniumklorid</t>
  </si>
  <si>
    <t>NaNO2 [g/mol]</t>
  </si>
  <si>
    <t>NO2 [g/mol]</t>
  </si>
  <si>
    <t>Ønsket nivå NO2 [g/mol]</t>
  </si>
  <si>
    <t>Forhold mellom NO2 og NO2-N</t>
  </si>
  <si>
    <t>Målt NO2-N</t>
  </si>
  <si>
    <t>Målt NO2</t>
  </si>
  <si>
    <t>Mengde som må tillføres</t>
  </si>
  <si>
    <t xml:space="preserve">Flow fra CO2-lufter </t>
  </si>
  <si>
    <t>Flow fra Biofilter</t>
  </si>
  <si>
    <t>Tid [s]</t>
  </si>
  <si>
    <t>Tid [min]</t>
  </si>
  <si>
    <t>Mengde [l]</t>
  </si>
  <si>
    <t>Flow [l/min]</t>
  </si>
  <si>
    <t>Gjennomsnitt</t>
  </si>
  <si>
    <t>Toatl flow:</t>
  </si>
  <si>
    <t>Totalt</t>
  </si>
  <si>
    <t>Total flow:</t>
  </si>
  <si>
    <t>Før bio test 1</t>
  </si>
  <si>
    <t>formel</t>
  </si>
  <si>
    <t>Før bio test 2</t>
  </si>
  <si>
    <t>Formel2</t>
  </si>
  <si>
    <t>Gjennomsnitt før bio</t>
  </si>
  <si>
    <t>Etter bio test 1</t>
  </si>
  <si>
    <t>formel3</t>
  </si>
  <si>
    <t>Etter bio test 2</t>
  </si>
  <si>
    <t>formel4</t>
  </si>
  <si>
    <t>Gjennomsnitt etter bio</t>
  </si>
  <si>
    <t>test 1</t>
  </si>
  <si>
    <t xml:space="preserve">test 2 </t>
  </si>
  <si>
    <t xml:space="preserve">gjennomsnitt </t>
  </si>
  <si>
    <t xml:space="preserve">vurdering </t>
  </si>
  <si>
    <t xml:space="preserve">ok </t>
  </si>
  <si>
    <t>Standard sol.</t>
  </si>
  <si>
    <t>Abs (x)</t>
  </si>
  <si>
    <t>Test 2</t>
  </si>
  <si>
    <t>y</t>
  </si>
  <si>
    <t>Con</t>
  </si>
  <si>
    <t>Abs</t>
  </si>
  <si>
    <t>Skjellsand</t>
  </si>
  <si>
    <t>Miljø</t>
  </si>
  <si>
    <t>Ledningsevne [uS/cm]</t>
  </si>
  <si>
    <t>Total Flow[l/min]</t>
  </si>
  <si>
    <t>Total flow[l/min]</t>
  </si>
  <si>
    <r>
      <t>Temperatur [C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]</t>
    </r>
  </si>
  <si>
    <t>TDS [mg/l]</t>
  </si>
  <si>
    <t>Miljøparametere</t>
  </si>
  <si>
    <t xml:space="preserve">Start pH: </t>
  </si>
  <si>
    <t>8, 49</t>
  </si>
  <si>
    <t>7, 86</t>
  </si>
  <si>
    <t>7, 68</t>
  </si>
  <si>
    <t>7, 55</t>
  </si>
  <si>
    <t xml:space="preserve">7, 46 </t>
  </si>
  <si>
    <t>7, 15</t>
  </si>
  <si>
    <t>6, 97</t>
  </si>
  <si>
    <t>Start: HCL</t>
  </si>
  <si>
    <t xml:space="preserve">1, 42 </t>
  </si>
  <si>
    <t xml:space="preserve">1, 48 </t>
  </si>
  <si>
    <t xml:space="preserve">1, 54 </t>
  </si>
  <si>
    <t xml:space="preserve">1, 6 </t>
  </si>
  <si>
    <t xml:space="preserve">1, 64 </t>
  </si>
  <si>
    <t xml:space="preserve">1, 84 </t>
  </si>
  <si>
    <t xml:space="preserve">2, 02 </t>
  </si>
  <si>
    <t>Start HCL [ml]</t>
  </si>
  <si>
    <t>Start pH</t>
  </si>
  <si>
    <t>2, 24 ml</t>
  </si>
  <si>
    <t>6, 80</t>
  </si>
  <si>
    <t>2, 4 ml</t>
  </si>
  <si>
    <t>6, 64</t>
  </si>
  <si>
    <t>2, 62 ml</t>
  </si>
  <si>
    <t>6, 49</t>
  </si>
  <si>
    <t xml:space="preserve">Salinitet </t>
  </si>
  <si>
    <t>0,57 ± 0,1SD</t>
  </si>
  <si>
    <t>1427 ± 173SD</t>
  </si>
  <si>
    <t>1456 ± 175SD</t>
  </si>
  <si>
    <t>26,8 ± 0,43SD</t>
  </si>
  <si>
    <t>92% ± 0,01SD</t>
  </si>
  <si>
    <t>Forsøk 1</t>
  </si>
  <si>
    <t>Forsøk 2</t>
  </si>
  <si>
    <t>Gjennomføring 1</t>
  </si>
  <si>
    <t>Gjennomføring 2</t>
  </si>
  <si>
    <t>Gjennomføring 3</t>
  </si>
  <si>
    <t>Tid [Minutter]</t>
  </si>
  <si>
    <t>Vanlig sand</t>
  </si>
  <si>
    <t xml:space="preserve">pH-verdi </t>
  </si>
  <si>
    <t>Tilsatt syre [ml]</t>
  </si>
  <si>
    <t xml:space="preserve">Reduksjon </t>
  </si>
  <si>
    <t>Bakt 1</t>
  </si>
  <si>
    <t>Bakt 2</t>
  </si>
  <si>
    <t>Trinn 1</t>
  </si>
  <si>
    <t>O2 metning [%]</t>
  </si>
  <si>
    <t>Steinsand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</si>
</sst>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rgb="FF8EA9D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16" fontId="0" fillId="0" borderId="1" xfId="0" applyNumberFormat="1" applyBorder="1"/>
    <xf numFmtId="2" fontId="0" fillId="0" borderId="1" xfId="0" applyNumberFormat="1" applyBorder="1"/>
    <xf numFmtId="0" fontId="0" fillId="2" borderId="1" xfId="0" applyFill="1" applyBorder="1" applyAlignment="1">
      <alignment horizontal="center"/>
    </xf>
    <xf numFmtId="0" fontId="1" fillId="0" borderId="0" xfId="0" applyFont="1"/>
    <xf numFmtId="16" fontId="0" fillId="0" borderId="0" xfId="0" applyNumberFormat="1"/>
    <xf numFmtId="0" fontId="0" fillId="2" borderId="1" xfId="0" applyFill="1" applyBorder="1"/>
    <xf numFmtId="0" fontId="0" fillId="0" borderId="2" xfId="0" applyBorder="1"/>
    <xf numFmtId="2" fontId="0" fillId="0" borderId="1" xfId="0" applyNumberFormat="1" applyBorder="1" applyAlignment="1">
      <alignment wrapText="1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4" borderId="0" xfId="0" applyFont="1" applyFill="1"/>
    <xf numFmtId="0" fontId="6" fillId="0" borderId="0" xfId="0" applyFont="1"/>
    <xf numFmtId="20" fontId="0" fillId="0" borderId="0" xfId="0" applyNumberFormat="1"/>
    <xf numFmtId="0" fontId="0" fillId="0" borderId="0" xfId="0" applyAlignment="1">
      <alignment wrapText="1"/>
    </xf>
    <xf numFmtId="0" fontId="0" fillId="5" borderId="3" xfId="0" applyFill="1" applyBorder="1"/>
    <xf numFmtId="0" fontId="0" fillId="3" borderId="7" xfId="0" applyFill="1" applyBorder="1"/>
    <xf numFmtId="9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1" xfId="0" applyBorder="1" applyAlignment="1">
      <alignment wrapText="1"/>
    </xf>
    <xf numFmtId="9" fontId="0" fillId="0" borderId="0" xfId="0" applyNumberFormat="1"/>
    <xf numFmtId="2" fontId="0" fillId="0" borderId="0" xfId="0" applyNumberFormat="1"/>
    <xf numFmtId="0" fontId="0" fillId="6" borderId="0" xfId="0" applyFill="1"/>
    <xf numFmtId="0" fontId="0" fillId="3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8" xfId="0" applyBorder="1"/>
    <xf numFmtId="0" fontId="0" fillId="10" borderId="8" xfId="0" applyFill="1" applyBorder="1"/>
    <xf numFmtId="2" fontId="0" fillId="10" borderId="1" xfId="0" applyNumberFormat="1" applyFill="1" applyBorder="1"/>
    <xf numFmtId="2" fontId="0" fillId="10" borderId="1" xfId="0" applyNumberFormat="1" applyFill="1" applyBorder="1" applyAlignment="1">
      <alignment wrapText="1"/>
    </xf>
    <xf numFmtId="0" fontId="0" fillId="0" borderId="9" xfId="0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10" borderId="1" xfId="0" applyFill="1" applyBorder="1"/>
    <xf numFmtId="0" fontId="2" fillId="10" borderId="8" xfId="0" applyFont="1" applyFill="1" applyBorder="1"/>
    <xf numFmtId="0" fontId="0" fillId="0" borderId="0" xfId="0" applyNumberFormat="1"/>
    <xf numFmtId="0" fontId="1" fillId="3" borderId="1" xfId="0" applyFont="1" applyFill="1" applyBorder="1"/>
    <xf numFmtId="0" fontId="0" fillId="0" borderId="0" xfId="0" applyBorder="1"/>
    <xf numFmtId="9" fontId="0" fillId="0" borderId="0" xfId="0" applyNumberFormat="1" applyBorder="1"/>
    <xf numFmtId="0" fontId="0" fillId="0" borderId="4" xfId="0" applyBorder="1"/>
    <xf numFmtId="0" fontId="0" fillId="10" borderId="4" xfId="0" applyFill="1" applyBorder="1"/>
    <xf numFmtId="9" fontId="0" fillId="10" borderId="4" xfId="0" applyNumberFormat="1" applyFill="1" applyBorder="1"/>
    <xf numFmtId="9" fontId="0" fillId="0" borderId="4" xfId="0" applyNumberFormat="1" applyBorder="1"/>
    <xf numFmtId="9" fontId="0" fillId="0" borderId="10" xfId="0" applyNumberFormat="1" applyBorder="1"/>
    <xf numFmtId="9" fontId="0" fillId="10" borderId="10" xfId="0" applyNumberFormat="1" applyFill="1" applyBorder="1"/>
    <xf numFmtId="0" fontId="1" fillId="3" borderId="4" xfId="0" applyFont="1" applyFill="1" applyBorder="1"/>
    <xf numFmtId="0" fontId="0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1" fillId="2" borderId="1" xfId="0" applyFont="1" applyFill="1" applyBorder="1"/>
    <xf numFmtId="0" fontId="0" fillId="11" borderId="1" xfId="0" applyFill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11" fillId="0" borderId="15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0" fillId="10" borderId="1" xfId="0" applyFill="1" applyBorder="1" applyAlignment="1">
      <alignment horizontal="right"/>
    </xf>
    <xf numFmtId="9" fontId="0" fillId="10" borderId="1" xfId="0" applyNumberFormat="1" applyFill="1" applyBorder="1" applyAlignment="1">
      <alignment horizontal="right"/>
    </xf>
  </cellXfs>
  <cellStyles count="1">
    <cellStyle name="Normal" xfId="0" builtinId="0"/>
  </cellStyles>
  <dxfs count="2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>
        <bottom style="thin">
          <color rgb="FF000000"/>
        </bottom>
      </border>
    </dxf>
    <dxf>
      <fill>
        <patternFill patternType="solid">
          <fgColor indexed="64"/>
          <bgColor rgb="FF8EA9DB"/>
        </patternFill>
      </fill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styles" Target="style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customXml" Target="../customXml/item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theme" Target="theme/theme1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microsoft.com/office/2017/10/relationships/person" Target="persons/person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pH</a:t>
            </a:r>
            <a:r>
              <a:rPr lang="nb-NO" baseline="0"/>
              <a:t> basert på biomedie i bruk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Steinsand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Målinger!$C$4:$C$17</c:f>
              <c:numCache>
                <c:formatCode>General</c:formatCode>
                <c:ptCount val="14"/>
                <c:pt idx="0">
                  <c:v>8.1300000000000008</c:v>
                </c:pt>
                <c:pt idx="1">
                  <c:v>8.1199999999999992</c:v>
                </c:pt>
                <c:pt idx="2">
                  <c:v>7.87</c:v>
                </c:pt>
                <c:pt idx="3">
                  <c:v>7.89</c:v>
                </c:pt>
                <c:pt idx="4" formatCode="0.00">
                  <c:v>7.65</c:v>
                </c:pt>
                <c:pt idx="5" formatCode="0.00">
                  <c:v>7.56</c:v>
                </c:pt>
                <c:pt idx="6" formatCode="0.00">
                  <c:v>7.35</c:v>
                </c:pt>
                <c:pt idx="7" formatCode="0.00">
                  <c:v>8.09</c:v>
                </c:pt>
                <c:pt idx="8" formatCode="0.00">
                  <c:v>7.85</c:v>
                </c:pt>
                <c:pt idx="9" formatCode="0.00">
                  <c:v>8.3000000000000007</c:v>
                </c:pt>
                <c:pt idx="10" formatCode="0.00">
                  <c:v>7.73</c:v>
                </c:pt>
                <c:pt idx="11" formatCode="0.00">
                  <c:v>7.89</c:v>
                </c:pt>
                <c:pt idx="12" formatCode="0.00">
                  <c:v>7.97</c:v>
                </c:pt>
                <c:pt idx="13" formatCode="0.00">
                  <c:v>8.23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51-430B-87D0-707E39C0EFC0}"/>
            </c:ext>
          </c:extLst>
        </c:ser>
        <c:ser>
          <c:idx val="2"/>
          <c:order val="1"/>
          <c:tx>
            <c:v>Skjellsand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[1]Målinger!$C$3:$C$16</c:f>
              <c:numCache>
                <c:formatCode>General</c:formatCode>
                <c:ptCount val="14"/>
                <c:pt idx="0">
                  <c:v>7.83</c:v>
                </c:pt>
                <c:pt idx="1">
                  <c:v>8.11</c:v>
                </c:pt>
                <c:pt idx="2">
                  <c:v>8.18</c:v>
                </c:pt>
                <c:pt idx="3">
                  <c:v>8.26</c:v>
                </c:pt>
                <c:pt idx="4">
                  <c:v>8.3800000000000008</c:v>
                </c:pt>
                <c:pt idx="5">
                  <c:v>7.91</c:v>
                </c:pt>
                <c:pt idx="6">
                  <c:v>8.83</c:v>
                </c:pt>
                <c:pt idx="7">
                  <c:v>8.44</c:v>
                </c:pt>
                <c:pt idx="8">
                  <c:v>8.4</c:v>
                </c:pt>
                <c:pt idx="9">
                  <c:v>8.57</c:v>
                </c:pt>
                <c:pt idx="10">
                  <c:v>8.44</c:v>
                </c:pt>
                <c:pt idx="11">
                  <c:v>7.9</c:v>
                </c:pt>
                <c:pt idx="12">
                  <c:v>8.4499999999999993</c:v>
                </c:pt>
                <c:pt idx="13">
                  <c:v>8.44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51-430B-87D0-707E39C0E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40159"/>
        <c:axId val="1138737279"/>
      </c:scatterChart>
      <c:valAx>
        <c:axId val="1138740159"/>
        <c:scaling>
          <c:orientation val="minMax"/>
          <c:max val="1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Dager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38737279"/>
        <c:crosses val="autoZero"/>
        <c:crossBetween val="midCat"/>
        <c:majorUnit val="1"/>
        <c:minorUnit val="0.1"/>
      </c:valAx>
      <c:valAx>
        <c:axId val="1138737279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38740159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969137944125615"/>
          <c:y val="0.87963474078670778"/>
          <c:w val="0.39617279090113738"/>
          <c:h val="0.119792213473315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'pH-reduksjon på 1'!$A$2:$C$2</c:f>
              <c:strCache>
                <c:ptCount val="1"/>
                <c:pt idx="0">
                  <c:v>Forsøk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'pH-reduksjon på 1'!$C$4:$C$8</c:f>
              <c:numCache>
                <c:formatCode>General</c:formatCode>
                <c:ptCount val="5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0.22</c:v>
                </c:pt>
              </c:numCache>
            </c:numRef>
          </c:xVal>
          <c:yVal>
            <c:numRef>
              <c:f>'pH-reduksjon på 1'!$B$4:$B$8</c:f>
              <c:numCache>
                <c:formatCode>General</c:formatCode>
                <c:ptCount val="5"/>
                <c:pt idx="0">
                  <c:v>0</c:v>
                </c:pt>
                <c:pt idx="1">
                  <c:v>0.62999999999999989</c:v>
                </c:pt>
                <c:pt idx="2">
                  <c:v>0.8100000000000005</c:v>
                </c:pt>
                <c:pt idx="3">
                  <c:v>0.94000000000000039</c:v>
                </c:pt>
                <c:pt idx="4">
                  <c:v>1.0300000000000002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86-4568-A090-D41E9676EFA4}"/>
            </c:ext>
          </c:extLst>
        </c:ser>
        <c:ser>
          <c:idx val="1"/>
          <c:order val="1"/>
          <c:tx>
            <c:strRef>
              <c:f>'pH-reduksjon på 1'!$E$2:$G$2</c:f>
              <c:strCache>
                <c:ptCount val="1"/>
                <c:pt idx="0">
                  <c:v>Forsøk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'pH-reduksjon på 1'!$G$4:$G$7</c:f>
              <c:numCache>
                <c:formatCode>General</c:formatCode>
                <c:ptCount val="4"/>
                <c:pt idx="0">
                  <c:v>0</c:v>
                </c:pt>
                <c:pt idx="1">
                  <c:v>0.18</c:v>
                </c:pt>
                <c:pt idx="2">
                  <c:v>0.22</c:v>
                </c:pt>
                <c:pt idx="3">
                  <c:v>0.26</c:v>
                </c:pt>
              </c:numCache>
            </c:numRef>
          </c:xVal>
          <c:yVal>
            <c:numRef>
              <c:f>'pH-reduksjon på 1'!$F$4:$F$7</c:f>
              <c:numCache>
                <c:formatCode>General</c:formatCode>
                <c:ptCount val="4"/>
                <c:pt idx="0">
                  <c:v>0</c:v>
                </c:pt>
                <c:pt idx="1">
                  <c:v>0.66999999999999993</c:v>
                </c:pt>
                <c:pt idx="2">
                  <c:v>0.80999999999999961</c:v>
                </c:pt>
                <c:pt idx="3">
                  <c:v>0.94000000000000039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D86-4568-A090-D41E9676E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4422160"/>
        <c:axId val="1204421200"/>
      </c:scatterChart>
      <c:valAx>
        <c:axId val="1204422160"/>
        <c:scaling>
          <c:orientation val="minMax"/>
          <c:max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Tilsatt</a:t>
                </a:r>
                <a:r>
                  <a:rPr lang="nb-NO" baseline="0"/>
                  <a:t> syre [ml]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04421200"/>
        <c:crosses val="autoZero"/>
        <c:crossBetween val="midCat"/>
      </c:valAx>
      <c:valAx>
        <c:axId val="1204421200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pH-reduksjon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0442216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'pH-reduksjon på 1'!$A$2:$C$2</c:f>
              <c:strCache>
                <c:ptCount val="1"/>
                <c:pt idx="0">
                  <c:v>Forsøk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'pH-reduksjon på 1'!$B$4:$B$8</c:f>
              <c:numCache>
                <c:formatCode>General</c:formatCode>
                <c:ptCount val="5"/>
                <c:pt idx="0">
                  <c:v>0</c:v>
                </c:pt>
                <c:pt idx="1">
                  <c:v>0.62999999999999989</c:v>
                </c:pt>
                <c:pt idx="2">
                  <c:v>0.8100000000000005</c:v>
                </c:pt>
                <c:pt idx="3">
                  <c:v>0.94000000000000039</c:v>
                </c:pt>
                <c:pt idx="4">
                  <c:v>1.0300000000000002</c:v>
                </c:pt>
              </c:numCache>
            </c:numRef>
          </c:xVal>
          <c:yVal>
            <c:numRef>
              <c:f>'pH-reduksjon på 1'!$C$4:$C$8</c:f>
              <c:numCache>
                <c:formatCode>General</c:formatCode>
                <c:ptCount val="5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F9-476B-A1D0-0888E7D45C57}"/>
            </c:ext>
          </c:extLst>
        </c:ser>
        <c:ser>
          <c:idx val="1"/>
          <c:order val="1"/>
          <c:tx>
            <c:strRef>
              <c:f>'pH-reduksjon på 1'!$E$2:$G$2</c:f>
              <c:strCache>
                <c:ptCount val="1"/>
                <c:pt idx="0">
                  <c:v>Forsøk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'pH-reduksjon på 1'!$F$4:$F$7</c:f>
              <c:numCache>
                <c:formatCode>General</c:formatCode>
                <c:ptCount val="4"/>
                <c:pt idx="0">
                  <c:v>0</c:v>
                </c:pt>
                <c:pt idx="1">
                  <c:v>0.66999999999999993</c:v>
                </c:pt>
                <c:pt idx="2">
                  <c:v>0.80999999999999961</c:v>
                </c:pt>
                <c:pt idx="3">
                  <c:v>0.94000000000000039</c:v>
                </c:pt>
              </c:numCache>
            </c:numRef>
          </c:xVal>
          <c:yVal>
            <c:numRef>
              <c:f>'pH-reduksjon på 1'!$G$4:$G$7</c:f>
              <c:numCache>
                <c:formatCode>General</c:formatCode>
                <c:ptCount val="4"/>
                <c:pt idx="0">
                  <c:v>0</c:v>
                </c:pt>
                <c:pt idx="1">
                  <c:v>0.18</c:v>
                </c:pt>
                <c:pt idx="2">
                  <c:v>0.22</c:v>
                </c:pt>
                <c:pt idx="3">
                  <c:v>0.26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F9-476B-A1D0-0888E7D45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4422160"/>
        <c:axId val="1204421200"/>
      </c:scatterChart>
      <c:valAx>
        <c:axId val="120442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pH-reduksjon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04421200"/>
        <c:crosses val="autoZero"/>
        <c:crossBetween val="midCat"/>
        <c:majorUnit val="0.2"/>
      </c:valAx>
      <c:valAx>
        <c:axId val="120442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Tilsattsyre [ml]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04422160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Hypotese</a:t>
            </a:r>
            <a:r>
              <a:rPr lang="nb-NO" baseline="0"/>
              <a:t> 1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Ikke spylt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'Hypotese 1'!$B$3:$B$7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11</c:v>
                </c:pt>
                <c:pt idx="3">
                  <c:v>17</c:v>
                </c:pt>
                <c:pt idx="4">
                  <c:v>30</c:v>
                </c:pt>
              </c:numCache>
            </c:numRef>
          </c:xVal>
          <c:yVal>
            <c:numRef>
              <c:f>'Hypotese 1'!$A$3:$A$7</c:f>
              <c:numCache>
                <c:formatCode>General</c:formatCode>
                <c:ptCount val="5"/>
                <c:pt idx="0">
                  <c:v>7.5</c:v>
                </c:pt>
                <c:pt idx="1">
                  <c:v>8</c:v>
                </c:pt>
                <c:pt idx="2">
                  <c:v>8.1999999999999993</c:v>
                </c:pt>
                <c:pt idx="3">
                  <c:v>8.3000000000000007</c:v>
                </c:pt>
                <c:pt idx="4">
                  <c:v>8.32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91-496E-9095-F5E1067302AA}"/>
            </c:ext>
          </c:extLst>
        </c:ser>
        <c:ser>
          <c:idx val="1"/>
          <c:order val="1"/>
          <c:tx>
            <c:v>Spylt 1 gang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'Hypotese 1'!$D$3:$D$7</c:f>
              <c:numCache>
                <c:formatCode>General</c:formatCode>
                <c:ptCount val="5"/>
                <c:pt idx="0">
                  <c:v>0</c:v>
                </c:pt>
                <c:pt idx="1">
                  <c:v>1.2</c:v>
                </c:pt>
                <c:pt idx="2">
                  <c:v>6.1</c:v>
                </c:pt>
                <c:pt idx="3">
                  <c:v>11.2</c:v>
                </c:pt>
                <c:pt idx="4">
                  <c:v>30</c:v>
                </c:pt>
              </c:numCache>
            </c:numRef>
          </c:xVal>
          <c:yVal>
            <c:numRef>
              <c:f>'Hypotese 1'!$C$3:$C$7</c:f>
              <c:numCache>
                <c:formatCode>General</c:formatCode>
                <c:ptCount val="5"/>
                <c:pt idx="0">
                  <c:v>8.16</c:v>
                </c:pt>
                <c:pt idx="1">
                  <c:v>8.1999999999999993</c:v>
                </c:pt>
                <c:pt idx="2">
                  <c:v>8.3000000000000007</c:v>
                </c:pt>
                <c:pt idx="3">
                  <c:v>8.35</c:v>
                </c:pt>
                <c:pt idx="4">
                  <c:v>8.39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91-496E-9095-F5E1067302AA}"/>
            </c:ext>
          </c:extLst>
        </c:ser>
        <c:ser>
          <c:idx val="2"/>
          <c:order val="2"/>
          <c:tx>
            <c:v>Spylt 4 ganger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'Hypotese 1'!$F$3:$F$7</c:f>
              <c:numCache>
                <c:formatCode>General</c:formatCode>
                <c:ptCount val="5"/>
                <c:pt idx="0">
                  <c:v>0</c:v>
                </c:pt>
                <c:pt idx="1">
                  <c:v>4.45</c:v>
                </c:pt>
                <c:pt idx="2">
                  <c:v>9.57</c:v>
                </c:pt>
                <c:pt idx="3">
                  <c:v>17.5</c:v>
                </c:pt>
                <c:pt idx="4">
                  <c:v>30</c:v>
                </c:pt>
              </c:numCache>
            </c:numRef>
          </c:xVal>
          <c:yVal>
            <c:numRef>
              <c:f>'Hypotese 1'!$E$3:$E$7</c:f>
              <c:numCache>
                <c:formatCode>General</c:formatCode>
                <c:ptCount val="5"/>
                <c:pt idx="0">
                  <c:v>8.11</c:v>
                </c:pt>
                <c:pt idx="1">
                  <c:v>8.1999999999999993</c:v>
                </c:pt>
                <c:pt idx="2">
                  <c:v>8.3000000000000007</c:v>
                </c:pt>
                <c:pt idx="3">
                  <c:v>8.35</c:v>
                </c:pt>
                <c:pt idx="4">
                  <c:v>8.39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91-496E-9095-F5E106730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685136"/>
        <c:axId val="168685616"/>
      </c:scatterChart>
      <c:valAx>
        <c:axId val="168685136"/>
        <c:scaling>
          <c:orientation val="minMax"/>
          <c:max val="3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Tid [minutter]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8685616"/>
        <c:crosses val="autoZero"/>
        <c:crossBetween val="midCat"/>
        <c:majorUnit val="2.5"/>
      </c:valAx>
      <c:valAx>
        <c:axId val="16868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8685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Sammenlikning mellom pH og forskjellige biomedietyper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'Hypotese 2'!$E$1</c:f>
              <c:strCache>
                <c:ptCount val="1"/>
                <c:pt idx="0">
                  <c:v>Skjellsand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'Hypotese 2'!$G$2:$G$12</c:f>
              <c:numCache>
                <c:formatCode>General</c:formatCode>
                <c:ptCount val="11"/>
                <c:pt idx="0">
                  <c:v>0</c:v>
                </c:pt>
                <c:pt idx="1">
                  <c:v>4.5</c:v>
                </c:pt>
                <c:pt idx="2">
                  <c:v>9</c:v>
                </c:pt>
                <c:pt idx="3">
                  <c:v>13.5</c:v>
                </c:pt>
                <c:pt idx="4">
                  <c:v>18</c:v>
                </c:pt>
                <c:pt idx="5">
                  <c:v>22.5</c:v>
                </c:pt>
                <c:pt idx="6">
                  <c:v>27</c:v>
                </c:pt>
                <c:pt idx="7">
                  <c:v>31.5</c:v>
                </c:pt>
                <c:pt idx="8">
                  <c:v>36</c:v>
                </c:pt>
                <c:pt idx="9">
                  <c:v>40.5</c:v>
                </c:pt>
              </c:numCache>
            </c:numRef>
          </c:xVal>
          <c:yVal>
            <c:numRef>
              <c:f>'Hypotese 2'!$F$2:$F$12</c:f>
              <c:numCache>
                <c:formatCode>General</c:formatCode>
                <c:ptCount val="11"/>
                <c:pt idx="0">
                  <c:v>8.49</c:v>
                </c:pt>
                <c:pt idx="1">
                  <c:v>6.49</c:v>
                </c:pt>
                <c:pt idx="2">
                  <c:v>6.64</c:v>
                </c:pt>
                <c:pt idx="3">
                  <c:v>6.8</c:v>
                </c:pt>
                <c:pt idx="4">
                  <c:v>6.97</c:v>
                </c:pt>
                <c:pt idx="5">
                  <c:v>7.15</c:v>
                </c:pt>
                <c:pt idx="6">
                  <c:v>7.46</c:v>
                </c:pt>
                <c:pt idx="7">
                  <c:v>7.55</c:v>
                </c:pt>
                <c:pt idx="8">
                  <c:v>7.68</c:v>
                </c:pt>
                <c:pt idx="9">
                  <c:v>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94-41AF-8558-5025EE2CFCA6}"/>
            </c:ext>
          </c:extLst>
        </c:ser>
        <c:ser>
          <c:idx val="1"/>
          <c:order val="1"/>
          <c:tx>
            <c:v>Steinsand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'Hypotese 2'!$G$14:$G$23</c:f>
              <c:numCache>
                <c:formatCode>General</c:formatCode>
                <c:ptCount val="10"/>
                <c:pt idx="0">
                  <c:v>0</c:v>
                </c:pt>
                <c:pt idx="1">
                  <c:v>4.5</c:v>
                </c:pt>
                <c:pt idx="2">
                  <c:v>9</c:v>
                </c:pt>
                <c:pt idx="3">
                  <c:v>13.5</c:v>
                </c:pt>
                <c:pt idx="4">
                  <c:v>18</c:v>
                </c:pt>
                <c:pt idx="5">
                  <c:v>22.5</c:v>
                </c:pt>
                <c:pt idx="6">
                  <c:v>27</c:v>
                </c:pt>
                <c:pt idx="7">
                  <c:v>31.5</c:v>
                </c:pt>
                <c:pt idx="8">
                  <c:v>36</c:v>
                </c:pt>
                <c:pt idx="9">
                  <c:v>40.5</c:v>
                </c:pt>
              </c:numCache>
            </c:numRef>
          </c:xVal>
          <c:yVal>
            <c:numRef>
              <c:f>'Hypotese 2'!$F$14:$F$23</c:f>
              <c:numCache>
                <c:formatCode>General</c:formatCode>
                <c:ptCount val="10"/>
                <c:pt idx="0">
                  <c:v>8.4</c:v>
                </c:pt>
                <c:pt idx="1">
                  <c:v>6.45</c:v>
                </c:pt>
                <c:pt idx="2">
                  <c:v>6.47</c:v>
                </c:pt>
                <c:pt idx="3">
                  <c:v>6.49</c:v>
                </c:pt>
                <c:pt idx="4">
                  <c:v>6.5</c:v>
                </c:pt>
                <c:pt idx="5">
                  <c:v>6.49</c:v>
                </c:pt>
                <c:pt idx="6">
                  <c:v>6.51</c:v>
                </c:pt>
                <c:pt idx="7">
                  <c:v>6.55</c:v>
                </c:pt>
                <c:pt idx="8">
                  <c:v>6.56</c:v>
                </c:pt>
                <c:pt idx="9">
                  <c:v>6.57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94-41AF-8558-5025EE2CF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21664"/>
        <c:axId val="110122144"/>
      </c:scatterChart>
      <c:valAx>
        <c:axId val="11012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Tid [Minutter]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0122144"/>
        <c:crosses val="autoZero"/>
        <c:crossBetween val="midCat"/>
      </c:valAx>
      <c:valAx>
        <c:axId val="110122144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0121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'Ark1'!$B$5:$B$9</c:f>
              <c:numCache>
                <c:formatCode>General</c:formatCode>
                <c:ptCount val="5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</c:numCache>
            </c:numRef>
          </c:xVal>
          <c:yVal>
            <c:numRef>
              <c:f>'Ark1'!$E$5:$E$9</c:f>
              <c:numCache>
                <c:formatCode>0.000</c:formatCode>
                <c:ptCount val="5"/>
                <c:pt idx="0">
                  <c:v>0.105</c:v>
                </c:pt>
                <c:pt idx="1">
                  <c:v>0.34549999999999997</c:v>
                </c:pt>
                <c:pt idx="2">
                  <c:v>0.56099999999999994</c:v>
                </c:pt>
                <c:pt idx="3">
                  <c:v>0.77950000000000008</c:v>
                </c:pt>
                <c:pt idx="4">
                  <c:v>0.97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CD-44CB-8DC8-9696005C2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0191103"/>
        <c:axId val="1208906271"/>
      </c:scatterChart>
      <c:valAx>
        <c:axId val="12001911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08906271"/>
        <c:crosses val="autoZero"/>
        <c:crossBetween val="midCat"/>
      </c:valAx>
      <c:valAx>
        <c:axId val="1208906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001911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'Ark1'!$M$5:$M$9</c:f>
              <c:numCache>
                <c:formatCode>General</c:formatCode>
                <c:ptCount val="5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</c:numCache>
            </c:numRef>
          </c:xVal>
          <c:yVal>
            <c:numRef>
              <c:f>'Ark1'!$P$5:$P$9</c:f>
              <c:numCache>
                <c:formatCode>General</c:formatCode>
                <c:ptCount val="5"/>
                <c:pt idx="0">
                  <c:v>0.16800000000000001</c:v>
                </c:pt>
                <c:pt idx="1">
                  <c:v>0.48099999999999998</c:v>
                </c:pt>
                <c:pt idx="2">
                  <c:v>0.64050000000000007</c:v>
                </c:pt>
                <c:pt idx="3">
                  <c:v>0.80899999999999994</c:v>
                </c:pt>
                <c:pt idx="4">
                  <c:v>1.0030000000000001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25-48B8-9CC4-D8A57370B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224575"/>
        <c:axId val="1214153999"/>
      </c:scatterChart>
      <c:valAx>
        <c:axId val="602224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14153999"/>
        <c:crosses val="autoZero"/>
        <c:crossBetween val="midCat"/>
      </c:valAx>
      <c:valAx>
        <c:axId val="1214153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02224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'Ark1'!$E$29</c:f>
              <c:strCache>
                <c:ptCount val="1"/>
                <c:pt idx="0">
                  <c:v>Abs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'Ark1'!$D$30:$D$34</c:f>
              <c:numCache>
                <c:formatCode>General</c:formatCode>
                <c:ptCount val="5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  <c:pt idx="4">
                  <c:v>900</c:v>
                </c:pt>
              </c:numCache>
            </c:numRef>
          </c:xVal>
          <c:yVal>
            <c:numRef>
              <c:f>'Ark1'!$E$30:$E$34</c:f>
              <c:numCache>
                <c:formatCode>General</c:formatCode>
                <c:ptCount val="5"/>
                <c:pt idx="0">
                  <c:v>0.105</c:v>
                </c:pt>
                <c:pt idx="1">
                  <c:v>0.34549999999999997</c:v>
                </c:pt>
                <c:pt idx="2">
                  <c:v>0.56099999999999994</c:v>
                </c:pt>
                <c:pt idx="3">
                  <c:v>0.77950000000000008</c:v>
                </c:pt>
                <c:pt idx="4">
                  <c:v>0.97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D5-4ED0-9F6B-EBD6B9ACF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554095"/>
        <c:axId val="888196895"/>
      </c:scatterChart>
      <c:valAx>
        <c:axId val="1189554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88196895"/>
        <c:crosses val="autoZero"/>
        <c:crossBetween val="midCat"/>
      </c:valAx>
      <c:valAx>
        <c:axId val="88819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89554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Ph vs Alkalitet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Alkalitet!$B$14:$B$61</c:f>
              <c:numCache>
                <c:formatCode>General</c:formatCode>
                <c:ptCount val="4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</c:numCache>
            </c:numRef>
          </c:xVal>
          <c:yVal>
            <c:numRef>
              <c:f>Alkalitet!$D$14:$D$61</c:f>
              <c:numCache>
                <c:formatCode>General</c:formatCode>
                <c:ptCount val="48"/>
                <c:pt idx="0">
                  <c:v>32</c:v>
                </c:pt>
                <c:pt idx="1">
                  <c:v>38</c:v>
                </c:pt>
                <c:pt idx="2">
                  <c:v>108</c:v>
                </c:pt>
                <c:pt idx="3">
                  <c:v>106</c:v>
                </c:pt>
                <c:pt idx="4">
                  <c:v>32</c:v>
                </c:pt>
                <c:pt idx="5">
                  <c:v>98</c:v>
                </c:pt>
                <c:pt idx="6">
                  <c:v>66.000000000000014</c:v>
                </c:pt>
                <c:pt idx="7">
                  <c:v>64</c:v>
                </c:pt>
                <c:pt idx="8">
                  <c:v>62.000000000000007</c:v>
                </c:pt>
                <c:pt idx="9">
                  <c:v>60</c:v>
                </c:pt>
                <c:pt idx="10">
                  <c:v>56</c:v>
                </c:pt>
                <c:pt idx="11">
                  <c:v>82</c:v>
                </c:pt>
                <c:pt idx="12">
                  <c:v>108</c:v>
                </c:pt>
                <c:pt idx="13">
                  <c:v>74.000000000000014</c:v>
                </c:pt>
                <c:pt idx="14">
                  <c:v>70.000000000000014</c:v>
                </c:pt>
                <c:pt idx="15">
                  <c:v>68</c:v>
                </c:pt>
                <c:pt idx="16">
                  <c:v>52</c:v>
                </c:pt>
                <c:pt idx="17">
                  <c:v>60</c:v>
                </c:pt>
                <c:pt idx="18">
                  <c:v>50</c:v>
                </c:pt>
                <c:pt idx="19">
                  <c:v>48</c:v>
                </c:pt>
                <c:pt idx="20">
                  <c:v>44</c:v>
                </c:pt>
                <c:pt idx="21">
                  <c:v>30</c:v>
                </c:pt>
                <c:pt idx="22">
                  <c:v>48</c:v>
                </c:pt>
                <c:pt idx="23">
                  <c:v>10</c:v>
                </c:pt>
                <c:pt idx="24">
                  <c:v>54</c:v>
                </c:pt>
                <c:pt idx="25">
                  <c:v>50</c:v>
                </c:pt>
                <c:pt idx="26">
                  <c:v>44</c:v>
                </c:pt>
                <c:pt idx="27">
                  <c:v>20</c:v>
                </c:pt>
                <c:pt idx="28">
                  <c:v>50</c:v>
                </c:pt>
                <c:pt idx="29">
                  <c:v>72.000000000000014</c:v>
                </c:pt>
                <c:pt idx="30">
                  <c:v>42</c:v>
                </c:pt>
                <c:pt idx="31">
                  <c:v>20</c:v>
                </c:pt>
                <c:pt idx="32">
                  <c:v>28</c:v>
                </c:pt>
                <c:pt idx="33">
                  <c:v>14</c:v>
                </c:pt>
                <c:pt idx="34">
                  <c:v>58</c:v>
                </c:pt>
                <c:pt idx="35">
                  <c:v>42</c:v>
                </c:pt>
                <c:pt idx="36">
                  <c:v>24</c:v>
                </c:pt>
                <c:pt idx="37">
                  <c:v>44</c:v>
                </c:pt>
                <c:pt idx="38">
                  <c:v>36.000000000000007</c:v>
                </c:pt>
                <c:pt idx="39">
                  <c:v>58</c:v>
                </c:pt>
                <c:pt idx="40">
                  <c:v>42</c:v>
                </c:pt>
                <c:pt idx="41">
                  <c:v>34.000000000000007</c:v>
                </c:pt>
                <c:pt idx="42">
                  <c:v>20</c:v>
                </c:pt>
                <c:pt idx="43">
                  <c:v>34.000000000000007</c:v>
                </c:pt>
                <c:pt idx="44">
                  <c:v>78</c:v>
                </c:pt>
                <c:pt idx="45">
                  <c:v>68.000000000000014</c:v>
                </c:pt>
                <c:pt idx="46">
                  <c:v>70.000000000000014</c:v>
                </c:pt>
                <c:pt idx="47">
                  <c:v>62.000000000000007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3E-4F90-AEA6-9650D87D9DED}"/>
            </c:ext>
          </c:extLst>
        </c:ser>
        <c:ser>
          <c:idx val="2"/>
          <c:order val="2"/>
          <c:tx>
            <c:v>Bakt.kult 1 tilsatt</c:v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Alkalitet!$I$33:$I$34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Alkalitet!$J$33:$J$34</c:f>
              <c:numCache>
                <c:formatCode>General</c:formatCode>
                <c:ptCount val="2"/>
                <c:pt idx="0">
                  <c:v>0</c:v>
                </c:pt>
                <c:pt idx="1">
                  <c:v>140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93E-4F90-AEA6-9650D87D9DED}"/>
            </c:ext>
          </c:extLst>
        </c:ser>
        <c:ser>
          <c:idx val="3"/>
          <c:order val="3"/>
          <c:tx>
            <c:v>Bakt.kult 2 tilsatt</c:v>
          </c:tx>
          <c:spPr>
            <a:ln w="190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Alkalitet!$K$33:$K$34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xVal>
          <c:yVal>
            <c:numRef>
              <c:f>Alkalitet!$L$33:$L$34</c:f>
              <c:numCache>
                <c:formatCode>General</c:formatCode>
                <c:ptCount val="2"/>
                <c:pt idx="0">
                  <c:v>0</c:v>
                </c:pt>
                <c:pt idx="1">
                  <c:v>140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93E-4F90-AEA6-9650D87D9DED}"/>
            </c:ext>
          </c:extLst>
        </c:ser>
        <c:ser>
          <c:idx val="4"/>
          <c:order val="4"/>
          <c:tx>
            <c:v>Start trinn 1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Alkalitet!$M$33:$M$34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Alkalitet!$N$33:$N$34</c:f>
              <c:numCache>
                <c:formatCode>General</c:formatCode>
                <c:ptCount val="2"/>
                <c:pt idx="0">
                  <c:v>0</c:v>
                </c:pt>
                <c:pt idx="1">
                  <c:v>140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B9-427A-B247-F6D7E9ABF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631088"/>
        <c:axId val="164608160"/>
      </c:scatterChart>
      <c:scatterChart>
        <c:scatterStyle val="smoothMarker"/>
        <c:varyColors val="0"/>
        <c:ser>
          <c:idx val="1"/>
          <c:order val="1"/>
          <c:tx>
            <c:v>Alkalitet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Alkalitet!$B$14:$B$61</c:f>
              <c:numCache>
                <c:formatCode>General</c:formatCode>
                <c:ptCount val="4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</c:numCache>
            </c:numRef>
          </c:xVal>
          <c:yVal>
            <c:numRef>
              <c:f>Alkalitet!$E$14:$E$61</c:f>
              <c:numCache>
                <c:formatCode>0.00</c:formatCode>
                <c:ptCount val="48"/>
                <c:pt idx="0">
                  <c:v>7.35</c:v>
                </c:pt>
                <c:pt idx="1">
                  <c:v>8.09</c:v>
                </c:pt>
                <c:pt idx="2">
                  <c:v>7.85</c:v>
                </c:pt>
                <c:pt idx="3">
                  <c:v>8.5399999999999991</c:v>
                </c:pt>
                <c:pt idx="4">
                  <c:v>7.73</c:v>
                </c:pt>
                <c:pt idx="5">
                  <c:v>7.89</c:v>
                </c:pt>
                <c:pt idx="6">
                  <c:v>7.97</c:v>
                </c:pt>
                <c:pt idx="7">
                  <c:v>8.23</c:v>
                </c:pt>
                <c:pt idx="8">
                  <c:v>7.02</c:v>
                </c:pt>
                <c:pt idx="9">
                  <c:v>8.14</c:v>
                </c:pt>
                <c:pt idx="10">
                  <c:v>7.7</c:v>
                </c:pt>
                <c:pt idx="11">
                  <c:v>7.66</c:v>
                </c:pt>
                <c:pt idx="12">
                  <c:v>7.8</c:v>
                </c:pt>
                <c:pt idx="13">
                  <c:v>7.85</c:v>
                </c:pt>
                <c:pt idx="14">
                  <c:v>8.1199999999999992</c:v>
                </c:pt>
                <c:pt idx="15">
                  <c:v>8.15</c:v>
                </c:pt>
                <c:pt idx="16">
                  <c:v>8.14</c:v>
                </c:pt>
                <c:pt idx="17">
                  <c:v>7.75</c:v>
                </c:pt>
                <c:pt idx="18">
                  <c:v>7.71</c:v>
                </c:pt>
                <c:pt idx="19">
                  <c:v>7.9</c:v>
                </c:pt>
                <c:pt idx="20">
                  <c:v>7.59</c:v>
                </c:pt>
                <c:pt idx="21">
                  <c:v>7.49</c:v>
                </c:pt>
                <c:pt idx="22">
                  <c:v>7.63</c:v>
                </c:pt>
                <c:pt idx="23">
                  <c:v>6.92</c:v>
                </c:pt>
                <c:pt idx="24">
                  <c:v>7.87</c:v>
                </c:pt>
                <c:pt idx="25">
                  <c:v>8</c:v>
                </c:pt>
                <c:pt idx="26">
                  <c:v>7.9</c:v>
                </c:pt>
                <c:pt idx="27">
                  <c:v>7.15</c:v>
                </c:pt>
                <c:pt idx="28">
                  <c:v>7.82</c:v>
                </c:pt>
                <c:pt idx="29">
                  <c:v>8.18</c:v>
                </c:pt>
                <c:pt idx="30">
                  <c:v>7.7</c:v>
                </c:pt>
                <c:pt idx="31">
                  <c:v>7.11</c:v>
                </c:pt>
                <c:pt idx="32">
                  <c:v>7.14</c:v>
                </c:pt>
                <c:pt idx="33">
                  <c:v>7.05</c:v>
                </c:pt>
                <c:pt idx="34">
                  <c:v>8</c:v>
                </c:pt>
                <c:pt idx="35" formatCode="General">
                  <c:v>7.87</c:v>
                </c:pt>
                <c:pt idx="36" formatCode="General">
                  <c:v>7.28</c:v>
                </c:pt>
                <c:pt idx="37" formatCode="General">
                  <c:v>8.17</c:v>
                </c:pt>
                <c:pt idx="38" formatCode="General">
                  <c:v>7.48</c:v>
                </c:pt>
                <c:pt idx="39" formatCode="General">
                  <c:v>8.07</c:v>
                </c:pt>
                <c:pt idx="40" formatCode="General">
                  <c:v>7.63</c:v>
                </c:pt>
                <c:pt idx="41" formatCode="General">
                  <c:v>7.16</c:v>
                </c:pt>
                <c:pt idx="42" formatCode="General">
                  <c:v>7.23</c:v>
                </c:pt>
                <c:pt idx="43" formatCode="General">
                  <c:v>7.36</c:v>
                </c:pt>
                <c:pt idx="44" formatCode="General">
                  <c:v>7.25</c:v>
                </c:pt>
                <c:pt idx="45" formatCode="General">
                  <c:v>8.1999999999999993</c:v>
                </c:pt>
                <c:pt idx="46" formatCode="General">
                  <c:v>8.19</c:v>
                </c:pt>
                <c:pt idx="47" formatCode="General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3E-4F90-AEA6-9650D87D9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916640"/>
        <c:axId val="2123922400"/>
      </c:scatterChart>
      <c:valAx>
        <c:axId val="171631088"/>
        <c:scaling>
          <c:orientation val="minMax"/>
          <c:max val="26"/>
          <c:min val="-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Dager</a:t>
                </a:r>
                <a:r>
                  <a:rPr lang="nb-NO" baseline="0"/>
                  <a:t> modning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608160"/>
        <c:crosses val="autoZero"/>
        <c:crossBetween val="midCat"/>
        <c:majorUnit val="2"/>
      </c:valAx>
      <c:valAx>
        <c:axId val="16460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Alkalitet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1631088"/>
        <c:crosses val="autoZero"/>
        <c:crossBetween val="midCat"/>
      </c:valAx>
      <c:valAx>
        <c:axId val="2123922400"/>
        <c:scaling>
          <c:orientation val="minMax"/>
          <c:min val="6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23916640"/>
        <c:crosses val="max"/>
        <c:crossBetween val="midCat"/>
      </c:valAx>
      <c:valAx>
        <c:axId val="212391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3922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Modning</a:t>
            </a:r>
            <a:r>
              <a:rPr lang="nb-NO" baseline="0"/>
              <a:t> biofilter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Ammonium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'Modning biofilter'!$B$17:$B$48</c:f>
              <c:numCache>
                <c:formatCode>General</c:formatCode>
                <c:ptCount val="32"/>
                <c:pt idx="0">
                  <c:v>3.65</c:v>
                </c:pt>
                <c:pt idx="1">
                  <c:v>3.71</c:v>
                </c:pt>
                <c:pt idx="2">
                  <c:v>3.75</c:v>
                </c:pt>
                <c:pt idx="3">
                  <c:v>3.5</c:v>
                </c:pt>
                <c:pt idx="4">
                  <c:v>3.59</c:v>
                </c:pt>
                <c:pt idx="5">
                  <c:v>3.31</c:v>
                </c:pt>
                <c:pt idx="6">
                  <c:v>3.88</c:v>
                </c:pt>
                <c:pt idx="7">
                  <c:v>3.64</c:v>
                </c:pt>
                <c:pt idx="8">
                  <c:v>3.89</c:v>
                </c:pt>
                <c:pt idx="9">
                  <c:v>3.77</c:v>
                </c:pt>
                <c:pt idx="10">
                  <c:v>3.87</c:v>
                </c:pt>
                <c:pt idx="11">
                  <c:v>3.66</c:v>
                </c:pt>
                <c:pt idx="12">
                  <c:v>3.61</c:v>
                </c:pt>
                <c:pt idx="13">
                  <c:v>2.87</c:v>
                </c:pt>
                <c:pt idx="14">
                  <c:v>3.84</c:v>
                </c:pt>
                <c:pt idx="15">
                  <c:v>3.63</c:v>
                </c:pt>
                <c:pt idx="16">
                  <c:v>3.38</c:v>
                </c:pt>
                <c:pt idx="17">
                  <c:v>3.21</c:v>
                </c:pt>
                <c:pt idx="18">
                  <c:v>1.6180000000000001</c:v>
                </c:pt>
                <c:pt idx="19">
                  <c:v>0.114</c:v>
                </c:pt>
                <c:pt idx="20">
                  <c:v>4.5999999999999999E-2</c:v>
                </c:pt>
                <c:pt idx="21">
                  <c:v>4.1000000000000002E-2</c:v>
                </c:pt>
                <c:pt idx="22">
                  <c:v>4.3999999999999997E-2</c:v>
                </c:pt>
                <c:pt idx="23">
                  <c:v>3.1E-2</c:v>
                </c:pt>
                <c:pt idx="24">
                  <c:v>3.5999999999999997E-2</c:v>
                </c:pt>
                <c:pt idx="25">
                  <c:v>3.2000000000000001E-2</c:v>
                </c:pt>
                <c:pt idx="26">
                  <c:v>2.8000000000000001E-2</c:v>
                </c:pt>
                <c:pt idx="27">
                  <c:v>3.7999999999999999E-2</c:v>
                </c:pt>
                <c:pt idx="28">
                  <c:v>0.85099999999999998</c:v>
                </c:pt>
                <c:pt idx="29">
                  <c:v>3.5999999999999997E-2</c:v>
                </c:pt>
                <c:pt idx="30">
                  <c:v>4.4999999999999998E-2</c:v>
                </c:pt>
                <c:pt idx="3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A-4508-8425-6925FD12462E}"/>
            </c:ext>
          </c:extLst>
        </c:ser>
        <c:ser>
          <c:idx val="2"/>
          <c:order val="1"/>
          <c:tx>
            <c:v>Nitritt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'Modning biofilter'!$C$17:$C$48</c:f>
              <c:numCache>
                <c:formatCode>General</c:formatCode>
                <c:ptCount val="32"/>
                <c:pt idx="0">
                  <c:v>0</c:v>
                </c:pt>
                <c:pt idx="1">
                  <c:v>1.7611352</c:v>
                </c:pt>
                <c:pt idx="2">
                  <c:v>1.9418486999999998</c:v>
                </c:pt>
                <c:pt idx="3">
                  <c:v>1.9615628999999999</c:v>
                </c:pt>
                <c:pt idx="4">
                  <c:v>1.9714199999999997</c:v>
                </c:pt>
                <c:pt idx="5">
                  <c:v>1.9188487999999997</c:v>
                </c:pt>
                <c:pt idx="6">
                  <c:v>1.8991345999999998</c:v>
                </c:pt>
                <c:pt idx="7">
                  <c:v>1.8301349</c:v>
                </c:pt>
                <c:pt idx="8">
                  <c:v>1.8005636</c:v>
                </c:pt>
                <c:pt idx="9">
                  <c:v>1.8038493</c:v>
                </c:pt>
                <c:pt idx="10">
                  <c:v>1.8038493</c:v>
                </c:pt>
                <c:pt idx="11">
                  <c:v>1.7217068</c:v>
                </c:pt>
                <c:pt idx="12">
                  <c:v>1.7019926000000001</c:v>
                </c:pt>
                <c:pt idx="13">
                  <c:v>1.6888498000000001</c:v>
                </c:pt>
                <c:pt idx="14">
                  <c:v>1.6099929999999998</c:v>
                </c:pt>
                <c:pt idx="15">
                  <c:v>1.5837073999999998</c:v>
                </c:pt>
                <c:pt idx="16">
                  <c:v>2.0075626999999998</c:v>
                </c:pt>
                <c:pt idx="17">
                  <c:v>4.2845528000000002</c:v>
                </c:pt>
                <c:pt idx="18">
                  <c:v>11.223951199999998</c:v>
                </c:pt>
                <c:pt idx="19">
                  <c:v>22.605615999999994</c:v>
                </c:pt>
                <c:pt idx="20">
                  <c:v>33.711281999999997</c:v>
                </c:pt>
                <c:pt idx="21">
                  <c:v>43.502668</c:v>
                </c:pt>
                <c:pt idx="22">
                  <c:v>53.543767199999998</c:v>
                </c:pt>
                <c:pt idx="23">
                  <c:v>45.9998</c:v>
                </c:pt>
                <c:pt idx="24">
                  <c:v>68.638272999999998</c:v>
                </c:pt>
                <c:pt idx="25">
                  <c:v>85.099630000000005</c:v>
                </c:pt>
                <c:pt idx="26">
                  <c:v>93.445307999999983</c:v>
                </c:pt>
                <c:pt idx="27">
                  <c:v>106.94953500000001</c:v>
                </c:pt>
                <c:pt idx="28">
                  <c:v>116.149495</c:v>
                </c:pt>
                <c:pt idx="29">
                  <c:v>117.529489</c:v>
                </c:pt>
                <c:pt idx="30">
                  <c:v>134.31941599999999</c:v>
                </c:pt>
                <c:pt idx="31">
                  <c:v>153.639332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A-4508-8425-6925FD12462E}"/>
            </c:ext>
          </c:extLst>
        </c:ser>
        <c:ser>
          <c:idx val="3"/>
          <c:order val="2"/>
          <c:tx>
            <c:v>Nitrat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'Modning biofilter'!$D$17:$D$48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8.4112999999999989</c:v>
                </c:pt>
                <c:pt idx="19">
                  <c:v>14.166399999999999</c:v>
                </c:pt>
                <c:pt idx="20">
                  <c:v>24.791199999999996</c:v>
                </c:pt>
                <c:pt idx="21">
                  <c:v>26.561999999999998</c:v>
                </c:pt>
                <c:pt idx="22">
                  <c:v>38.51489999999999</c:v>
                </c:pt>
                <c:pt idx="23">
                  <c:v>42.0565</c:v>
                </c:pt>
                <c:pt idx="24">
                  <c:v>31.874399999999998</c:v>
                </c:pt>
                <c:pt idx="25">
                  <c:v>41.171100000000003</c:v>
                </c:pt>
                <c:pt idx="26">
                  <c:v>44.712699999999991</c:v>
                </c:pt>
                <c:pt idx="27">
                  <c:v>49.582399999999993</c:v>
                </c:pt>
                <c:pt idx="28">
                  <c:v>56.222899999999989</c:v>
                </c:pt>
                <c:pt idx="29">
                  <c:v>66.405000000000001</c:v>
                </c:pt>
                <c:pt idx="30">
                  <c:v>57.550999999999995</c:v>
                </c:pt>
                <c:pt idx="31">
                  <c:v>79.243299999999991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DA-4508-8425-6925FD124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114559"/>
        <c:axId val="1277121215"/>
      </c:lineChart>
      <c:catAx>
        <c:axId val="12771145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Dager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7121215"/>
        <c:crosses val="autoZero"/>
        <c:auto val="1"/>
        <c:lblAlgn val="ctr"/>
        <c:lblOffset val="100"/>
        <c:noMultiLvlLbl val="0"/>
      </c:catAx>
      <c:valAx>
        <c:axId val="1277121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Nitrogen 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7114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Modning av biofilter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Ammonium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'Modning biofilter'!$A$9:$A$50</c:f>
              <c:numCache>
                <c:formatCode>General</c:formatCode>
                <c:ptCount val="42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</c:numCache>
            </c:numRef>
          </c:xVal>
          <c:yVal>
            <c:numRef>
              <c:f>'Modning biofilter'!$B$9:$B$50</c:f>
              <c:numCache>
                <c:formatCode>General</c:formatCode>
                <c:ptCount val="42"/>
                <c:pt idx="0">
                  <c:v>0</c:v>
                </c:pt>
                <c:pt idx="1">
                  <c:v>1.05</c:v>
                </c:pt>
                <c:pt idx="2">
                  <c:v>2.25</c:v>
                </c:pt>
                <c:pt idx="3">
                  <c:v>2.85</c:v>
                </c:pt>
                <c:pt idx="4">
                  <c:v>3</c:v>
                </c:pt>
                <c:pt idx="5">
                  <c:v>3.05</c:v>
                </c:pt>
                <c:pt idx="6">
                  <c:v>3.6</c:v>
                </c:pt>
                <c:pt idx="7">
                  <c:v>3.68</c:v>
                </c:pt>
                <c:pt idx="8">
                  <c:v>3.65</c:v>
                </c:pt>
                <c:pt idx="9">
                  <c:v>3.71</c:v>
                </c:pt>
                <c:pt idx="10">
                  <c:v>3.75</c:v>
                </c:pt>
                <c:pt idx="11">
                  <c:v>3.5</c:v>
                </c:pt>
                <c:pt idx="12">
                  <c:v>3.59</c:v>
                </c:pt>
                <c:pt idx="13">
                  <c:v>3.31</c:v>
                </c:pt>
                <c:pt idx="14">
                  <c:v>3.88</c:v>
                </c:pt>
                <c:pt idx="15">
                  <c:v>3.64</c:v>
                </c:pt>
                <c:pt idx="16">
                  <c:v>3.89</c:v>
                </c:pt>
                <c:pt idx="17">
                  <c:v>3.77</c:v>
                </c:pt>
                <c:pt idx="18">
                  <c:v>3.87</c:v>
                </c:pt>
                <c:pt idx="19">
                  <c:v>3.66</c:v>
                </c:pt>
                <c:pt idx="20">
                  <c:v>3.61</c:v>
                </c:pt>
                <c:pt idx="21">
                  <c:v>2.87</c:v>
                </c:pt>
                <c:pt idx="22">
                  <c:v>3.84</c:v>
                </c:pt>
                <c:pt idx="23">
                  <c:v>3.63</c:v>
                </c:pt>
                <c:pt idx="24">
                  <c:v>3.38</c:v>
                </c:pt>
                <c:pt idx="25">
                  <c:v>3.21</c:v>
                </c:pt>
                <c:pt idx="26">
                  <c:v>1.6180000000000001</c:v>
                </c:pt>
                <c:pt idx="27">
                  <c:v>0.114</c:v>
                </c:pt>
                <c:pt idx="28">
                  <c:v>4.5999999999999999E-2</c:v>
                </c:pt>
                <c:pt idx="29">
                  <c:v>4.1000000000000002E-2</c:v>
                </c:pt>
                <c:pt idx="30">
                  <c:v>4.3999999999999997E-2</c:v>
                </c:pt>
                <c:pt idx="31">
                  <c:v>3.1E-2</c:v>
                </c:pt>
                <c:pt idx="32">
                  <c:v>3.5999999999999997E-2</c:v>
                </c:pt>
                <c:pt idx="33">
                  <c:v>3.2000000000000001E-2</c:v>
                </c:pt>
                <c:pt idx="34">
                  <c:v>2.8000000000000001E-2</c:v>
                </c:pt>
                <c:pt idx="35">
                  <c:v>3.7999999999999999E-2</c:v>
                </c:pt>
                <c:pt idx="36">
                  <c:v>0.85099999999999998</c:v>
                </c:pt>
                <c:pt idx="37">
                  <c:v>3.5999999999999997E-2</c:v>
                </c:pt>
                <c:pt idx="38">
                  <c:v>4.4999999999999998E-2</c:v>
                </c:pt>
                <c:pt idx="39">
                  <c:v>4.4999999999999998E-2</c:v>
                </c:pt>
                <c:pt idx="40">
                  <c:v>0.04</c:v>
                </c:pt>
                <c:pt idx="41">
                  <c:v>4.4999999999999998E-2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12-40CC-8500-E836D9F48338}"/>
            </c:ext>
          </c:extLst>
        </c:ser>
        <c:ser>
          <c:idx val="3"/>
          <c:order val="3"/>
          <c:tx>
            <c:v>Bakt.kult tilsatt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'Modning biofilter'!$H$34:$H$35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'Modning biofilter'!$I$34:$I$35</c:f>
              <c:numCache>
                <c:formatCode>General</c:formatCode>
                <c:ptCount val="2"/>
                <c:pt idx="0">
                  <c:v>0</c:v>
                </c:pt>
                <c:pt idx="1">
                  <c:v>4.5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4F-4910-9746-DC84321C895B}"/>
            </c:ext>
          </c:extLst>
        </c:ser>
        <c:ser>
          <c:idx val="4"/>
          <c:order val="4"/>
          <c:tx>
            <c:v>Bakt.kult 2 tilsatt</c:v>
          </c:tx>
          <c:spPr>
            <a:ln w="190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'Modning biofilter'!$J$34:$J$35</c:f>
              <c:numCache>
                <c:formatCode>General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xVal>
          <c:yVal>
            <c:numRef>
              <c:f>'Modning biofilter'!$K$34:$K$35</c:f>
              <c:numCache>
                <c:formatCode>General</c:formatCode>
                <c:ptCount val="2"/>
                <c:pt idx="0">
                  <c:v>0</c:v>
                </c:pt>
                <c:pt idx="1">
                  <c:v>4.5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4F-4910-9746-DC84321C895B}"/>
            </c:ext>
          </c:extLst>
        </c:ser>
        <c:ser>
          <c:idx val="5"/>
          <c:order val="5"/>
          <c:tx>
            <c:v>Start trinn 1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'Modning biofilter'!$L$34:$L$35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'Modning biofilter'!$M$34:$M$35</c:f>
              <c:numCache>
                <c:formatCode>General</c:formatCode>
                <c:ptCount val="2"/>
                <c:pt idx="0">
                  <c:v>0</c:v>
                </c:pt>
                <c:pt idx="1">
                  <c:v>4.5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B4F-4910-9746-DC84321C8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6776815"/>
        <c:axId val="1226778255"/>
      </c:scatterChart>
      <c:scatterChart>
        <c:scatterStyle val="smoothMarker"/>
        <c:varyColors val="0"/>
        <c:ser>
          <c:idx val="1"/>
          <c:order val="1"/>
          <c:tx>
            <c:v>Nitritt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'Modning biofilter'!$A$9:$A$50</c:f>
              <c:numCache>
                <c:formatCode>General</c:formatCode>
                <c:ptCount val="42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</c:numCache>
            </c:numRef>
          </c:xVal>
          <c:yVal>
            <c:numRef>
              <c:f>'Modning biofilter'!$C$9:$C$50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1.7611352</c:v>
                </c:pt>
                <c:pt idx="10">
                  <c:v>1.9418486999999998</c:v>
                </c:pt>
                <c:pt idx="11">
                  <c:v>1.9615628999999999</c:v>
                </c:pt>
                <c:pt idx="12">
                  <c:v>1.9714199999999997</c:v>
                </c:pt>
                <c:pt idx="13">
                  <c:v>1.9188487999999997</c:v>
                </c:pt>
                <c:pt idx="14">
                  <c:v>1.8991345999999998</c:v>
                </c:pt>
                <c:pt idx="15">
                  <c:v>1.8301349</c:v>
                </c:pt>
                <c:pt idx="16">
                  <c:v>1.8005636</c:v>
                </c:pt>
                <c:pt idx="17">
                  <c:v>1.8038493</c:v>
                </c:pt>
                <c:pt idx="18">
                  <c:v>1.8038493</c:v>
                </c:pt>
                <c:pt idx="19">
                  <c:v>1.7217068</c:v>
                </c:pt>
                <c:pt idx="20">
                  <c:v>1.7019926000000001</c:v>
                </c:pt>
                <c:pt idx="21">
                  <c:v>1.6888498000000001</c:v>
                </c:pt>
                <c:pt idx="22">
                  <c:v>1.6099929999999998</c:v>
                </c:pt>
                <c:pt idx="23">
                  <c:v>1.5837073999999998</c:v>
                </c:pt>
                <c:pt idx="24">
                  <c:v>2.0075626999999998</c:v>
                </c:pt>
                <c:pt idx="25">
                  <c:v>4.2845528000000002</c:v>
                </c:pt>
                <c:pt idx="26">
                  <c:v>11.223951199999998</c:v>
                </c:pt>
                <c:pt idx="27">
                  <c:v>22.605615999999994</c:v>
                </c:pt>
                <c:pt idx="28">
                  <c:v>33.711281999999997</c:v>
                </c:pt>
                <c:pt idx="29">
                  <c:v>43.502668</c:v>
                </c:pt>
                <c:pt idx="30">
                  <c:v>53.543767199999998</c:v>
                </c:pt>
                <c:pt idx="31">
                  <c:v>45.9998</c:v>
                </c:pt>
                <c:pt idx="32">
                  <c:v>68.638272999999998</c:v>
                </c:pt>
                <c:pt idx="33">
                  <c:v>85.099630000000005</c:v>
                </c:pt>
                <c:pt idx="34">
                  <c:v>93.445307999999983</c:v>
                </c:pt>
                <c:pt idx="35">
                  <c:v>106.94953500000001</c:v>
                </c:pt>
                <c:pt idx="36">
                  <c:v>116.149495</c:v>
                </c:pt>
                <c:pt idx="37">
                  <c:v>117.529489</c:v>
                </c:pt>
                <c:pt idx="38">
                  <c:v>134.31941599999999</c:v>
                </c:pt>
                <c:pt idx="39">
                  <c:v>153.639332</c:v>
                </c:pt>
                <c:pt idx="40">
                  <c:v>166.19070600000001</c:v>
                </c:pt>
                <c:pt idx="41">
                  <c:v>173.55067400000001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12-40CC-8500-E836D9F48338}"/>
            </c:ext>
          </c:extLst>
        </c:ser>
        <c:ser>
          <c:idx val="2"/>
          <c:order val="2"/>
          <c:tx>
            <c:v>Nitrat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'Modning biofilter'!$A$9:$A$50</c:f>
              <c:numCache>
                <c:formatCode>General</c:formatCode>
                <c:ptCount val="42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</c:numCache>
            </c:numRef>
          </c:xVal>
          <c:yVal>
            <c:numRef>
              <c:f>'Modning biofilter'!$D$9:$D$50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8.4112999999999989</c:v>
                </c:pt>
                <c:pt idx="27">
                  <c:v>14.166399999999999</c:v>
                </c:pt>
                <c:pt idx="28">
                  <c:v>24.791199999999996</c:v>
                </c:pt>
                <c:pt idx="29">
                  <c:v>26.561999999999998</c:v>
                </c:pt>
                <c:pt idx="30">
                  <c:v>38.51489999999999</c:v>
                </c:pt>
                <c:pt idx="31">
                  <c:v>42.0565</c:v>
                </c:pt>
                <c:pt idx="32">
                  <c:v>31.874399999999998</c:v>
                </c:pt>
                <c:pt idx="33">
                  <c:v>41.171100000000003</c:v>
                </c:pt>
                <c:pt idx="34">
                  <c:v>44.712699999999991</c:v>
                </c:pt>
                <c:pt idx="35">
                  <c:v>49.582399999999993</c:v>
                </c:pt>
                <c:pt idx="36">
                  <c:v>56.222899999999989</c:v>
                </c:pt>
                <c:pt idx="37">
                  <c:v>66.405000000000001</c:v>
                </c:pt>
                <c:pt idx="38">
                  <c:v>57.550999999999995</c:v>
                </c:pt>
                <c:pt idx="39">
                  <c:v>79.243299999999991</c:v>
                </c:pt>
                <c:pt idx="40">
                  <c:v>70.389299999999992</c:v>
                </c:pt>
                <c:pt idx="41">
                  <c:v>73.488200000000006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B12-40CC-8500-E836D9F48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715039"/>
        <c:axId val="1267716959"/>
      </c:scatterChart>
      <c:valAx>
        <c:axId val="1226776815"/>
        <c:scaling>
          <c:orientation val="minMax"/>
          <c:max val="22"/>
          <c:min val="-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Dager modning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26778255"/>
        <c:crosses val="autoZero"/>
        <c:crossBetween val="midCat"/>
        <c:majorUnit val="2"/>
      </c:valAx>
      <c:valAx>
        <c:axId val="122677825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Ammonium 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26776815"/>
        <c:crosses val="autoZero"/>
        <c:crossBetween val="midCat"/>
      </c:valAx>
      <c:valAx>
        <c:axId val="1267716959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Nitritt</a:t>
                </a:r>
                <a:r>
                  <a:rPr lang="nb-NO" baseline="0"/>
                  <a:t> og Nitrat mg/l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7715039"/>
        <c:crosses val="max"/>
        <c:crossBetween val="midCat"/>
      </c:valAx>
      <c:valAx>
        <c:axId val="1267715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77169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296806649168854E-2"/>
          <c:y val="0.82291557305336838"/>
          <c:w val="0.93429527559055114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Modning av biofilter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Ammonium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'Modning biofilter'!$A$31:$A$39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'Modning biofilter'!$B$31:$B$39</c:f>
              <c:numCache>
                <c:formatCode>General</c:formatCode>
                <c:ptCount val="9"/>
                <c:pt idx="0">
                  <c:v>3.84</c:v>
                </c:pt>
                <c:pt idx="1">
                  <c:v>3.63</c:v>
                </c:pt>
                <c:pt idx="2">
                  <c:v>3.38</c:v>
                </c:pt>
                <c:pt idx="3">
                  <c:v>3.21</c:v>
                </c:pt>
                <c:pt idx="4">
                  <c:v>1.6180000000000001</c:v>
                </c:pt>
                <c:pt idx="5">
                  <c:v>0.114</c:v>
                </c:pt>
                <c:pt idx="6">
                  <c:v>4.5999999999999999E-2</c:v>
                </c:pt>
                <c:pt idx="7">
                  <c:v>4.1000000000000002E-2</c:v>
                </c:pt>
                <c:pt idx="8">
                  <c:v>4.3999999999999997E-2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AC-468E-8809-CB7C5C74768D}"/>
            </c:ext>
          </c:extLst>
        </c:ser>
        <c:ser>
          <c:idx val="1"/>
          <c:order val="1"/>
          <c:tx>
            <c:v>Nitritt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'Modning biofilter'!$A$31:$A$39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'Modning biofilter'!$C$31:$C$39</c:f>
              <c:numCache>
                <c:formatCode>General</c:formatCode>
                <c:ptCount val="9"/>
                <c:pt idx="0">
                  <c:v>1.6099929999999998</c:v>
                </c:pt>
                <c:pt idx="1">
                  <c:v>1.5837073999999998</c:v>
                </c:pt>
                <c:pt idx="2">
                  <c:v>2.0075626999999998</c:v>
                </c:pt>
                <c:pt idx="3">
                  <c:v>4.2845528000000002</c:v>
                </c:pt>
                <c:pt idx="4">
                  <c:v>11.223951199999998</c:v>
                </c:pt>
                <c:pt idx="5">
                  <c:v>22.605615999999994</c:v>
                </c:pt>
                <c:pt idx="6">
                  <c:v>33.711281999999997</c:v>
                </c:pt>
                <c:pt idx="7">
                  <c:v>43.502668</c:v>
                </c:pt>
                <c:pt idx="8">
                  <c:v>53.543767199999998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AC-468E-8809-CB7C5C74768D}"/>
            </c:ext>
          </c:extLst>
        </c:ser>
        <c:ser>
          <c:idx val="2"/>
          <c:order val="2"/>
          <c:tx>
            <c:v>Nitrat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'Modning biofilter'!$A$31:$A$39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'Modning biofilter'!$D$31:$D$39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8.4112999999999989</c:v>
                </c:pt>
                <c:pt idx="5">
                  <c:v>14.166399999999999</c:v>
                </c:pt>
                <c:pt idx="6">
                  <c:v>24.791199999999996</c:v>
                </c:pt>
                <c:pt idx="7">
                  <c:v>26.561999999999998</c:v>
                </c:pt>
                <c:pt idx="8">
                  <c:v>38.51489999999999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AC-468E-8809-CB7C5C747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736351"/>
        <c:axId val="871748831"/>
      </c:scatterChart>
      <c:valAx>
        <c:axId val="871736351"/>
        <c:scaling>
          <c:orientation val="minMax"/>
          <c:max val="9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Dager</a:t>
                </a:r>
                <a:r>
                  <a:rPr lang="nb-NO" baseline="0"/>
                  <a:t> modning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71748831"/>
        <c:crosses val="autoZero"/>
        <c:crossBetween val="midCat"/>
        <c:minorUnit val="1"/>
      </c:valAx>
      <c:valAx>
        <c:axId val="87174883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Ammonium, Nitritt og Nitrat [mg/L]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717363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'Modning biofilter'!$A$31:$A$36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'Modning biofilter'!$B$31:$B$36</c:f>
              <c:numCache>
                <c:formatCode>General</c:formatCode>
                <c:ptCount val="6"/>
                <c:pt idx="0">
                  <c:v>3.84</c:v>
                </c:pt>
                <c:pt idx="1">
                  <c:v>3.63</c:v>
                </c:pt>
                <c:pt idx="2">
                  <c:v>3.38</c:v>
                </c:pt>
                <c:pt idx="3">
                  <c:v>3.21</c:v>
                </c:pt>
                <c:pt idx="4">
                  <c:v>1.6180000000000001</c:v>
                </c:pt>
                <c:pt idx="5">
                  <c:v>0.114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FD-499A-A943-BEEBE45A233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'Modning biofilter'!$A$31:$A$36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'Modning biofilter'!$C$31:$C$36</c:f>
              <c:numCache>
                <c:formatCode>General</c:formatCode>
                <c:ptCount val="6"/>
                <c:pt idx="0">
                  <c:v>1.6099929999999998</c:v>
                </c:pt>
                <c:pt idx="1">
                  <c:v>1.5837073999999998</c:v>
                </c:pt>
                <c:pt idx="2">
                  <c:v>2.0075626999999998</c:v>
                </c:pt>
                <c:pt idx="3">
                  <c:v>4.2845528000000002</c:v>
                </c:pt>
                <c:pt idx="4">
                  <c:v>11.223951199999998</c:v>
                </c:pt>
                <c:pt idx="5">
                  <c:v>22.605615999999994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FD-499A-A943-BEEBE45A2339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'Modning biofilter'!$A$31:$A$36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'Modning biofilter'!$D$31:$D$36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8.4112999999999989</c:v>
                </c:pt>
                <c:pt idx="5">
                  <c:v>14.166399999999999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FD-499A-A943-BEEBE45A2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902751"/>
        <c:axId val="2091886431"/>
      </c:scatterChart>
      <c:valAx>
        <c:axId val="2091902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91886431"/>
        <c:crosses val="autoZero"/>
        <c:crossBetween val="midCat"/>
      </c:valAx>
      <c:valAx>
        <c:axId val="2091886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91902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Tilsetting</a:t>
            </a:r>
            <a:r>
              <a:rPr lang="nb-NO" baseline="0"/>
              <a:t> av Ammoniumklorid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Målt ammonium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'Ammonium '!$B$17:$B$58</c:f>
              <c:numCache>
                <c:formatCode>General</c:formatCode>
                <c:ptCount val="42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</c:numCache>
            </c:numRef>
          </c:xVal>
          <c:yVal>
            <c:numRef>
              <c:f>'Ammonium '!$C$17:$C$58</c:f>
              <c:numCache>
                <c:formatCode>General</c:formatCode>
                <c:ptCount val="42"/>
                <c:pt idx="0">
                  <c:v>0</c:v>
                </c:pt>
                <c:pt idx="1">
                  <c:v>1.05</c:v>
                </c:pt>
                <c:pt idx="2">
                  <c:v>2.25</c:v>
                </c:pt>
                <c:pt idx="3">
                  <c:v>2.85</c:v>
                </c:pt>
                <c:pt idx="4">
                  <c:v>3</c:v>
                </c:pt>
                <c:pt idx="5">
                  <c:v>3.05</c:v>
                </c:pt>
                <c:pt idx="6">
                  <c:v>3.6</c:v>
                </c:pt>
                <c:pt idx="7">
                  <c:v>3.68</c:v>
                </c:pt>
                <c:pt idx="8">
                  <c:v>3.65</c:v>
                </c:pt>
                <c:pt idx="9">
                  <c:v>3.71</c:v>
                </c:pt>
                <c:pt idx="10">
                  <c:v>3.75</c:v>
                </c:pt>
                <c:pt idx="11">
                  <c:v>3.5</c:v>
                </c:pt>
                <c:pt idx="12">
                  <c:v>3.01</c:v>
                </c:pt>
                <c:pt idx="13">
                  <c:v>3.31</c:v>
                </c:pt>
                <c:pt idx="14">
                  <c:v>3.88</c:v>
                </c:pt>
                <c:pt idx="15">
                  <c:v>3.64</c:v>
                </c:pt>
                <c:pt idx="16">
                  <c:v>3.89</c:v>
                </c:pt>
                <c:pt idx="17">
                  <c:v>3.77</c:v>
                </c:pt>
                <c:pt idx="18">
                  <c:v>3.87</c:v>
                </c:pt>
                <c:pt idx="19">
                  <c:v>3.66</c:v>
                </c:pt>
                <c:pt idx="20">
                  <c:v>3.61</c:v>
                </c:pt>
                <c:pt idx="21">
                  <c:v>2.87</c:v>
                </c:pt>
                <c:pt idx="22">
                  <c:v>3.84</c:v>
                </c:pt>
                <c:pt idx="23">
                  <c:v>3.63</c:v>
                </c:pt>
                <c:pt idx="24">
                  <c:v>3.38</c:v>
                </c:pt>
                <c:pt idx="25">
                  <c:v>3.21</c:v>
                </c:pt>
                <c:pt idx="26">
                  <c:v>1.6180000000000001</c:v>
                </c:pt>
                <c:pt idx="27">
                  <c:v>0.114</c:v>
                </c:pt>
                <c:pt idx="28">
                  <c:v>4.5999999999999999E-2</c:v>
                </c:pt>
                <c:pt idx="29">
                  <c:v>4.1000000000000002E-2</c:v>
                </c:pt>
                <c:pt idx="30">
                  <c:v>4.3999999999999997E-2</c:v>
                </c:pt>
                <c:pt idx="31">
                  <c:v>3.1E-2</c:v>
                </c:pt>
                <c:pt idx="32">
                  <c:v>3.5999999999999997E-2</c:v>
                </c:pt>
                <c:pt idx="33">
                  <c:v>3.2000000000000001E-2</c:v>
                </c:pt>
                <c:pt idx="34">
                  <c:v>2.8000000000000001E-2</c:v>
                </c:pt>
                <c:pt idx="35">
                  <c:v>3.7999999999999999E-2</c:v>
                </c:pt>
                <c:pt idx="36">
                  <c:v>0.85099999999999998</c:v>
                </c:pt>
                <c:pt idx="37">
                  <c:v>3.5999999999999997E-2</c:v>
                </c:pt>
                <c:pt idx="38">
                  <c:v>4.4999999999999998E-2</c:v>
                </c:pt>
                <c:pt idx="39">
                  <c:v>4.4999999999999998E-2</c:v>
                </c:pt>
                <c:pt idx="40">
                  <c:v>0.04</c:v>
                </c:pt>
                <c:pt idx="41">
                  <c:v>4.4999999999999998E-2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35-4FAA-86AD-AD0083438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6387103"/>
        <c:axId val="1096383263"/>
      </c:scatterChart>
      <c:scatterChart>
        <c:scatterStyle val="lineMarker"/>
        <c:varyColors val="0"/>
        <c:ser>
          <c:idx val="1"/>
          <c:order val="1"/>
          <c:tx>
            <c:v>Tilsatt ammoniumklorid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'Ammonium '!$B$17:$B$58</c:f>
              <c:numCache>
                <c:formatCode>General</c:formatCode>
                <c:ptCount val="42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</c:numCache>
            </c:numRef>
          </c:xVal>
          <c:yVal>
            <c:numRef>
              <c:f>'Ammonium '!$D$17:$D$58</c:f>
              <c:numCache>
                <c:formatCode>General</c:formatCode>
                <c:ptCount val="42"/>
                <c:pt idx="0">
                  <c:v>15.792135882352939</c:v>
                </c:pt>
                <c:pt idx="1">
                  <c:v>13.423315499999999</c:v>
                </c:pt>
                <c:pt idx="2">
                  <c:v>10.716092205882353</c:v>
                </c:pt>
                <c:pt idx="3">
                  <c:v>9.3624805588235311</c:v>
                </c:pt>
                <c:pt idx="4">
                  <c:v>9.0240776470588226</c:v>
                </c:pt>
                <c:pt idx="5">
                  <c:v>8.9112766764705889</c:v>
                </c:pt>
                <c:pt idx="6">
                  <c:v>7.6704660000000002</c:v>
                </c:pt>
                <c:pt idx="7">
                  <c:v>7.4899844470588244</c:v>
                </c:pt>
                <c:pt idx="8">
                  <c:v>7.5576650294117647</c:v>
                </c:pt>
                <c:pt idx="9">
                  <c:v>7.4223038647058823</c:v>
                </c:pt>
                <c:pt idx="10">
                  <c:v>7.3320630882352944</c:v>
                </c:pt>
                <c:pt idx="11">
                  <c:v>7.8960679411764696</c:v>
                </c:pt>
                <c:pt idx="12">
                  <c:v>9.0015174529411777</c:v>
                </c:pt>
                <c:pt idx="13">
                  <c:v>8.3247116294117642</c:v>
                </c:pt>
                <c:pt idx="14">
                  <c:v>7.038780564705883</c:v>
                </c:pt>
                <c:pt idx="15">
                  <c:v>7.5802252235294114</c:v>
                </c:pt>
                <c:pt idx="16">
                  <c:v>7.0162203705882344</c:v>
                </c:pt>
                <c:pt idx="17">
                  <c:v>7.2869427</c:v>
                </c:pt>
                <c:pt idx="18">
                  <c:v>7.0613407588235297</c:v>
                </c:pt>
                <c:pt idx="19">
                  <c:v>7.535104835294117</c:v>
                </c:pt>
                <c:pt idx="20">
                  <c:v>7.6479058058823526</c:v>
                </c:pt>
                <c:pt idx="21">
                  <c:v>9.3173601705882358</c:v>
                </c:pt>
                <c:pt idx="22">
                  <c:v>7.12902134117647</c:v>
                </c:pt>
                <c:pt idx="23">
                  <c:v>7.6027854176470591</c:v>
                </c:pt>
                <c:pt idx="24">
                  <c:v>8.1667902705882351</c:v>
                </c:pt>
                <c:pt idx="25">
                  <c:v>8.5503135705882354</c:v>
                </c:pt>
                <c:pt idx="26">
                  <c:v>12.141896474117646</c:v>
                </c:pt>
                <c:pt idx="27">
                  <c:v>15.534949669411764</c:v>
                </c:pt>
                <c:pt idx="28">
                  <c:v>15.688358989411764</c:v>
                </c:pt>
                <c:pt idx="29">
                  <c:v>15.699639086470588</c:v>
                </c:pt>
                <c:pt idx="30">
                  <c:v>15.692871028235297</c:v>
                </c:pt>
                <c:pt idx="31">
                  <c:v>15.722199280588235</c:v>
                </c:pt>
                <c:pt idx="32">
                  <c:v>15.710919183529413</c:v>
                </c:pt>
                <c:pt idx="33">
                  <c:v>15.71994326117647</c:v>
                </c:pt>
                <c:pt idx="34">
                  <c:v>15.728967338823532</c:v>
                </c:pt>
                <c:pt idx="35">
                  <c:v>15.706407144705882</c:v>
                </c:pt>
                <c:pt idx="36">
                  <c:v>13.872263362941178</c:v>
                </c:pt>
                <c:pt idx="37">
                  <c:v>15.710919183529413</c:v>
                </c:pt>
                <c:pt idx="38">
                  <c:v>15.690615008823528</c:v>
                </c:pt>
                <c:pt idx="39">
                  <c:v>15.690615008823528</c:v>
                </c:pt>
                <c:pt idx="40">
                  <c:v>15.701895105882354</c:v>
                </c:pt>
                <c:pt idx="41">
                  <c:v>15.690615008823528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35-4FAA-86AD-AD0083438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342671"/>
        <c:axId val="745345071"/>
      </c:scatterChart>
      <c:valAx>
        <c:axId val="1096387103"/>
        <c:scaling>
          <c:orientation val="minMax"/>
          <c:max val="22"/>
          <c:min val="-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Dager modning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96383263"/>
        <c:crosses val="autoZero"/>
        <c:crossBetween val="midCat"/>
        <c:majorUnit val="2"/>
      </c:valAx>
      <c:valAx>
        <c:axId val="1096383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Nivå</a:t>
                </a:r>
                <a:r>
                  <a:rPr lang="nb-NO" baseline="0"/>
                  <a:t> ammonium (mg/L)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96387103"/>
        <c:crosses val="autoZero"/>
        <c:crossBetween val="midCat"/>
      </c:valAx>
      <c:valAx>
        <c:axId val="74534507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Tilsatt ammoniumklorid</a:t>
                </a:r>
                <a:r>
                  <a:rPr lang="nb-NO" baseline="0"/>
                  <a:t> (g)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45342671"/>
        <c:crosses val="max"/>
        <c:crossBetween val="midCat"/>
      </c:valAx>
      <c:valAx>
        <c:axId val="7453426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53450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Trinn</a:t>
            </a:r>
            <a:r>
              <a:rPr lang="nb-NO" baseline="0"/>
              <a:t> 1 nitrifikasjon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Ammonium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'3.4'!$A$3:$A$8</c:f>
              <c:numCache>
                <c:formatCode>h:mm</c:formatCode>
                <c:ptCount val="6"/>
                <c:pt idx="0">
                  <c:v>0.5625</c:v>
                </c:pt>
                <c:pt idx="1">
                  <c:v>0.60416666666666696</c:v>
                </c:pt>
                <c:pt idx="2">
                  <c:v>0.64583333333333304</c:v>
                </c:pt>
                <c:pt idx="3">
                  <c:v>0.6875</c:v>
                </c:pt>
                <c:pt idx="4">
                  <c:v>0.72916666666666696</c:v>
                </c:pt>
                <c:pt idx="5">
                  <c:v>0.77083333333333304</c:v>
                </c:pt>
              </c:numCache>
            </c:numRef>
          </c:cat>
          <c:val>
            <c:numRef>
              <c:f>'3.4'!$B$3:$B$8</c:f>
              <c:numCache>
                <c:formatCode>General</c:formatCode>
                <c:ptCount val="6"/>
                <c:pt idx="0">
                  <c:v>3.06</c:v>
                </c:pt>
                <c:pt idx="1">
                  <c:v>2.6</c:v>
                </c:pt>
                <c:pt idx="2">
                  <c:v>2.3199999999999998</c:v>
                </c:pt>
                <c:pt idx="3">
                  <c:v>1.98</c:v>
                </c:pt>
                <c:pt idx="4">
                  <c:v>1.52</c:v>
                </c:pt>
                <c:pt idx="5">
                  <c:v>1.1399999999999999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D6-41C3-875F-3501E1497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09535"/>
        <c:axId val="637817439"/>
      </c:lineChart>
      <c:lineChart>
        <c:grouping val="standard"/>
        <c:varyColors val="0"/>
        <c:ser>
          <c:idx val="1"/>
          <c:order val="1"/>
          <c:tx>
            <c:v>Nitritt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'3.4'!$A$3:$A$8</c:f>
              <c:numCache>
                <c:formatCode>h:mm</c:formatCode>
                <c:ptCount val="6"/>
                <c:pt idx="0">
                  <c:v>0.5625</c:v>
                </c:pt>
                <c:pt idx="1">
                  <c:v>0.60416666666666696</c:v>
                </c:pt>
                <c:pt idx="2">
                  <c:v>0.64583333333333304</c:v>
                </c:pt>
                <c:pt idx="3">
                  <c:v>0.6875</c:v>
                </c:pt>
                <c:pt idx="4">
                  <c:v>0.72916666666666696</c:v>
                </c:pt>
                <c:pt idx="5">
                  <c:v>0.77083333333333304</c:v>
                </c:pt>
              </c:numCache>
            </c:numRef>
          </c:cat>
          <c:val>
            <c:numRef>
              <c:f>'3.4'!$D$3:$D$8</c:f>
              <c:numCache>
                <c:formatCode>General</c:formatCode>
                <c:ptCount val="6"/>
                <c:pt idx="0">
                  <c:v>7.78</c:v>
                </c:pt>
                <c:pt idx="1">
                  <c:v>8.26</c:v>
                </c:pt>
                <c:pt idx="2">
                  <c:v>8.5</c:v>
                </c:pt>
                <c:pt idx="3">
                  <c:v>8.7200000000000006</c:v>
                </c:pt>
                <c:pt idx="4">
                  <c:v>9.379999999999999</c:v>
                </c:pt>
                <c:pt idx="5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D6-41C3-875F-3501E1497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635071"/>
        <c:axId val="2132634111"/>
      </c:lineChart>
      <c:catAx>
        <c:axId val="6047095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Klokkeslett</a:t>
                </a:r>
                <a:r>
                  <a:rPr lang="nb-NO" baseline="0"/>
                  <a:t> 03.04.2023 (t)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h:mm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7817439"/>
        <c:crosses val="autoZero"/>
        <c:auto val="1"/>
        <c:lblAlgn val="ctr"/>
        <c:lblOffset val="100"/>
        <c:noMultiLvlLbl val="0"/>
      </c:catAx>
      <c:valAx>
        <c:axId val="637817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Ammonium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04709535"/>
        <c:crosses val="autoZero"/>
        <c:crossBetween val="between"/>
      </c:valAx>
      <c:valAx>
        <c:axId val="213263411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Nitritt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32635071"/>
        <c:crosses val="max"/>
        <c:crossBetween val="between"/>
      </c:valAx>
      <c:catAx>
        <c:axId val="2132635071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326341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Nitrifikasjon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Ammonium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'12.4'!$A$3:$A$9</c:f>
              <c:numCache>
                <c:formatCode>h:mm</c:formatCode>
                <c:ptCount val="7"/>
                <c:pt idx="0">
                  <c:v>0.4861111111111111</c:v>
                </c:pt>
                <c:pt idx="1">
                  <c:v>0.52777777777777779</c:v>
                </c:pt>
                <c:pt idx="2">
                  <c:v>0.56944444444444497</c:v>
                </c:pt>
                <c:pt idx="3">
                  <c:v>0.61111111111111105</c:v>
                </c:pt>
                <c:pt idx="4">
                  <c:v>0.65277777777777801</c:v>
                </c:pt>
                <c:pt idx="5">
                  <c:v>0.69444444444444398</c:v>
                </c:pt>
                <c:pt idx="6">
                  <c:v>0.73611111111111105</c:v>
                </c:pt>
              </c:numCache>
            </c:numRef>
          </c:cat>
          <c:val>
            <c:numRef>
              <c:f>'12.4'!$B$3:$B$9</c:f>
              <c:numCache>
                <c:formatCode>General</c:formatCode>
                <c:ptCount val="7"/>
                <c:pt idx="0">
                  <c:v>4.32</c:v>
                </c:pt>
                <c:pt idx="1">
                  <c:v>3.96</c:v>
                </c:pt>
                <c:pt idx="2">
                  <c:v>3.24</c:v>
                </c:pt>
                <c:pt idx="3">
                  <c:v>2.68</c:v>
                </c:pt>
                <c:pt idx="4">
                  <c:v>2.08</c:v>
                </c:pt>
                <c:pt idx="5">
                  <c:v>1.52</c:v>
                </c:pt>
                <c:pt idx="6">
                  <c:v>1.1200000000000001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9-4C79-B4D7-21513DDF5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07567"/>
        <c:axId val="606921103"/>
      </c:lineChart>
      <c:lineChart>
        <c:grouping val="standard"/>
        <c:varyColors val="0"/>
        <c:ser>
          <c:idx val="1"/>
          <c:order val="1"/>
          <c:tx>
            <c:v>Nitritt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'12.4'!$A$3:$A$9</c:f>
              <c:numCache>
                <c:formatCode>h:mm</c:formatCode>
                <c:ptCount val="7"/>
                <c:pt idx="0">
                  <c:v>0.4861111111111111</c:v>
                </c:pt>
                <c:pt idx="1">
                  <c:v>0.52777777777777779</c:v>
                </c:pt>
                <c:pt idx="2">
                  <c:v>0.56944444444444497</c:v>
                </c:pt>
                <c:pt idx="3">
                  <c:v>0.61111111111111105</c:v>
                </c:pt>
                <c:pt idx="4">
                  <c:v>0.65277777777777801</c:v>
                </c:pt>
                <c:pt idx="5">
                  <c:v>0.69444444444444398</c:v>
                </c:pt>
                <c:pt idx="6">
                  <c:v>0.73611111111111105</c:v>
                </c:pt>
              </c:numCache>
            </c:numRef>
          </c:cat>
          <c:val>
            <c:numRef>
              <c:f>'12.4'!$D$3:$D$9</c:f>
              <c:numCache>
                <c:formatCode>General</c:formatCode>
                <c:ptCount val="7"/>
                <c:pt idx="0">
                  <c:v>32.130000000000003</c:v>
                </c:pt>
                <c:pt idx="1">
                  <c:v>30.03</c:v>
                </c:pt>
                <c:pt idx="2">
                  <c:v>32.760000000000005</c:v>
                </c:pt>
                <c:pt idx="3">
                  <c:v>36.33</c:v>
                </c:pt>
                <c:pt idx="4">
                  <c:v>34.79</c:v>
                </c:pt>
                <c:pt idx="5">
                  <c:v>35.14</c:v>
                </c:pt>
                <c:pt idx="6">
                  <c:v>39.76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9-4C79-B4D7-21513DDF5B65}"/>
            </c:ext>
          </c:extLst>
        </c:ser>
        <c:ser>
          <c:idx val="2"/>
          <c:order val="2"/>
          <c:tx>
            <c:v>Nitrat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'12.4'!$A$3:$A$9</c:f>
              <c:numCache>
                <c:formatCode>h:mm</c:formatCode>
                <c:ptCount val="7"/>
                <c:pt idx="0">
                  <c:v>0.4861111111111111</c:v>
                </c:pt>
                <c:pt idx="1">
                  <c:v>0.52777777777777779</c:v>
                </c:pt>
                <c:pt idx="2">
                  <c:v>0.56944444444444497</c:v>
                </c:pt>
                <c:pt idx="3">
                  <c:v>0.61111111111111105</c:v>
                </c:pt>
                <c:pt idx="4">
                  <c:v>0.65277777777777801</c:v>
                </c:pt>
                <c:pt idx="5">
                  <c:v>0.69444444444444398</c:v>
                </c:pt>
                <c:pt idx="6">
                  <c:v>0.73611111111111105</c:v>
                </c:pt>
              </c:numCache>
            </c:numRef>
          </c:cat>
          <c:val>
            <c:numRef>
              <c:f>'12.4'!$F$3:$F$9</c:f>
              <c:numCache>
                <c:formatCode>General</c:formatCode>
                <c:ptCount val="7"/>
                <c:pt idx="0">
                  <c:v>10.4</c:v>
                </c:pt>
                <c:pt idx="1">
                  <c:v>11.6</c:v>
                </c:pt>
                <c:pt idx="2">
                  <c:v>12.8</c:v>
                </c:pt>
                <c:pt idx="3">
                  <c:v>12</c:v>
                </c:pt>
                <c:pt idx="4">
                  <c:v>10</c:v>
                </c:pt>
                <c:pt idx="5">
                  <c:v>11.6</c:v>
                </c:pt>
                <c:pt idx="6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19-4C79-B4D7-21513DDF5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969247"/>
        <c:axId val="1457964447"/>
      </c:lineChart>
      <c:catAx>
        <c:axId val="6385075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Klokkelslett 12.04.2023 [t]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h:mm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06921103"/>
        <c:crosses val="autoZero"/>
        <c:auto val="1"/>
        <c:lblAlgn val="ctr"/>
        <c:lblOffset val="100"/>
        <c:noMultiLvlLbl val="0"/>
      </c:catAx>
      <c:valAx>
        <c:axId val="606921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Ammonium og Nitrat [mg/l]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8507567"/>
        <c:crosses val="autoZero"/>
        <c:crossBetween val="midCat"/>
      </c:valAx>
      <c:valAx>
        <c:axId val="145796444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Nitritt [mg/l]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57969247"/>
        <c:crosses val="max"/>
        <c:crossBetween val="between"/>
      </c:valAx>
      <c:catAx>
        <c:axId val="1457969247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4579644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A0130F4-95FE-4544-B56D-F31AB84C4D54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490" cy="6283854"/>
    <xdr:graphicFrame macro="">
      <xdr:nvGraphicFramePr>
        <xdr:cNvPr id="21" name="Diagram 1">
          <a:extLst>
            <a:ext uri="{FF2B5EF4-FFF2-40B4-BE49-F238E27FC236}">
              <a16:creationId xmlns:a16="http://schemas.microsoft.com/office/drawing/2014/main" id="{F0FCB35E-3CEA-7265-4BAA-FBECDF3CFD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176781</xdr:colOff>
      <xdr:row>9</xdr:row>
      <xdr:rowOff>134592</xdr:rowOff>
    </xdr:from>
    <xdr:to>
      <xdr:col>6</xdr:col>
      <xdr:colOff>176781</xdr:colOff>
      <xdr:row>24</xdr:row>
      <xdr:rowOff>163166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F18CFEC-0880-9012-4903-9D5B3BC6CB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437345</xdr:colOff>
      <xdr:row>12</xdr:row>
      <xdr:rowOff>57149</xdr:rowOff>
    </xdr:from>
    <xdr:to>
      <xdr:col>14</xdr:col>
      <xdr:colOff>421247</xdr:colOff>
      <xdr:row>27</xdr:row>
      <xdr:rowOff>83711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FBD2478-A926-A5AA-3E62-2565805B68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682177</xdr:colOff>
      <xdr:row>10</xdr:row>
      <xdr:rowOff>164473</xdr:rowOff>
    </xdr:from>
    <xdr:to>
      <xdr:col>13</xdr:col>
      <xdr:colOff>666079</xdr:colOff>
      <xdr:row>26</xdr:row>
      <xdr:rowOff>9927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A89190C5-3623-13EA-A946-1F6277397B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506504</xdr:colOff>
      <xdr:row>9</xdr:row>
      <xdr:rowOff>170331</xdr:rowOff>
    </xdr:from>
    <xdr:to>
      <xdr:col>13</xdr:col>
      <xdr:colOff>259974</xdr:colOff>
      <xdr:row>28</xdr:row>
      <xdr:rowOff>165848</xdr:rowOff>
    </xdr:to>
    <xdr:graphicFrame macro="">
      <xdr:nvGraphicFramePr>
        <xdr:cNvPr id="197" name="Diagram 2">
          <a:extLst>
            <a:ext uri="{FF2B5EF4-FFF2-40B4-BE49-F238E27FC236}">
              <a16:creationId xmlns:a16="http://schemas.microsoft.com/office/drawing/2014/main" id="{8EA9D067-EF30-0264-25B3-4B285D2BA8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0</xdr:rowOff>
    </xdr:from>
    <xdr:to>
      <xdr:col>16</xdr:col>
      <xdr:colOff>352425</xdr:colOff>
      <xdr:row>23</xdr:row>
      <xdr:rowOff>142875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3D7EDD42-DA93-4265-A2B6-56A5B989A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730568</xdr:colOff>
      <xdr:row>14</xdr:row>
      <xdr:rowOff>168592</xdr:rowOff>
    </xdr:from>
    <xdr:to>
      <xdr:col>10</xdr:col>
      <xdr:colOff>28575</xdr:colOff>
      <xdr:row>31</xdr:row>
      <xdr:rowOff>103822</xdr:rowOff>
    </xdr:to>
    <xdr:graphicFrame macro="">
      <xdr:nvGraphicFramePr>
        <xdr:cNvPr id="304" name="Diagram 5">
          <a:extLst>
            <a:ext uri="{FF2B5EF4-FFF2-40B4-BE49-F238E27FC236}">
              <a16:creationId xmlns:a16="http://schemas.microsoft.com/office/drawing/2014/main" id="{D38A3A55-F9AD-929C-AA3C-D900DA97F4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593066</xdr:colOff>
      <xdr:row>36</xdr:row>
      <xdr:rowOff>152400</xdr:rowOff>
    </xdr:from>
    <xdr:to>
      <xdr:col>13</xdr:col>
      <xdr:colOff>161745</xdr:colOff>
      <xdr:row>52</xdr:row>
      <xdr:rowOff>20128</xdr:rowOff>
    </xdr:to>
    <xdr:graphicFrame macro="">
      <xdr:nvGraphicFramePr>
        <xdr:cNvPr id="403" name="Diagram 3">
          <a:extLst>
            <a:ext uri="{FF2B5EF4-FFF2-40B4-BE49-F238E27FC236}">
              <a16:creationId xmlns:a16="http://schemas.microsoft.com/office/drawing/2014/main" id="{94E4EB42-6D4E-8A5C-7AF3-98D35B74EE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695236</xdr:colOff>
      <xdr:row>36</xdr:row>
      <xdr:rowOff>125532</xdr:rowOff>
    </xdr:from>
    <xdr:to>
      <xdr:col>7</xdr:col>
      <xdr:colOff>598817</xdr:colOff>
      <xdr:row>51</xdr:row>
      <xdr:rowOff>172977</xdr:rowOff>
    </xdr:to>
    <xdr:graphicFrame macro="">
      <xdr:nvGraphicFramePr>
        <xdr:cNvPr id="404" name="Diagram 4">
          <a:extLst>
            <a:ext uri="{FF2B5EF4-FFF2-40B4-BE49-F238E27FC236}">
              <a16:creationId xmlns:a16="http://schemas.microsoft.com/office/drawing/2014/main" id="{080C4FF9-6DC3-6284-1F94-E1310C19E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335280</xdr:colOff>
      <xdr:row>22</xdr:row>
      <xdr:rowOff>19050</xdr:rowOff>
    </xdr:from>
    <xdr:to>
      <xdr:col>11</xdr:col>
      <xdr:colOff>586740</xdr:colOff>
      <xdr:row>37</xdr:row>
      <xdr:rowOff>19050</xdr:rowOff>
    </xdr:to>
    <xdr:graphicFrame macro="">
      <xdr:nvGraphicFramePr>
        <xdr:cNvPr id="172" name="Diagram 1">
          <a:extLst>
            <a:ext uri="{FF2B5EF4-FFF2-40B4-BE49-F238E27FC236}">
              <a16:creationId xmlns:a16="http://schemas.microsoft.com/office/drawing/2014/main" id="{0FC2CA6F-A453-2D81-A739-F9EC1A28FC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770095</xdr:colOff>
      <xdr:row>2</xdr:row>
      <xdr:rowOff>18573</xdr:rowOff>
    </xdr:from>
    <xdr:to>
      <xdr:col>13</xdr:col>
      <xdr:colOff>770095</xdr:colOff>
      <xdr:row>17</xdr:row>
      <xdr:rowOff>49053</xdr:rowOff>
    </xdr:to>
    <xdr:graphicFrame macro="">
      <xdr:nvGraphicFramePr>
        <xdr:cNvPr id="119" name="Diagram 1">
          <a:extLst>
            <a:ext uri="{FF2B5EF4-FFF2-40B4-BE49-F238E27FC236}">
              <a16:creationId xmlns:a16="http://schemas.microsoft.com/office/drawing/2014/main" id="{65AE3D72-038D-0041-AD79-783E9CF5DE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756032</xdr:colOff>
      <xdr:row>11</xdr:row>
      <xdr:rowOff>4584</xdr:rowOff>
    </xdr:from>
    <xdr:to>
      <xdr:col>9</xdr:col>
      <xdr:colOff>701265</xdr:colOff>
      <xdr:row>31</xdr:row>
      <xdr:rowOff>72552</xdr:rowOff>
    </xdr:to>
    <xdr:graphicFrame macro="">
      <xdr:nvGraphicFramePr>
        <xdr:cNvPr id="95" name="Diagram 2">
          <a:extLst>
            <a:ext uri="{FF2B5EF4-FFF2-40B4-BE49-F238E27FC236}">
              <a16:creationId xmlns:a16="http://schemas.microsoft.com/office/drawing/2014/main" id="{49DBE8D2-37EE-45B3-F4D9-BE37029FBF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683418</xdr:colOff>
      <xdr:row>9</xdr:row>
      <xdr:rowOff>26193</xdr:rowOff>
    </xdr:from>
    <xdr:to>
      <xdr:col>9</xdr:col>
      <xdr:colOff>521493</xdr:colOff>
      <xdr:row>24</xdr:row>
      <xdr:rowOff>54768</xdr:rowOff>
    </xdr:to>
    <xdr:graphicFrame macro="">
      <xdr:nvGraphicFramePr>
        <xdr:cNvPr id="21" name="Diagram 4">
          <a:extLst>
            <a:ext uri="{FF2B5EF4-FFF2-40B4-BE49-F238E27FC236}">
              <a16:creationId xmlns:a16="http://schemas.microsoft.com/office/drawing/2014/main" id="{AF1B59C1-4E03-9A66-3DBF-936CEBCB40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438150</xdr:colOff>
      <xdr:row>42</xdr:row>
      <xdr:rowOff>28575</xdr:rowOff>
    </xdr:to>
    <xdr:graphicFrame macro="">
      <xdr:nvGraphicFramePr>
        <xdr:cNvPr id="22" name="Diagram 4">
          <a:extLst>
            <a:ext uri="{FF2B5EF4-FFF2-40B4-BE49-F238E27FC236}">
              <a16:creationId xmlns:a16="http://schemas.microsoft.com/office/drawing/2014/main" id="{A6D180A3-7396-4E1F-B8C8-ED44BA58D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320040</xdr:colOff>
      <xdr:row>8</xdr:row>
      <xdr:rowOff>83820</xdr:rowOff>
    </xdr:from>
    <xdr:to>
      <xdr:col>9</xdr:col>
      <xdr:colOff>723900</xdr:colOff>
      <xdr:row>23</xdr:row>
      <xdr:rowOff>83820</xdr:rowOff>
    </xdr:to>
    <xdr:graphicFrame macro="">
      <xdr:nvGraphicFramePr>
        <xdr:cNvPr id="53" name="Diagram 2">
          <a:extLst>
            <a:ext uri="{FF2B5EF4-FFF2-40B4-BE49-F238E27FC236}">
              <a16:creationId xmlns:a16="http://schemas.microsoft.com/office/drawing/2014/main" id="{9869EB62-E178-CFFA-F2AA-BE4BAB0CF2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60960</xdr:rowOff>
    </xdr:from>
    <xdr:to>
      <xdr:col>13</xdr:col>
      <xdr:colOff>434340</xdr:colOff>
      <xdr:row>14</xdr:row>
      <xdr:rowOff>167640</xdr:rowOff>
    </xdr:to>
    <xdr:graphicFrame macro="">
      <xdr:nvGraphicFramePr>
        <xdr:cNvPr id="486" name="Diagram 2">
          <a:extLst>
            <a:ext uri="{FF2B5EF4-FFF2-40B4-BE49-F238E27FC236}">
              <a16:creationId xmlns:a16="http://schemas.microsoft.com/office/drawing/2014/main" id="{E1CA6232-0D6A-CF21-543A-5459D7094E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vl365.sharepoint.com/sites/Bacheloroppgave86/Delte%20dokumenter/General/m&#229;linger%20runde%201.xlsx" TargetMode="External"/><Relationship Id="rId1" Type="http://schemas.openxmlformats.org/officeDocument/2006/relationships/externalLinkPath" Target="https://hvl365.sharepoint.com/sites/Bacheloroppgave86/Delte%20dokumenter/General/m&#229;linger%20rund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ålinger"/>
      <sheetName val="Ammonium"/>
      <sheetName val="Nitritt"/>
      <sheetName val="Alkalitet"/>
      <sheetName val="Flow"/>
      <sheetName val="Temp"/>
    </sheetNames>
    <sheetDataSet>
      <sheetData sheetId="0">
        <row r="3">
          <cell r="C3">
            <v>7.83</v>
          </cell>
        </row>
        <row r="4">
          <cell r="C4">
            <v>8.11</v>
          </cell>
        </row>
        <row r="5">
          <cell r="C5">
            <v>8.18</v>
          </cell>
        </row>
        <row r="6">
          <cell r="C6">
            <v>8.26</v>
          </cell>
        </row>
        <row r="7">
          <cell r="C7">
            <v>8.3800000000000008</v>
          </cell>
        </row>
        <row r="8">
          <cell r="C8">
            <v>7.91</v>
          </cell>
        </row>
        <row r="9">
          <cell r="C9">
            <v>8.83</v>
          </cell>
        </row>
        <row r="10">
          <cell r="C10">
            <v>8.44</v>
          </cell>
        </row>
        <row r="11">
          <cell r="C11">
            <v>8.4</v>
          </cell>
        </row>
        <row r="12">
          <cell r="C12">
            <v>8.57</v>
          </cell>
        </row>
        <row r="13">
          <cell r="C13">
            <v>8.44</v>
          </cell>
        </row>
        <row r="14">
          <cell r="C14">
            <v>7.9</v>
          </cell>
        </row>
        <row r="15">
          <cell r="C15">
            <v>8.4499999999999993</v>
          </cell>
        </row>
        <row r="16">
          <cell r="C16">
            <v>8.44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EDB794-F1B2-4935-B788-78D3FE444124}" name="Tabell2" displayName="Tabell2" ref="A2:T91" totalsRowShown="0" headerRowDxfId="21" headerRowBorderDxfId="20" tableBorderDxfId="19">
  <autoFilter ref="A2:T91" xr:uid="{5DEDB794-F1B2-4935-B788-78D3FE44412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69DB280F-4F0D-4872-AC78-EC00364FD42A}" name="Dato"/>
    <tableColumn id="2" xr3:uid="{8B356B76-40F4-4447-8DB4-562F9A99ED1B}" name="Tid"/>
    <tableColumn id="3" xr3:uid="{FB633C74-DBF6-4413-A7A2-1E263344E391}" name="Før tilsettning av vann"/>
    <tableColumn id="4" xr3:uid="{C23544F3-E739-4D6D-8EAC-0639FE4B8A50}" name="Etter tilsetting av vann"/>
    <tableColumn id="5" xr3:uid="{D308F3FF-7123-4B57-9424-F66D29048C28}" name="Før"/>
    <tableColumn id="6" xr3:uid="{B445BF1F-AA1F-4A37-B4F4-F073FE832299}" name="Etter"/>
    <tableColumn id="7" xr3:uid="{477AFEDE-9F7E-4945-B76E-3230B348E4FE}" name="Type prøve"/>
    <tableColumn id="8" xr3:uid="{B9E379E9-5A47-46DA-B51C-35EE7C555961}" name="Før."/>
    <tableColumn id="9" xr3:uid="{963C42AB-767B-4559-9F1B-47B2CABC93C2}" name="Etter."/>
    <tableColumn id="10" xr3:uid="{A798BAC3-FC22-4695-BFAB-68101DE3B622}" name="Type prøve."/>
    <tableColumn id="16" xr3:uid="{EFAD9473-8618-40DD-A1D4-D624953CE4F8}" name="Før2"/>
    <tableColumn id="20" xr3:uid="{8BF8D337-8200-4D74-8D8F-029E3B270387}" name="Før utvannet"/>
    <tableColumn id="17" xr3:uid="{6D2DC1D6-E463-4F7A-88E0-AFA7050AAEC7}" name="Etter2"/>
    <tableColumn id="21" xr3:uid="{83220ADB-ADC4-49D0-AA5B-36620C962C9D}" name="Etter utvannet"/>
    <tableColumn id="18" xr3:uid="{A706184F-4C32-4E16-9C34-6D05BD01D990}" name="Type prøve2"/>
    <tableColumn id="11" xr3:uid="{8EBBAFEE-847C-43D7-9E79-805291F0EF05}" name="Sal"/>
    <tableColumn id="12" xr3:uid="{8ED1A0E7-F71D-4020-B502-9161D35D333E}" name="TDS"/>
    <tableColumn id="13" xr3:uid="{98712C97-82A6-4EC3-93F5-5BFADF3B0DD4}" name="Ledningsevne"/>
    <tableColumn id="14" xr3:uid="{38E781D0-DA89-443F-8838-4D609686CAAB}" name="Temp"/>
    <tableColumn id="15" xr3:uid="{A56E6934-F493-4CE5-B416-F5523FB1666E}" name="O2 met %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1842E21-4A44-471E-84B6-035008830D44}" name="Tabell9" displayName="Tabell9" ref="A1:F56" headerRowDxfId="18" headerRowBorderDxfId="17">
  <autoFilter ref="A1:F56" xr:uid="{41842E21-4A44-471E-84B6-035008830D4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21621FF-CDDA-4426-9671-2F711DC79E32}" name="Dato " totalsRowLabel="Totalt"/>
    <tableColumn id="2" xr3:uid="{422C9861-6D34-43F1-9B7A-21B5B0F2A96F}" name="Tid"/>
    <tableColumn id="3" xr3:uid="{49060F4F-680C-46A0-B69A-C64324DB70B8}" name="pH"/>
    <tableColumn id="4" xr3:uid="{8EA33EC7-6480-4259-BB1C-A4E5306BD3D2}" name="Alk"/>
    <tableColumn id="5" xr3:uid="{5ADFC53F-661B-40EC-8C72-98256F691030}" name="TDS"/>
    <tableColumn id="6" xr3:uid="{8473809D-27FD-49C3-B703-AB90338B57E5}" name="Kommentar" totalsRowFunction="count"/>
  </tableColumns>
  <tableStyleInfo name="TableStyleMedium6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365B6A7-1D61-4BD8-A1B1-88DFCBE61B1E}" name="Tabell4" displayName="Tabell4" ref="A1:G21">
  <autoFilter ref="A1:G21" xr:uid="{4365B6A7-1D61-4BD8-A1B1-88DFCBE61B1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25A2AF2-CE8B-4D03-BBC7-A771719ABBD9}" name="dato " totalsRowLabel="Totalt"/>
    <tableColumn id="2" xr3:uid="{D103B6DB-25F4-4A20-BBDE-FCF0277201B2}" name="Tidspunkt tillseting "/>
    <tableColumn id="3" xr3:uid="{C0CA2081-48C1-481D-863E-594FB5119AB7}" name="Ammonium før tilsetning "/>
    <tableColumn id="4" xr3:uid="{BF8FFD46-D39C-46E2-96D4-B23E5AE512D1}" name="Ammonium 1 time etter tilsetning "/>
    <tableColumn id="7" xr3:uid="{49386A16-E6D4-4A9E-B54E-91AD29C4C27F}" name="Nitritt før tilsetning 2"/>
    <tableColumn id="6" xr3:uid="{97629755-06B2-4F31-80C8-AF4453C1B744}" name="Nitritt 1 time etter tilsetning 3"/>
    <tableColumn id="5" xr3:uid="{FAADFEAE-A8FD-4B11-AA9B-37CBF02B8E06}" name="Kommentar" totalsRowFunction="count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FBAE463-12FD-4484-A477-C802736ACC38}" name="Tabell5" displayName="Tabell5" ref="A13:D21" totalsRowCount="1">
  <autoFilter ref="A13:D20" xr:uid="{AFBAE463-12FD-4484-A477-C802736ACC38}">
    <filterColumn colId="0" hiddenButton="1"/>
    <filterColumn colId="1" hiddenButton="1"/>
    <filterColumn colId="2" hiddenButton="1"/>
    <filterColumn colId="3" hiddenButton="1"/>
  </autoFilter>
  <tableColumns count="4">
    <tableColumn id="1" xr3:uid="{4222C98C-3129-4264-8FC4-67CFCB648526}" name="Tid [s]" totalsRowLabel="Totalt"/>
    <tableColumn id="2" xr3:uid="{244B6962-1F83-49BD-8712-F06B905A91E9}" name="Tid [min]" dataDxfId="16">
      <calculatedColumnFormula>Tabell5[[#This Row],[Tid '[s']]]/60</calculatedColumnFormula>
    </tableColumn>
    <tableColumn id="3" xr3:uid="{59946092-B142-4BF2-9697-75CA1D51744A}" name="Mengde [l]"/>
    <tableColumn id="4" xr3:uid="{BF9A58C9-0999-4FF6-BA15-7022149FE6B6}" name="Flow [l/min]" totalsRowFunction="average" dataDxfId="15">
      <calculatedColumnFormula>Tabell5[[#This Row],[Mengde '[l']]]/Tabell5[[#This Row],[Tid '[min']]]</calculatedColumnFormula>
    </tableColumn>
  </tableColumns>
  <tableStyleInfo name="TableStyleLight16" showFirstColumn="0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F24D069-4C90-4AA5-89E7-284DD4D36EA3}" name="Tabell57" displayName="Tabell57" ref="G13:J21" totalsRowCount="1">
  <autoFilter ref="G13:J20" xr:uid="{7F24D069-4C90-4AA5-89E7-284DD4D36EA3}">
    <filterColumn colId="0" hiddenButton="1"/>
    <filterColumn colId="1" hiddenButton="1"/>
    <filterColumn colId="2" hiddenButton="1"/>
    <filterColumn colId="3" hiddenButton="1"/>
  </autoFilter>
  <tableColumns count="4">
    <tableColumn id="1" xr3:uid="{5FF2DAFA-73AD-4315-95EE-1BAD2E2662A2}" name="Tid [s]" totalsRowLabel="Totalt"/>
    <tableColumn id="2" xr3:uid="{D9F9C4E1-4BD8-453D-AEB0-A26E4A19D970}" name="Tid [min]" dataDxfId="14">
      <calculatedColumnFormula>Tabell57[[#This Row],[Tid '[s']]]/60</calculatedColumnFormula>
    </tableColumn>
    <tableColumn id="3" xr3:uid="{6AEB4FD3-5E7C-478A-BAC0-3D6D25AB9B27}" name="Mengde [l]"/>
    <tableColumn id="4" xr3:uid="{EBF2963B-4CBE-4552-9E51-1F1877D3D4C6}" name="Flow [l/min]" totalsRowFunction="average" dataDxfId="13">
      <calculatedColumnFormula>Tabell57[[#This Row],[Mengde '[l']]]/Tabell57[[#This Row],[Tid '[min']]]</calculatedColumnFormula>
    </tableColumn>
  </tableColumns>
  <tableStyleInfo name="TableStyleLight16" showFirstColumn="0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CAD1598-7981-4C76-B75D-7E755997EFAA}" name="Tabell7" displayName="Tabell7" ref="A3:D7" totalsRowShown="0" headerRowDxfId="12" dataDxfId="11">
  <autoFilter ref="A3:D7" xr:uid="{BCAD1598-7981-4C76-B75D-7E755997EFAA}">
    <filterColumn colId="0" hiddenButton="1"/>
    <filterColumn colId="1" hiddenButton="1"/>
    <filterColumn colId="2" hiddenButton="1"/>
    <filterColumn colId="3" hiddenButton="1"/>
  </autoFilter>
  <tableColumns count="4">
    <tableColumn id="1" xr3:uid="{EE8AED8E-2E95-4134-B8F8-C6C3AF7C9684}" name="Tid [s]" dataDxfId="10"/>
    <tableColumn id="2" xr3:uid="{E5B484C1-9967-47E3-900C-07AF40E57BF7}" name="Tid [min]" dataDxfId="9"/>
    <tableColumn id="3" xr3:uid="{DC68E27A-2AE0-4B74-ABDE-B6EABF749AA2}" name="Mengde [l]" dataDxfId="8"/>
    <tableColumn id="4" xr3:uid="{0CE8474E-FA35-4031-9FA3-0DA1926C9B7A}" name="Flow [l/min]" dataDxfId="7"/>
  </tableColumns>
  <tableStyleInfo name="TableStyleLight16" showFirstColumn="0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62F7F84-128B-44E9-9C58-70D47353399D}" name="Tabell8" displayName="Tabell8" ref="G3:J7" totalsRowShown="0" headerRowDxfId="6">
  <autoFilter ref="G3:J7" xr:uid="{662F7F84-128B-44E9-9C58-70D47353399D}">
    <filterColumn colId="0" hiddenButton="1"/>
    <filterColumn colId="1" hiddenButton="1"/>
    <filterColumn colId="2" hiddenButton="1"/>
    <filterColumn colId="3" hiddenButton="1"/>
  </autoFilter>
  <tableColumns count="4">
    <tableColumn id="1" xr3:uid="{AC09E4B4-D10F-4C23-B2A9-C0EBE826BD5F}" name="Tid [s]"/>
    <tableColumn id="2" xr3:uid="{378AA2BF-07AD-44E9-95CC-1696CC639AF6}" name="Tid [min]"/>
    <tableColumn id="3" xr3:uid="{40A7A4F7-32F3-4EFA-B7A7-8943CE4A1E8F}" name="Mengde [l]"/>
    <tableColumn id="4" xr3:uid="{FEE8F39B-ACF7-4DE7-A839-525E565A0BC3}" name="Flow [l/min]"/>
  </tableColumns>
  <tableStyleInfo name="TableStyleLight16" showFirstColumn="0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51BC031-BB36-40CF-BDBD-2B7314C9274F}" name="Tabell3" displayName="Tabell3" ref="A1:K15" totalsRowShown="0">
  <autoFilter ref="A1:K15" xr:uid="{C51BC031-BB36-40CF-BDBD-2B7314C9274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0" xr3:uid="{E607D47D-9B9B-4C15-A0C7-28460A0CBD3B}" name="Dato"/>
    <tableColumn id="4" xr3:uid="{F143F938-661A-46E4-957A-273172F461CD}" name="Før bio test 1"/>
    <tableColumn id="12" xr3:uid="{8C27FB9E-12FD-4965-9DC2-22B830FC892C}" name="formel" dataDxfId="5">
      <calculatedColumnFormula>(1.082*Tabell3[[#This Row],[Før bio test 1]])+0.0112</calculatedColumnFormula>
    </tableColumn>
    <tableColumn id="5" xr3:uid="{1A44EC21-35CD-41E4-8CF8-627EDE67FF29}" name="Før bio test 2"/>
    <tableColumn id="13" xr3:uid="{108472A3-E50C-46D3-AAA6-F445ABA237A1}" name="Formel2" dataDxfId="4">
      <calculatedColumnFormula>(1.082*Tabell3[[#This Row],[Før bio test 2]])+0.0112</calculatedColumnFormula>
    </tableColumn>
    <tableColumn id="6" xr3:uid="{051AE10C-B76A-4CE4-810E-1AB42F0E7EC1}" name="Gjennomsnitt før bio" dataDxfId="3">
      <calculatedColumnFormula>AVERAGE(C2,E2)</calculatedColumnFormula>
    </tableColumn>
    <tableColumn id="7" xr3:uid="{5A8549F4-4212-4C24-8408-DB20C7A3D3CF}" name="Etter bio test 1"/>
    <tableColumn id="14" xr3:uid="{504EE2A7-503B-4CDA-9F57-FE15322BC1D2}" name="formel3" dataDxfId="2">
      <calculatedColumnFormula>(1.082*Tabell3[[#This Row],[Etter bio test 1]])+0.0112</calculatedColumnFormula>
    </tableColumn>
    <tableColumn id="8" xr3:uid="{FB84F5F8-232A-4A4E-944A-DDDA1BFE2368}" name="Etter bio test 2"/>
    <tableColumn id="15" xr3:uid="{995C4783-6892-49FB-ACF1-AD3A661963CA}" name="formel4" dataDxfId="1">
      <calculatedColumnFormula>(1.082*Tabell3[[#This Row],[Etter bio test 2]])+0.0112</calculatedColumnFormula>
    </tableColumn>
    <tableColumn id="9" xr3:uid="{59E21762-3083-415B-9440-E1F8C65B3F7B}" name="Gjennomsnitt etter bio" dataDxfId="0">
      <calculatedColumnFormula>AVERAGE(Tabell3[[#This Row],[formel3]:[Etter bio test 2]])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3F9-A63D-4031-9A89-27764636A420}">
  <dimension ref="A1:V60"/>
  <sheetViews>
    <sheetView tabSelected="1" topLeftCell="A20" zoomScale="90" zoomScaleNormal="90" workbookViewId="0">
      <selection activeCell="K36" sqref="K36"/>
    </sheetView>
  </sheetViews>
  <sheetFormatPr baseColWidth="10" defaultColWidth="9" defaultRowHeight="14.25" x14ac:dyDescent="0.45"/>
  <cols>
    <col min="2" max="2" width="9.19921875" bestFit="1" customWidth="1"/>
    <col min="3" max="3" width="20.796875" customWidth="1"/>
    <col min="4" max="4" width="21" customWidth="1"/>
    <col min="7" max="7" width="11.796875" customWidth="1"/>
    <col min="10" max="10" width="12.796875" customWidth="1"/>
    <col min="13" max="14" width="13.86328125" customWidth="1"/>
  </cols>
  <sheetData>
    <row r="1" spans="1:20" x14ac:dyDescent="0.45">
      <c r="C1" s="4" t="s">
        <v>0</v>
      </c>
      <c r="D1" s="7"/>
      <c r="E1" s="36" t="s">
        <v>1</v>
      </c>
      <c r="F1" s="37"/>
      <c r="G1" s="38"/>
      <c r="H1" s="36" t="s">
        <v>2</v>
      </c>
      <c r="I1" s="37"/>
      <c r="J1" s="38"/>
      <c r="K1" s="36" t="s">
        <v>3</v>
      </c>
      <c r="L1" s="37"/>
      <c r="M1" s="37"/>
      <c r="N1" s="37"/>
      <c r="O1" s="38"/>
      <c r="P1" s="36"/>
      <c r="Q1" s="37"/>
      <c r="R1" s="37"/>
      <c r="S1" s="38"/>
    </row>
    <row r="2" spans="1:20" x14ac:dyDescent="0.45">
      <c r="A2" s="18" t="s">
        <v>4</v>
      </c>
      <c r="B2" s="18" t="s">
        <v>5</v>
      </c>
      <c r="C2" s="18" t="s">
        <v>6</v>
      </c>
      <c r="D2" s="18" t="s">
        <v>7</v>
      </c>
      <c r="E2" s="18" t="s">
        <v>8</v>
      </c>
      <c r="F2" s="18" t="s">
        <v>9</v>
      </c>
      <c r="G2" s="18" t="s">
        <v>10</v>
      </c>
      <c r="H2" s="18" t="s">
        <v>11</v>
      </c>
      <c r="I2" s="18" t="s">
        <v>12</v>
      </c>
      <c r="J2" s="18" t="s">
        <v>13</v>
      </c>
      <c r="K2" s="18" t="s">
        <v>14</v>
      </c>
      <c r="L2" s="18" t="s">
        <v>15</v>
      </c>
      <c r="M2" s="18" t="s">
        <v>16</v>
      </c>
      <c r="N2" s="18" t="s">
        <v>17</v>
      </c>
      <c r="O2" s="18" t="s">
        <v>18</v>
      </c>
      <c r="P2" s="18" t="s">
        <v>19</v>
      </c>
      <c r="Q2" s="18" t="s">
        <v>20</v>
      </c>
      <c r="R2" s="18" t="s">
        <v>21</v>
      </c>
      <c r="S2" s="18" t="s">
        <v>22</v>
      </c>
      <c r="T2" s="18" t="s">
        <v>23</v>
      </c>
    </row>
    <row r="3" spans="1:20" x14ac:dyDescent="0.45">
      <c r="A3" s="2">
        <v>44981</v>
      </c>
      <c r="B3" s="3">
        <v>14</v>
      </c>
      <c r="C3" s="1"/>
      <c r="D3" s="1">
        <v>7.7</v>
      </c>
      <c r="G3">
        <v>14558</v>
      </c>
      <c r="H3" t="s">
        <v>24</v>
      </c>
      <c r="J3">
        <v>14547</v>
      </c>
      <c r="P3" s="1">
        <v>0</v>
      </c>
      <c r="Q3" s="1">
        <v>134</v>
      </c>
      <c r="R3" s="1">
        <v>137</v>
      </c>
      <c r="S3" s="1">
        <v>19.100000000000001</v>
      </c>
      <c r="T3" s="1"/>
    </row>
    <row r="4" spans="1:20" x14ac:dyDescent="0.45">
      <c r="A4" s="2">
        <v>44984</v>
      </c>
      <c r="B4" s="3">
        <v>9</v>
      </c>
      <c r="C4" s="1">
        <v>8.1300000000000008</v>
      </c>
      <c r="D4" s="1">
        <v>7.76</v>
      </c>
      <c r="E4" s="1"/>
      <c r="F4" s="1"/>
      <c r="G4" s="1">
        <v>14558</v>
      </c>
      <c r="H4" s="1"/>
      <c r="I4" s="1"/>
      <c r="J4" s="1">
        <v>14547</v>
      </c>
      <c r="K4" s="1"/>
      <c r="L4" s="1"/>
      <c r="M4" s="1"/>
      <c r="N4" s="1"/>
      <c r="O4" s="1"/>
      <c r="P4" s="1">
        <v>0</v>
      </c>
      <c r="Q4" s="1">
        <v>124</v>
      </c>
      <c r="R4" s="1">
        <v>171</v>
      </c>
      <c r="S4" s="1">
        <v>16.100000000000001</v>
      </c>
      <c r="T4" s="1"/>
    </row>
    <row r="5" spans="1:20" x14ac:dyDescent="0.45">
      <c r="A5" s="2">
        <v>44985</v>
      </c>
      <c r="B5" s="3">
        <v>12.3</v>
      </c>
      <c r="C5" s="1">
        <v>8.1199999999999992</v>
      </c>
      <c r="D5" s="1" t="s">
        <v>25</v>
      </c>
      <c r="E5" t="s">
        <v>25</v>
      </c>
      <c r="F5" s="1">
        <v>2.71</v>
      </c>
      <c r="G5" s="1">
        <v>14558</v>
      </c>
      <c r="H5" s="1" t="s">
        <v>25</v>
      </c>
      <c r="I5" s="10">
        <v>0.41299999999999998</v>
      </c>
      <c r="J5" s="1">
        <v>14547</v>
      </c>
      <c r="K5" s="1"/>
      <c r="L5" s="1"/>
      <c r="M5" s="1"/>
      <c r="N5" s="1"/>
      <c r="O5" s="1"/>
      <c r="P5" s="1">
        <v>0</v>
      </c>
      <c r="Q5" s="1">
        <v>178</v>
      </c>
      <c r="R5" s="1">
        <v>182</v>
      </c>
      <c r="S5" s="1">
        <v>25.7</v>
      </c>
      <c r="T5" s="1"/>
    </row>
    <row r="6" spans="1:20" x14ac:dyDescent="0.45">
      <c r="A6" s="2">
        <v>44986</v>
      </c>
      <c r="B6" s="3">
        <v>12</v>
      </c>
      <c r="C6" s="1">
        <v>7.87</v>
      </c>
      <c r="D6" s="1"/>
      <c r="E6" s="1"/>
      <c r="F6" s="1"/>
      <c r="G6" s="1">
        <v>14558</v>
      </c>
      <c r="H6" s="1"/>
      <c r="I6" s="1"/>
      <c r="J6" s="1">
        <v>14547</v>
      </c>
      <c r="K6" s="1"/>
      <c r="L6" s="1"/>
      <c r="M6" s="1"/>
      <c r="N6" s="1"/>
      <c r="O6" s="1"/>
      <c r="P6" s="1">
        <v>0</v>
      </c>
      <c r="Q6" s="1">
        <v>210</v>
      </c>
      <c r="R6" s="1">
        <v>214</v>
      </c>
      <c r="S6" s="1">
        <v>26.1</v>
      </c>
      <c r="T6" s="1"/>
    </row>
    <row r="7" spans="1:20" x14ac:dyDescent="0.45">
      <c r="A7" s="2">
        <v>44987</v>
      </c>
      <c r="B7" s="3">
        <v>10</v>
      </c>
      <c r="C7" s="1">
        <v>7.89</v>
      </c>
      <c r="D7" s="1">
        <v>7.8</v>
      </c>
      <c r="E7" s="1"/>
      <c r="F7" s="1">
        <v>2.06</v>
      </c>
      <c r="G7" s="1">
        <v>14558</v>
      </c>
      <c r="H7" s="1"/>
      <c r="I7" s="1">
        <v>0.7</v>
      </c>
      <c r="J7" s="1">
        <v>14547</v>
      </c>
      <c r="K7" s="1"/>
      <c r="L7" s="1"/>
      <c r="M7" s="1"/>
      <c r="N7" s="1"/>
      <c r="O7" s="1"/>
      <c r="P7" s="1">
        <v>0</v>
      </c>
      <c r="Q7" s="1">
        <v>226</v>
      </c>
      <c r="R7" s="1">
        <v>231</v>
      </c>
      <c r="S7" s="1">
        <v>27</v>
      </c>
      <c r="T7" s="1"/>
    </row>
    <row r="8" spans="1:20" x14ac:dyDescent="0.45">
      <c r="A8" s="2">
        <v>44988</v>
      </c>
      <c r="B8" s="3"/>
      <c r="C8" s="3">
        <v>7.65</v>
      </c>
      <c r="D8" s="3">
        <v>7.78</v>
      </c>
      <c r="E8" s="1"/>
      <c r="F8" s="3">
        <v>0.2</v>
      </c>
      <c r="G8" s="1">
        <v>14558</v>
      </c>
      <c r="H8" s="1"/>
      <c r="I8" s="8">
        <v>0.7</v>
      </c>
      <c r="J8" s="1">
        <v>14547</v>
      </c>
      <c r="K8" s="1"/>
      <c r="L8" s="1"/>
      <c r="M8" s="1"/>
      <c r="N8" s="1"/>
      <c r="O8" s="1"/>
      <c r="P8" s="1">
        <v>0</v>
      </c>
      <c r="Q8" s="1">
        <v>235</v>
      </c>
      <c r="R8" s="1">
        <v>239</v>
      </c>
      <c r="S8" s="1">
        <v>27.1</v>
      </c>
      <c r="T8" s="1"/>
    </row>
    <row r="9" spans="1:20" x14ac:dyDescent="0.45">
      <c r="A9" s="2"/>
      <c r="B9" s="3"/>
      <c r="C9" s="3">
        <v>7.56</v>
      </c>
      <c r="D9" s="3"/>
      <c r="E9" s="1"/>
      <c r="F9" s="1"/>
      <c r="G9" s="1">
        <v>14558</v>
      </c>
      <c r="H9" s="1"/>
      <c r="I9" s="1"/>
      <c r="J9" s="1">
        <v>14547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45">
      <c r="A10" s="2">
        <v>44993</v>
      </c>
      <c r="B10" s="3">
        <v>12.3</v>
      </c>
      <c r="C10" s="3">
        <v>7.35</v>
      </c>
      <c r="D10" s="3"/>
      <c r="E10" s="1"/>
      <c r="F10" s="1">
        <v>0</v>
      </c>
      <c r="G10" s="1">
        <v>14558</v>
      </c>
      <c r="H10" s="1"/>
      <c r="I10" s="1"/>
      <c r="J10" s="1">
        <v>14547</v>
      </c>
      <c r="K10" s="1"/>
      <c r="L10" s="1"/>
      <c r="M10" s="1"/>
      <c r="N10" s="1"/>
      <c r="O10" s="1"/>
      <c r="P10" s="1">
        <v>0</v>
      </c>
      <c r="Q10" s="1">
        <v>106</v>
      </c>
      <c r="R10" s="1">
        <v>109</v>
      </c>
      <c r="S10" s="1">
        <v>12</v>
      </c>
      <c r="T10" s="1"/>
    </row>
    <row r="11" spans="1:20" x14ac:dyDescent="0.45">
      <c r="A11" s="2">
        <v>44994</v>
      </c>
      <c r="B11" s="3">
        <v>11.15</v>
      </c>
      <c r="C11" s="3">
        <v>8.09</v>
      </c>
      <c r="D11" s="3">
        <v>7.57</v>
      </c>
      <c r="E11" s="1"/>
      <c r="F11" s="1">
        <v>1.05</v>
      </c>
      <c r="G11" s="1">
        <v>14558</v>
      </c>
      <c r="H11" s="1"/>
      <c r="I11" s="1">
        <v>0</v>
      </c>
      <c r="J11" s="1">
        <v>14547</v>
      </c>
      <c r="K11" s="1"/>
      <c r="L11" s="1"/>
      <c r="M11" s="1"/>
      <c r="N11" s="1"/>
      <c r="O11" s="1"/>
      <c r="P11" s="1"/>
      <c r="Q11" s="1">
        <v>117</v>
      </c>
      <c r="R11" s="10">
        <v>119</v>
      </c>
      <c r="S11" s="1">
        <v>23.5</v>
      </c>
      <c r="T11" s="1"/>
    </row>
    <row r="12" spans="1:20" x14ac:dyDescent="0.45">
      <c r="A12" s="2">
        <v>44995</v>
      </c>
      <c r="B12" s="3"/>
      <c r="C12" s="3">
        <v>7.85</v>
      </c>
      <c r="D12" s="3">
        <v>8.25</v>
      </c>
      <c r="E12" s="1"/>
      <c r="F12" s="1">
        <v>2.25</v>
      </c>
      <c r="G12" s="1">
        <v>14558</v>
      </c>
      <c r="H12" s="1"/>
      <c r="I12" s="1">
        <v>0</v>
      </c>
      <c r="J12" s="1">
        <v>14547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45">
      <c r="A13" s="2">
        <v>44998</v>
      </c>
      <c r="B13" s="3">
        <v>9</v>
      </c>
      <c r="C13" s="3">
        <v>8.3000000000000007</v>
      </c>
      <c r="D13" s="3"/>
      <c r="E13" s="1"/>
      <c r="F13" s="1">
        <v>2.85</v>
      </c>
      <c r="G13" s="1">
        <v>14558</v>
      </c>
      <c r="H13" s="1"/>
      <c r="I13" s="1">
        <v>0</v>
      </c>
      <c r="J13" s="1">
        <v>14547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45">
      <c r="A14" s="2">
        <v>44999</v>
      </c>
      <c r="B14" s="3">
        <v>9.3000000000000007</v>
      </c>
      <c r="C14" s="9">
        <v>7.73</v>
      </c>
      <c r="D14" s="3">
        <v>7.75</v>
      </c>
      <c r="E14" s="1"/>
      <c r="F14" s="1">
        <v>3</v>
      </c>
      <c r="G14" s="1">
        <v>14558</v>
      </c>
      <c r="H14" s="1"/>
      <c r="I14" s="1">
        <v>0</v>
      </c>
      <c r="J14" s="1">
        <v>14547</v>
      </c>
      <c r="K14" s="1"/>
      <c r="L14" s="1"/>
      <c r="M14" s="1"/>
      <c r="N14" s="1"/>
      <c r="O14" s="1"/>
      <c r="P14" s="1">
        <v>0</v>
      </c>
      <c r="Q14" s="1">
        <v>421</v>
      </c>
      <c r="R14" s="1">
        <v>430</v>
      </c>
      <c r="S14" s="1">
        <v>27</v>
      </c>
      <c r="T14" s="1"/>
    </row>
    <row r="15" spans="1:20" x14ac:dyDescent="0.45">
      <c r="A15" s="2">
        <v>45000</v>
      </c>
      <c r="B15" s="3">
        <v>11</v>
      </c>
      <c r="C15" s="9">
        <v>7.89</v>
      </c>
      <c r="D15" s="9"/>
      <c r="E15" s="1"/>
      <c r="F15" s="1">
        <v>3.05</v>
      </c>
      <c r="G15" s="1">
        <v>14558</v>
      </c>
      <c r="H15" s="1"/>
      <c r="I15" s="1">
        <v>0</v>
      </c>
      <c r="J15" s="1">
        <v>14547</v>
      </c>
      <c r="K15" s="1"/>
      <c r="L15" s="1"/>
      <c r="M15" s="1"/>
      <c r="N15" s="1"/>
      <c r="O15" s="1"/>
      <c r="P15" s="1">
        <v>0</v>
      </c>
      <c r="Q15" s="1">
        <v>421</v>
      </c>
      <c r="R15" s="1">
        <v>430</v>
      </c>
      <c r="S15" s="1">
        <v>27</v>
      </c>
      <c r="T15" s="1"/>
    </row>
    <row r="16" spans="1:20" x14ac:dyDescent="0.45">
      <c r="A16" s="2">
        <v>45001</v>
      </c>
      <c r="B16" s="3">
        <v>9</v>
      </c>
      <c r="C16" s="3">
        <v>7.97</v>
      </c>
      <c r="D16" s="3"/>
      <c r="E16" s="1"/>
      <c r="F16" s="1">
        <v>3.6</v>
      </c>
      <c r="G16" s="1">
        <v>14558</v>
      </c>
      <c r="H16" s="1"/>
      <c r="I16" s="1">
        <v>0</v>
      </c>
      <c r="J16" s="1">
        <v>14547</v>
      </c>
      <c r="K16" s="1"/>
      <c r="L16" s="1"/>
      <c r="M16" s="1"/>
      <c r="N16" s="1"/>
      <c r="O16" s="1"/>
      <c r="P16" s="1">
        <v>0</v>
      </c>
      <c r="Q16" s="1">
        <v>753</v>
      </c>
      <c r="R16" s="1">
        <v>768</v>
      </c>
      <c r="S16" s="1">
        <v>27.1</v>
      </c>
      <c r="T16" s="1"/>
    </row>
    <row r="17" spans="1:20" x14ac:dyDescent="0.45">
      <c r="A17" s="2">
        <v>45003</v>
      </c>
      <c r="B17" s="3">
        <v>9.1999999999999993</v>
      </c>
      <c r="C17" s="3">
        <v>8.23</v>
      </c>
      <c r="D17" s="3"/>
      <c r="E17" s="1"/>
      <c r="F17" s="1">
        <v>3.68</v>
      </c>
      <c r="G17" s="1">
        <v>14558</v>
      </c>
      <c r="H17" s="1"/>
      <c r="I17" s="1">
        <v>0</v>
      </c>
      <c r="J17" s="1">
        <v>14547</v>
      </c>
      <c r="K17" s="1"/>
      <c r="L17" s="1"/>
      <c r="M17" s="1"/>
      <c r="N17" s="1"/>
      <c r="O17" s="1"/>
      <c r="P17" s="1">
        <v>0.4</v>
      </c>
      <c r="Q17" s="1">
        <v>1144</v>
      </c>
      <c r="R17" s="1">
        <v>1169</v>
      </c>
      <c r="S17" s="1">
        <v>27.5</v>
      </c>
      <c r="T17" s="1"/>
    </row>
    <row r="18" spans="1:20" x14ac:dyDescent="0.45">
      <c r="A18" s="2">
        <v>45004</v>
      </c>
      <c r="B18" s="3"/>
      <c r="C18" s="3">
        <v>7.88</v>
      </c>
      <c r="D18" s="3"/>
      <c r="E18" s="1"/>
      <c r="F18" s="1">
        <v>3.65</v>
      </c>
      <c r="G18" s="1">
        <v>14558</v>
      </c>
      <c r="H18" s="1"/>
      <c r="I18" s="1">
        <v>0</v>
      </c>
      <c r="J18" s="1">
        <v>14547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45">
      <c r="A19" s="2">
        <v>45005</v>
      </c>
      <c r="B19" s="3">
        <v>9.3000000000000007</v>
      </c>
      <c r="C19" s="3">
        <v>8.14</v>
      </c>
      <c r="D19" s="3"/>
      <c r="E19" s="1"/>
      <c r="F19" s="1">
        <v>3.71</v>
      </c>
      <c r="G19" s="1">
        <v>14558</v>
      </c>
      <c r="H19" s="1"/>
      <c r="I19" s="1">
        <v>0.53600000000000003</v>
      </c>
      <c r="J19" s="1">
        <v>14547</v>
      </c>
      <c r="K19" s="1"/>
      <c r="L19" s="1"/>
      <c r="M19" s="1"/>
      <c r="N19" s="1"/>
      <c r="O19" s="1"/>
      <c r="P19" s="1">
        <v>0.5</v>
      </c>
      <c r="Q19" s="1">
        <v>1408</v>
      </c>
      <c r="R19" s="1">
        <v>1437</v>
      </c>
      <c r="S19" s="1">
        <v>27.9</v>
      </c>
      <c r="T19" s="1"/>
    </row>
    <row r="20" spans="1:20" x14ac:dyDescent="0.45">
      <c r="A20" s="2">
        <v>45006</v>
      </c>
      <c r="B20" s="3">
        <v>9.3000000000000007</v>
      </c>
      <c r="C20" s="3">
        <v>7.7</v>
      </c>
      <c r="D20" s="3"/>
      <c r="E20" s="1"/>
      <c r="F20" s="1">
        <v>3.75</v>
      </c>
      <c r="G20" s="1">
        <v>14558</v>
      </c>
      <c r="H20" s="1"/>
      <c r="I20" s="1">
        <v>0.59099999999999997</v>
      </c>
      <c r="J20" s="1">
        <v>14547</v>
      </c>
      <c r="K20" s="1"/>
      <c r="L20" s="1"/>
      <c r="M20" s="1"/>
      <c r="N20" s="1"/>
      <c r="O20" s="1"/>
      <c r="P20" s="1">
        <v>0.6</v>
      </c>
      <c r="Q20" s="1">
        <v>1482</v>
      </c>
      <c r="R20" s="1">
        <v>1512</v>
      </c>
      <c r="S20" s="1">
        <v>27.5</v>
      </c>
      <c r="T20" s="1"/>
    </row>
    <row r="21" spans="1:20" x14ac:dyDescent="0.45">
      <c r="A21" s="2">
        <v>45006</v>
      </c>
      <c r="B21" s="3">
        <v>0.15972222222222224</v>
      </c>
      <c r="C21" s="3">
        <v>8</v>
      </c>
      <c r="D21" s="3"/>
      <c r="E21" s="1"/>
      <c r="F21" s="1">
        <v>3.5</v>
      </c>
      <c r="G21" s="1">
        <v>14558</v>
      </c>
      <c r="H21" s="1"/>
      <c r="I21" s="1">
        <v>0.59699999999999998</v>
      </c>
      <c r="J21" s="1">
        <v>14547</v>
      </c>
      <c r="K21" s="1"/>
      <c r="L21" s="1"/>
      <c r="M21" s="1"/>
      <c r="N21" s="1"/>
      <c r="O21" s="1"/>
      <c r="P21" s="1">
        <v>0.6</v>
      </c>
      <c r="Q21" s="1">
        <v>1540</v>
      </c>
      <c r="R21" s="1">
        <v>1572</v>
      </c>
      <c r="S21" s="1">
        <v>27.5</v>
      </c>
      <c r="T21" s="1"/>
    </row>
    <row r="22" spans="1:20" x14ac:dyDescent="0.45">
      <c r="A22" s="2">
        <v>45007</v>
      </c>
      <c r="B22" s="3">
        <v>11</v>
      </c>
      <c r="C22" s="3">
        <v>7.66</v>
      </c>
      <c r="D22" s="3">
        <v>7.54</v>
      </c>
      <c r="E22" s="1">
        <v>3.01</v>
      </c>
      <c r="F22">
        <v>3.59</v>
      </c>
      <c r="G22" s="1">
        <v>14558</v>
      </c>
      <c r="H22" s="1">
        <v>0.61</v>
      </c>
      <c r="I22">
        <v>0.6</v>
      </c>
      <c r="J22" s="1">
        <v>14547</v>
      </c>
      <c r="K22" s="1"/>
      <c r="L22" s="1"/>
      <c r="M22" s="1"/>
      <c r="N22" s="1"/>
      <c r="O22" s="1"/>
      <c r="P22" s="1">
        <v>0.6</v>
      </c>
      <c r="Q22" s="1">
        <v>1588</v>
      </c>
      <c r="R22" s="1">
        <v>1620</v>
      </c>
      <c r="S22" s="1">
        <v>27.8</v>
      </c>
      <c r="T22" s="1"/>
    </row>
    <row r="23" spans="1:20" x14ac:dyDescent="0.45">
      <c r="A23" s="2">
        <v>45007</v>
      </c>
      <c r="B23" s="3">
        <v>16.45</v>
      </c>
      <c r="C23" s="3">
        <v>7.87</v>
      </c>
      <c r="D23" s="3"/>
      <c r="E23" s="1"/>
      <c r="F23" s="1">
        <v>3.31</v>
      </c>
      <c r="G23" s="1">
        <v>14558</v>
      </c>
      <c r="H23" s="1"/>
      <c r="I23" s="1">
        <v>0.58399999999999996</v>
      </c>
      <c r="J23" s="1">
        <v>14547</v>
      </c>
      <c r="K23" s="1"/>
      <c r="L23" s="1"/>
      <c r="M23" s="1"/>
      <c r="N23" s="1"/>
      <c r="O23" s="1"/>
      <c r="P23" s="1">
        <v>0.7</v>
      </c>
      <c r="Q23" s="1">
        <v>1618</v>
      </c>
      <c r="R23" s="1">
        <v>1653</v>
      </c>
      <c r="S23" s="1">
        <v>27.3</v>
      </c>
      <c r="T23" s="1"/>
    </row>
    <row r="24" spans="1:20" x14ac:dyDescent="0.45">
      <c r="A24" s="2">
        <v>45008</v>
      </c>
      <c r="B24" s="3">
        <v>9</v>
      </c>
      <c r="C24" s="3">
        <v>7.87</v>
      </c>
      <c r="D24" s="3">
        <v>7.82</v>
      </c>
      <c r="E24" s="1">
        <v>3.96</v>
      </c>
      <c r="F24" s="1">
        <v>3.88</v>
      </c>
      <c r="G24" s="1">
        <v>14558</v>
      </c>
      <c r="H24" s="1">
        <v>0.57799999999999996</v>
      </c>
      <c r="I24" s="1">
        <v>0.57799999999999996</v>
      </c>
      <c r="J24" s="1">
        <v>14547</v>
      </c>
      <c r="K24" s="1"/>
      <c r="L24" s="1"/>
      <c r="M24" s="1"/>
      <c r="N24" s="1"/>
      <c r="O24" s="1"/>
      <c r="P24" s="1">
        <v>0.7</v>
      </c>
      <c r="Q24" s="1">
        <v>1688</v>
      </c>
      <c r="R24" s="1">
        <v>1723</v>
      </c>
      <c r="S24" s="1">
        <v>27.7</v>
      </c>
      <c r="T24" s="1"/>
    </row>
    <row r="25" spans="1:20" x14ac:dyDescent="0.45">
      <c r="A25" s="2">
        <v>45008</v>
      </c>
      <c r="B25" s="3">
        <v>16.2</v>
      </c>
      <c r="C25" s="3">
        <v>7.8</v>
      </c>
      <c r="D25" s="3"/>
      <c r="E25" s="1"/>
      <c r="F25" s="1">
        <v>3.64</v>
      </c>
      <c r="G25" s="1">
        <v>14558</v>
      </c>
      <c r="H25" s="1"/>
      <c r="I25" s="1">
        <v>0.55700000000000005</v>
      </c>
      <c r="J25" s="1">
        <v>14547</v>
      </c>
      <c r="K25" s="1"/>
      <c r="L25" s="1"/>
      <c r="M25" s="1"/>
      <c r="N25" s="1"/>
      <c r="O25" s="1"/>
      <c r="P25" s="1">
        <v>0.7</v>
      </c>
      <c r="Q25" s="1">
        <v>1730</v>
      </c>
      <c r="R25" s="1">
        <v>1777</v>
      </c>
      <c r="S25" s="1">
        <v>27.5</v>
      </c>
      <c r="T25" s="1"/>
    </row>
    <row r="26" spans="1:20" x14ac:dyDescent="0.45">
      <c r="A26" s="2">
        <v>45009</v>
      </c>
      <c r="B26" s="3">
        <v>9</v>
      </c>
      <c r="C26" s="3">
        <v>7.85</v>
      </c>
      <c r="D26" s="3">
        <v>7.89</v>
      </c>
      <c r="E26" s="1">
        <v>3.88</v>
      </c>
      <c r="F26" s="1">
        <v>3.89</v>
      </c>
      <c r="G26" s="1">
        <v>14558</v>
      </c>
      <c r="H26" s="1">
        <v>0.55300000000000005</v>
      </c>
      <c r="I26" s="1">
        <v>0.54800000000000004</v>
      </c>
      <c r="J26" s="1">
        <v>14547</v>
      </c>
      <c r="K26" s="1"/>
      <c r="L26" s="1"/>
      <c r="M26" s="1"/>
      <c r="N26" s="1"/>
      <c r="O26" s="1"/>
      <c r="P26" s="1">
        <v>0.7</v>
      </c>
      <c r="Q26" s="1">
        <v>1763</v>
      </c>
      <c r="R26" s="1">
        <v>1799</v>
      </c>
      <c r="S26" s="1">
        <v>27.4</v>
      </c>
      <c r="T26" s="1"/>
    </row>
    <row r="27" spans="1:20" x14ac:dyDescent="0.45">
      <c r="A27" s="2">
        <v>45009</v>
      </c>
      <c r="B27" s="3">
        <v>14</v>
      </c>
      <c r="C27" s="3">
        <v>8.1199999999999992</v>
      </c>
      <c r="D27" s="3"/>
      <c r="E27" s="1"/>
      <c r="F27" s="1">
        <v>3.77</v>
      </c>
      <c r="G27" s="1">
        <v>14558</v>
      </c>
      <c r="H27" s="1"/>
      <c r="I27" s="1">
        <v>0.54900000000000004</v>
      </c>
      <c r="J27" s="1">
        <v>14547</v>
      </c>
      <c r="K27" s="1"/>
      <c r="L27" s="1"/>
      <c r="M27" s="1"/>
      <c r="N27" s="1"/>
      <c r="O27" s="1"/>
      <c r="P27" s="1">
        <v>0.7</v>
      </c>
      <c r="Q27" s="1">
        <v>1690</v>
      </c>
      <c r="R27" s="1">
        <v>1724</v>
      </c>
      <c r="S27" s="1">
        <v>26.9</v>
      </c>
      <c r="T27" s="1"/>
    </row>
    <row r="28" spans="1:20" x14ac:dyDescent="0.45">
      <c r="A28" s="2">
        <v>45010</v>
      </c>
      <c r="B28" s="3">
        <v>12</v>
      </c>
      <c r="C28" s="3">
        <v>8.15</v>
      </c>
      <c r="D28" s="3">
        <v>8.14</v>
      </c>
      <c r="E28" s="1">
        <v>3.91</v>
      </c>
      <c r="F28" s="1">
        <v>3.87</v>
      </c>
      <c r="G28" s="1">
        <v>14558</v>
      </c>
      <c r="H28" s="1">
        <v>0.55700000000000005</v>
      </c>
      <c r="I28" s="1">
        <v>0.54900000000000004</v>
      </c>
      <c r="J28" s="1">
        <v>14547</v>
      </c>
      <c r="K28" s="1"/>
      <c r="L28" s="1"/>
      <c r="M28" s="1"/>
      <c r="N28" s="1"/>
      <c r="O28" s="1"/>
      <c r="P28" s="1">
        <v>0.7</v>
      </c>
      <c r="Q28" s="1">
        <v>1705</v>
      </c>
      <c r="R28" s="1">
        <v>1740</v>
      </c>
      <c r="S28" s="1">
        <v>27.3</v>
      </c>
      <c r="T28" s="1"/>
    </row>
    <row r="29" spans="1:20" x14ac:dyDescent="0.45">
      <c r="A29" s="2">
        <v>45011</v>
      </c>
      <c r="B29" s="3">
        <v>12</v>
      </c>
      <c r="C29" s="3">
        <v>8.14</v>
      </c>
      <c r="D29" s="3">
        <v>8.1199999999999992</v>
      </c>
      <c r="E29" s="1">
        <v>3.64</v>
      </c>
      <c r="F29" s="1">
        <v>3.66</v>
      </c>
      <c r="G29" s="1">
        <v>14558</v>
      </c>
      <c r="H29" s="1">
        <v>0.52400000000000002</v>
      </c>
      <c r="I29" s="1">
        <v>0.52400000000000002</v>
      </c>
      <c r="J29" s="1">
        <v>14547</v>
      </c>
      <c r="K29" s="1"/>
      <c r="L29" s="1"/>
      <c r="M29" s="1"/>
      <c r="N29" s="1"/>
      <c r="O29" s="1"/>
      <c r="P29" s="1">
        <v>0.7</v>
      </c>
      <c r="Q29" s="1">
        <v>1748</v>
      </c>
      <c r="R29" s="1">
        <v>1782</v>
      </c>
      <c r="S29" s="1">
        <v>27</v>
      </c>
      <c r="T29" s="1"/>
    </row>
    <row r="30" spans="1:20" x14ac:dyDescent="0.45">
      <c r="A30" s="2">
        <v>45012</v>
      </c>
      <c r="B30" s="3">
        <v>11</v>
      </c>
      <c r="C30" s="3">
        <v>7.75</v>
      </c>
      <c r="D30" s="3">
        <v>7.73</v>
      </c>
      <c r="E30" s="1">
        <v>3.58</v>
      </c>
      <c r="F30" s="1">
        <v>3.61</v>
      </c>
      <c r="G30" s="1">
        <v>14558</v>
      </c>
      <c r="H30" s="1">
        <v>0.52700000000000002</v>
      </c>
      <c r="I30" s="1">
        <v>0.51800000000000002</v>
      </c>
      <c r="J30" s="1">
        <v>14547</v>
      </c>
      <c r="K30" s="1"/>
      <c r="L30" s="1"/>
      <c r="M30" s="1"/>
      <c r="N30" s="1"/>
      <c r="O30" s="1"/>
      <c r="P30" s="1">
        <v>0.7</v>
      </c>
      <c r="Q30" s="1">
        <v>1764</v>
      </c>
      <c r="R30" s="1">
        <v>1800</v>
      </c>
      <c r="S30" s="1">
        <v>27.3</v>
      </c>
      <c r="T30" s="1"/>
    </row>
    <row r="31" spans="1:20" x14ac:dyDescent="0.45">
      <c r="A31" s="2">
        <v>45013</v>
      </c>
      <c r="B31" s="3">
        <v>11</v>
      </c>
      <c r="C31" s="3">
        <v>7.71</v>
      </c>
      <c r="D31" s="3"/>
      <c r="E31" s="1"/>
      <c r="F31" s="1">
        <v>2.87</v>
      </c>
      <c r="G31" s="1">
        <v>14558</v>
      </c>
      <c r="H31" s="1"/>
      <c r="I31" s="1">
        <v>0.51400000000000001</v>
      </c>
      <c r="J31" s="1">
        <v>14547</v>
      </c>
      <c r="K31" s="1"/>
      <c r="L31" s="1"/>
      <c r="M31" s="1"/>
      <c r="N31" s="1"/>
      <c r="O31" s="1"/>
      <c r="P31" s="1">
        <v>0.7</v>
      </c>
      <c r="Q31" s="1">
        <v>1739</v>
      </c>
      <c r="R31" s="1">
        <v>1774</v>
      </c>
      <c r="S31" s="1">
        <v>26.9</v>
      </c>
      <c r="T31" s="19">
        <v>0.91</v>
      </c>
    </row>
    <row r="32" spans="1:20" x14ac:dyDescent="0.45">
      <c r="A32" s="2">
        <v>45014</v>
      </c>
      <c r="B32" s="3">
        <v>9</v>
      </c>
      <c r="C32" s="3">
        <v>7.9</v>
      </c>
      <c r="D32" s="3">
        <v>7.84</v>
      </c>
      <c r="E32" s="1">
        <v>3.86</v>
      </c>
      <c r="F32" s="1">
        <v>3.84</v>
      </c>
      <c r="G32" s="1">
        <v>14558</v>
      </c>
      <c r="H32" s="1"/>
      <c r="I32" s="1">
        <v>0.49</v>
      </c>
      <c r="J32" s="1">
        <v>14547</v>
      </c>
      <c r="K32" s="1"/>
      <c r="L32" s="1"/>
      <c r="M32" s="1"/>
      <c r="N32" s="1"/>
      <c r="O32" s="1"/>
      <c r="P32" s="1">
        <v>0.7</v>
      </c>
      <c r="Q32" s="1">
        <v>1694</v>
      </c>
      <c r="R32" s="1">
        <v>1729</v>
      </c>
      <c r="S32" s="1">
        <v>27</v>
      </c>
      <c r="T32" s="19">
        <v>0.94</v>
      </c>
    </row>
    <row r="33" spans="1:22" x14ac:dyDescent="0.45">
      <c r="A33" s="2">
        <v>45015</v>
      </c>
      <c r="B33" s="3">
        <v>11.15</v>
      </c>
      <c r="C33" s="3">
        <v>7.59</v>
      </c>
      <c r="D33" s="3"/>
      <c r="E33" s="1">
        <v>3.7</v>
      </c>
      <c r="F33" s="1">
        <v>3.63</v>
      </c>
      <c r="G33" s="1">
        <v>14558</v>
      </c>
      <c r="H33" s="1"/>
      <c r="I33" s="1">
        <v>0.48199999999999998</v>
      </c>
      <c r="J33" s="1">
        <v>14547</v>
      </c>
      <c r="K33" s="1"/>
      <c r="L33" s="1"/>
      <c r="M33" s="1"/>
      <c r="N33" s="1"/>
      <c r="O33" s="1"/>
      <c r="P33" s="1">
        <v>0.7</v>
      </c>
      <c r="Q33" s="1">
        <v>1649</v>
      </c>
      <c r="R33" s="1">
        <v>1683</v>
      </c>
      <c r="S33" s="1">
        <v>27.1</v>
      </c>
      <c r="T33" s="19">
        <v>0.91</v>
      </c>
    </row>
    <row r="34" spans="1:22" x14ac:dyDescent="0.45">
      <c r="A34" s="2">
        <v>45016</v>
      </c>
      <c r="B34" s="3">
        <v>11</v>
      </c>
      <c r="C34" s="3">
        <v>7.49</v>
      </c>
      <c r="D34" s="3"/>
      <c r="E34" s="1">
        <v>3.34</v>
      </c>
      <c r="F34" s="1">
        <v>3.38</v>
      </c>
      <c r="G34" s="1">
        <v>14558</v>
      </c>
      <c r="H34" s="1">
        <v>0.58499999999999996</v>
      </c>
      <c r="I34" s="1">
        <v>0.61099999999999999</v>
      </c>
      <c r="J34" s="1">
        <v>14547</v>
      </c>
      <c r="K34" s="1"/>
      <c r="L34" s="1"/>
      <c r="M34" s="1"/>
      <c r="N34" s="1"/>
      <c r="O34" s="1"/>
      <c r="P34" s="1">
        <v>0.8</v>
      </c>
      <c r="Q34" s="1">
        <v>1779</v>
      </c>
      <c r="R34" s="1">
        <v>1815</v>
      </c>
      <c r="S34" s="1">
        <v>27.6</v>
      </c>
      <c r="T34" s="19">
        <v>0.92</v>
      </c>
    </row>
    <row r="35" spans="1:22" x14ac:dyDescent="0.45">
      <c r="A35" s="2">
        <v>45017</v>
      </c>
      <c r="B35" s="3">
        <v>11</v>
      </c>
      <c r="C35" s="3">
        <v>7.63</v>
      </c>
      <c r="D35" s="3"/>
      <c r="E35" s="1">
        <f>1.618*2</f>
        <v>3.2360000000000002</v>
      </c>
      <c r="F35" s="1">
        <f>1.605*2</f>
        <v>3.21</v>
      </c>
      <c r="G35" s="1">
        <v>14739</v>
      </c>
      <c r="H35" s="1">
        <f>0.651*2</f>
        <v>1.302</v>
      </c>
      <c r="I35" s="1">
        <f>0.652*2</f>
        <v>1.304</v>
      </c>
      <c r="J35" s="1">
        <v>14547</v>
      </c>
      <c r="K35" s="1"/>
      <c r="L35" s="1"/>
      <c r="M35" s="1"/>
      <c r="N35" s="1"/>
      <c r="O35" s="1"/>
      <c r="P35" s="1">
        <v>0.8</v>
      </c>
      <c r="Q35" s="1">
        <v>1925</v>
      </c>
      <c r="R35" s="1">
        <v>1965</v>
      </c>
      <c r="S35" s="1">
        <v>27.4</v>
      </c>
      <c r="T35" s="19">
        <v>0.91</v>
      </c>
    </row>
    <row r="36" spans="1:22" x14ac:dyDescent="0.45">
      <c r="A36" s="2">
        <v>45018</v>
      </c>
      <c r="B36" s="3">
        <v>11</v>
      </c>
      <c r="C36" s="3">
        <v>6.92</v>
      </c>
      <c r="D36" s="3"/>
      <c r="E36" s="1">
        <f>0.839*2</f>
        <v>1.6779999999999999</v>
      </c>
      <c r="F36" s="1">
        <f>0.809*2</f>
        <v>1.6180000000000001</v>
      </c>
      <c r="G36" s="1">
        <v>14739</v>
      </c>
      <c r="H36" s="1">
        <f>0.4*8</f>
        <v>3.2</v>
      </c>
      <c r="I36" s="1">
        <f>0.427*8</f>
        <v>3.4159999999999999</v>
      </c>
      <c r="J36" s="1">
        <v>14547</v>
      </c>
      <c r="K36" s="1">
        <v>1.7</v>
      </c>
      <c r="L36" s="1"/>
      <c r="M36" s="1">
        <v>1.9</v>
      </c>
      <c r="N36" s="1"/>
      <c r="O36" s="1">
        <v>14542</v>
      </c>
      <c r="P36" s="1">
        <v>0.9</v>
      </c>
      <c r="Q36" s="1">
        <v>1971</v>
      </c>
      <c r="R36" s="1">
        <v>2001</v>
      </c>
      <c r="S36" s="1">
        <v>27.7</v>
      </c>
      <c r="T36" s="19">
        <v>0.89</v>
      </c>
    </row>
    <row r="37" spans="1:22" x14ac:dyDescent="0.45">
      <c r="A37" s="2">
        <v>45019</v>
      </c>
      <c r="B37" s="3">
        <v>11</v>
      </c>
      <c r="C37" s="3">
        <v>7.87</v>
      </c>
      <c r="D37" s="3"/>
      <c r="E37" s="1">
        <f>0.045*2</f>
        <v>0.09</v>
      </c>
      <c r="F37" s="1">
        <f>0.057*2</f>
        <v>0.114</v>
      </c>
      <c r="G37" s="1">
        <v>14739</v>
      </c>
      <c r="H37" s="1">
        <f>0.68*10</f>
        <v>6.8000000000000007</v>
      </c>
      <c r="I37" s="1">
        <f>0.688*10</f>
        <v>6.879999999999999</v>
      </c>
      <c r="J37" s="1">
        <v>14547</v>
      </c>
      <c r="K37" s="1">
        <v>2.4</v>
      </c>
      <c r="L37" s="1"/>
      <c r="M37" s="1">
        <v>3.2</v>
      </c>
      <c r="N37" s="1"/>
      <c r="O37" s="1">
        <v>14542</v>
      </c>
      <c r="P37" s="1">
        <v>0.8</v>
      </c>
      <c r="Q37" s="1">
        <v>1925</v>
      </c>
      <c r="R37" s="1">
        <v>1965</v>
      </c>
      <c r="S37" s="1">
        <v>27.5</v>
      </c>
      <c r="T37" s="19">
        <v>0.88</v>
      </c>
      <c r="V37" t="s">
        <v>24</v>
      </c>
    </row>
    <row r="38" spans="1:22" x14ac:dyDescent="0.45">
      <c r="A38" s="2">
        <v>45020</v>
      </c>
      <c r="B38" s="3">
        <v>11</v>
      </c>
      <c r="C38" s="3">
        <v>8</v>
      </c>
      <c r="D38" s="3">
        <v>7.74</v>
      </c>
      <c r="E38" s="1">
        <v>3.7999999999999999E-2</v>
      </c>
      <c r="F38" s="1">
        <v>4.5999999999999999E-2</v>
      </c>
      <c r="G38" s="1">
        <v>14739</v>
      </c>
      <c r="H38" s="1">
        <f>0.501*20</f>
        <v>10.02</v>
      </c>
      <c r="I38" s="1">
        <f>0.513*20</f>
        <v>10.26</v>
      </c>
      <c r="J38" s="1">
        <v>14547</v>
      </c>
      <c r="K38" s="1">
        <v>4</v>
      </c>
      <c r="L38" s="1"/>
      <c r="M38" s="1">
        <v>5.6</v>
      </c>
      <c r="N38" s="1"/>
      <c r="O38" s="1">
        <v>14542</v>
      </c>
      <c r="P38" s="1">
        <v>0.9</v>
      </c>
      <c r="Q38" s="1">
        <v>1971</v>
      </c>
      <c r="R38" s="1">
        <v>2001</v>
      </c>
      <c r="S38" s="1">
        <v>27.6</v>
      </c>
      <c r="T38" s="19">
        <v>0.9</v>
      </c>
    </row>
    <row r="39" spans="1:22" x14ac:dyDescent="0.45">
      <c r="A39" s="2">
        <v>45021</v>
      </c>
      <c r="B39" s="3">
        <v>11</v>
      </c>
      <c r="C39" s="3">
        <v>7.9</v>
      </c>
      <c r="D39" s="3">
        <v>7.47</v>
      </c>
      <c r="E39" s="1">
        <v>4.7E-2</v>
      </c>
      <c r="F39" s="1">
        <f>0.041</f>
        <v>4.1000000000000002E-2</v>
      </c>
      <c r="G39" s="1">
        <v>14739</v>
      </c>
      <c r="H39" s="1">
        <f>0.654*20</f>
        <v>13.08</v>
      </c>
      <c r="I39" s="1">
        <f>0.662*20</f>
        <v>13.24</v>
      </c>
      <c r="J39" s="1">
        <v>14547</v>
      </c>
      <c r="K39" s="1">
        <v>4.9000000000000004</v>
      </c>
      <c r="L39" s="1"/>
      <c r="M39" s="1">
        <v>6</v>
      </c>
      <c r="N39" s="1"/>
      <c r="O39" s="1">
        <v>14542</v>
      </c>
      <c r="P39" s="1">
        <v>0.8</v>
      </c>
      <c r="Q39" s="1">
        <v>1833</v>
      </c>
      <c r="R39" s="1">
        <v>1871</v>
      </c>
      <c r="S39" s="1">
        <v>26.7</v>
      </c>
      <c r="T39" s="19">
        <v>0.91</v>
      </c>
    </row>
    <row r="40" spans="1:22" x14ac:dyDescent="0.45">
      <c r="A40" s="6">
        <v>45022</v>
      </c>
      <c r="B40" s="3">
        <v>10.45</v>
      </c>
      <c r="C40" s="3">
        <v>7.15</v>
      </c>
      <c r="D40" s="3">
        <v>7.64</v>
      </c>
      <c r="E40" s="1">
        <v>3.9E-2</v>
      </c>
      <c r="F40" s="1">
        <v>4.3999999999999997E-2</v>
      </c>
      <c r="G40" s="1">
        <v>14739</v>
      </c>
      <c r="H40" s="1">
        <f>0.669*24</f>
        <v>16.056000000000001</v>
      </c>
      <c r="I40" s="1">
        <f>0.679*24</f>
        <v>16.295999999999999</v>
      </c>
      <c r="J40" s="1">
        <v>14547</v>
      </c>
      <c r="K40" s="1">
        <v>7.7</v>
      </c>
      <c r="L40" s="1"/>
      <c r="M40" s="1">
        <v>8.6999999999999993</v>
      </c>
      <c r="N40" s="1"/>
      <c r="O40" s="1">
        <v>14542</v>
      </c>
      <c r="P40" s="1">
        <v>0.7</v>
      </c>
      <c r="Q40" s="1">
        <v>1751</v>
      </c>
      <c r="R40" s="1">
        <v>1786</v>
      </c>
      <c r="S40" s="1">
        <v>26.5</v>
      </c>
      <c r="T40" s="19">
        <v>0.91</v>
      </c>
    </row>
    <row r="41" spans="1:22" x14ac:dyDescent="0.45">
      <c r="A41" s="2">
        <v>45023</v>
      </c>
      <c r="B41" s="3">
        <v>9.4499999999999993</v>
      </c>
      <c r="C41" s="3">
        <v>7.82</v>
      </c>
      <c r="D41" s="3">
        <v>7.61</v>
      </c>
      <c r="E41" s="1">
        <v>4.1000000000000002E-2</v>
      </c>
      <c r="F41" s="1">
        <v>3.1E-2</v>
      </c>
      <c r="G41" s="1">
        <v>14739</v>
      </c>
      <c r="H41" s="1" t="s">
        <v>26</v>
      </c>
      <c r="I41" s="1">
        <v>14</v>
      </c>
      <c r="J41" s="1">
        <v>14547</v>
      </c>
      <c r="K41" s="1">
        <v>7.1</v>
      </c>
      <c r="L41" s="1"/>
      <c r="M41" s="1">
        <v>9.5</v>
      </c>
      <c r="N41" s="1"/>
      <c r="O41" s="1">
        <v>14542</v>
      </c>
      <c r="P41" s="1">
        <v>0.8</v>
      </c>
      <c r="Q41" s="1">
        <v>1881</v>
      </c>
      <c r="R41" s="1">
        <v>1920</v>
      </c>
      <c r="S41" s="1">
        <v>26.8</v>
      </c>
      <c r="T41" s="19">
        <v>0.92</v>
      </c>
    </row>
    <row r="42" spans="1:22" x14ac:dyDescent="0.45">
      <c r="A42" s="2">
        <v>45024</v>
      </c>
      <c r="B42" s="3">
        <v>12</v>
      </c>
      <c r="C42" s="3">
        <v>8.18</v>
      </c>
      <c r="D42" s="3"/>
      <c r="E42" s="1">
        <v>3.5999999999999997E-2</v>
      </c>
      <c r="F42" s="1">
        <v>3.5999999999999997E-2</v>
      </c>
      <c r="G42" s="1">
        <v>14739</v>
      </c>
      <c r="H42" s="1">
        <f>0.437*50</f>
        <v>21.85</v>
      </c>
      <c r="I42" s="1">
        <v>20.89</v>
      </c>
      <c r="J42" s="1">
        <v>14547</v>
      </c>
      <c r="K42" s="1">
        <v>6.8</v>
      </c>
      <c r="L42" s="1"/>
      <c r="M42" s="1">
        <v>7.2</v>
      </c>
      <c r="N42" s="1"/>
      <c r="O42" s="1">
        <v>14542</v>
      </c>
      <c r="P42" s="1"/>
      <c r="Q42" s="1"/>
      <c r="R42" s="1"/>
      <c r="S42" s="1"/>
      <c r="T42" s="1"/>
    </row>
    <row r="43" spans="1:22" x14ac:dyDescent="0.45">
      <c r="A43" s="2">
        <v>45025</v>
      </c>
      <c r="B43" s="3">
        <v>10</v>
      </c>
      <c r="C43" s="3">
        <v>7.7</v>
      </c>
      <c r="D43" s="3">
        <v>7.63</v>
      </c>
      <c r="E43" s="1">
        <v>0.04</v>
      </c>
      <c r="F43" s="1">
        <v>3.2000000000000001E-2</v>
      </c>
      <c r="G43" s="1">
        <v>14739</v>
      </c>
      <c r="H43" s="1">
        <f>0.536*50</f>
        <v>26.8</v>
      </c>
      <c r="I43" s="10">
        <f>0.518*50</f>
        <v>25.900000000000002</v>
      </c>
      <c r="J43" s="1">
        <v>14547</v>
      </c>
      <c r="K43" s="1">
        <v>10.199999999999999</v>
      </c>
      <c r="L43" s="1"/>
      <c r="M43" s="1">
        <v>9.3000000000000007</v>
      </c>
      <c r="N43" s="1"/>
      <c r="O43" s="1">
        <v>14542</v>
      </c>
      <c r="P43" s="1">
        <v>0.8</v>
      </c>
      <c r="Q43" s="1">
        <v>1805</v>
      </c>
      <c r="R43" s="1">
        <v>1842</v>
      </c>
      <c r="S43" s="1">
        <v>26.9</v>
      </c>
      <c r="T43" s="19">
        <v>0.91</v>
      </c>
    </row>
    <row r="44" spans="1:22" x14ac:dyDescent="0.45">
      <c r="A44" s="2">
        <v>45026</v>
      </c>
      <c r="B44" s="3">
        <v>10.3</v>
      </c>
      <c r="C44" s="3">
        <v>7.11</v>
      </c>
      <c r="D44" s="3">
        <v>7.47</v>
      </c>
      <c r="E44" s="1">
        <v>3.6999999999999998E-2</v>
      </c>
      <c r="F44" s="1">
        <v>2.8000000000000001E-2</v>
      </c>
      <c r="G44" s="1">
        <v>14739</v>
      </c>
      <c r="H44" s="1">
        <f>0.49*60</f>
        <v>29.4</v>
      </c>
      <c r="I44" s="1">
        <f>0.474*60</f>
        <v>28.439999999999998</v>
      </c>
      <c r="J44" s="1">
        <v>14547</v>
      </c>
      <c r="K44" s="1">
        <v>10.6</v>
      </c>
      <c r="L44" s="1"/>
      <c r="M44" s="1">
        <v>10.1</v>
      </c>
      <c r="N44" s="1"/>
      <c r="O44" s="1">
        <v>14542</v>
      </c>
      <c r="P44" s="1">
        <v>0.7</v>
      </c>
      <c r="Q44" s="1">
        <v>1804</v>
      </c>
      <c r="R44" s="1">
        <v>1763</v>
      </c>
      <c r="S44" s="1">
        <v>27</v>
      </c>
      <c r="T44" s="19">
        <v>0.91</v>
      </c>
    </row>
    <row r="45" spans="1:22" x14ac:dyDescent="0.45">
      <c r="A45" s="2">
        <v>45027</v>
      </c>
      <c r="B45" s="3">
        <v>11.2</v>
      </c>
      <c r="C45" s="3">
        <v>7.14</v>
      </c>
      <c r="D45" s="3">
        <v>7.43</v>
      </c>
      <c r="E45" s="1">
        <v>3.7999999999999999E-2</v>
      </c>
      <c r="F45" s="1">
        <v>3.7999999999999999E-2</v>
      </c>
      <c r="G45" s="1">
        <v>14739</v>
      </c>
      <c r="H45" s="1">
        <f>0.466*70</f>
        <v>32.620000000000005</v>
      </c>
      <c r="I45" s="1">
        <f>0.465*70</f>
        <v>32.550000000000004</v>
      </c>
      <c r="J45" s="1">
        <v>14547</v>
      </c>
      <c r="K45" s="1">
        <v>11.3</v>
      </c>
      <c r="L45" s="1"/>
      <c r="M45" s="1">
        <v>11.2</v>
      </c>
      <c r="N45" s="1"/>
      <c r="O45" s="1">
        <v>14542</v>
      </c>
      <c r="P45" s="1">
        <v>0.7</v>
      </c>
      <c r="Q45" s="1">
        <v>1657</v>
      </c>
      <c r="R45" s="1">
        <v>1692</v>
      </c>
      <c r="S45" s="1">
        <v>26.8</v>
      </c>
      <c r="T45" s="1">
        <v>92</v>
      </c>
    </row>
    <row r="46" spans="1:22" x14ac:dyDescent="0.45">
      <c r="A46" s="2">
        <v>45028</v>
      </c>
      <c r="B46" s="3">
        <v>9.3000000000000007</v>
      </c>
      <c r="C46" s="3">
        <v>7.05</v>
      </c>
      <c r="D46" s="3">
        <v>7.2</v>
      </c>
      <c r="E46" s="1">
        <v>0.85099999999999998</v>
      </c>
      <c r="F46" s="1">
        <v>0.85099999999999998</v>
      </c>
      <c r="G46" s="1">
        <v>14739</v>
      </c>
      <c r="H46" s="1">
        <f>0.519*70</f>
        <v>36.33</v>
      </c>
      <c r="I46" s="1">
        <f>0.505*70</f>
        <v>35.35</v>
      </c>
      <c r="J46" s="1">
        <v>14547</v>
      </c>
      <c r="K46" s="1">
        <v>13.8</v>
      </c>
      <c r="L46" s="1"/>
      <c r="M46" s="1">
        <v>12.7</v>
      </c>
      <c r="N46" s="1"/>
      <c r="O46" s="1">
        <v>14542</v>
      </c>
      <c r="P46" s="1">
        <v>0.6</v>
      </c>
      <c r="Q46" s="1">
        <v>1541</v>
      </c>
      <c r="R46" s="1">
        <v>1572</v>
      </c>
      <c r="S46" s="1">
        <v>26.7</v>
      </c>
      <c r="T46" s="19">
        <v>0.92</v>
      </c>
    </row>
    <row r="47" spans="1:22" x14ac:dyDescent="0.45">
      <c r="A47" s="2">
        <v>45029</v>
      </c>
      <c r="B47" s="3">
        <v>9.3000000000000007</v>
      </c>
      <c r="C47" s="3">
        <v>8</v>
      </c>
      <c r="D47" s="3">
        <v>8.1</v>
      </c>
      <c r="E47" s="1">
        <v>3.5999999999999997E-2</v>
      </c>
      <c r="F47" s="1">
        <v>3.5999999999999997E-2</v>
      </c>
      <c r="G47" s="1">
        <v>14739</v>
      </c>
      <c r="H47" s="1">
        <f>0.553*70</f>
        <v>38.71</v>
      </c>
      <c r="I47" s="1">
        <f>0.511*70</f>
        <v>35.770000000000003</v>
      </c>
      <c r="J47" s="1">
        <v>14547</v>
      </c>
      <c r="K47" s="23">
        <v>11.6</v>
      </c>
      <c r="L47" s="23">
        <v>11.2</v>
      </c>
      <c r="M47" s="23">
        <v>15</v>
      </c>
      <c r="N47" s="23">
        <v>11.6</v>
      </c>
      <c r="O47" s="1">
        <v>14542</v>
      </c>
      <c r="P47" s="1">
        <v>0.7</v>
      </c>
      <c r="Q47" s="1">
        <v>1705</v>
      </c>
      <c r="R47" s="1">
        <v>1740</v>
      </c>
      <c r="S47" s="1">
        <v>27</v>
      </c>
      <c r="T47" s="19">
        <v>0.91</v>
      </c>
    </row>
    <row r="48" spans="1:22" x14ac:dyDescent="0.45">
      <c r="A48" s="6">
        <v>45030</v>
      </c>
      <c r="B48">
        <v>11.3</v>
      </c>
      <c r="C48">
        <v>7.87</v>
      </c>
      <c r="D48">
        <v>7.87</v>
      </c>
      <c r="E48">
        <v>4.4999999999999998E-2</v>
      </c>
      <c r="F48">
        <v>4.4999999999999998E-2</v>
      </c>
      <c r="G48">
        <v>14752</v>
      </c>
      <c r="H48">
        <f>0.586*70</f>
        <v>41.019999999999996</v>
      </c>
      <c r="I48">
        <f>0.584*70</f>
        <v>40.879999999999995</v>
      </c>
      <c r="J48">
        <v>14547</v>
      </c>
      <c r="K48" s="16">
        <v>13.8</v>
      </c>
      <c r="L48" s="16">
        <v>18.399999999999999</v>
      </c>
      <c r="M48" s="16">
        <v>13</v>
      </c>
      <c r="N48" s="16">
        <v>14.6</v>
      </c>
      <c r="O48">
        <v>14542</v>
      </c>
      <c r="P48">
        <v>0.7</v>
      </c>
      <c r="Q48">
        <v>1695</v>
      </c>
      <c r="R48">
        <v>1730</v>
      </c>
      <c r="S48">
        <v>27</v>
      </c>
      <c r="T48" s="24">
        <v>0.91</v>
      </c>
    </row>
    <row r="49" spans="1:20" x14ac:dyDescent="0.45">
      <c r="A49" s="6">
        <v>45031</v>
      </c>
      <c r="B49">
        <v>12.3</v>
      </c>
      <c r="C49">
        <v>7.28</v>
      </c>
      <c r="E49">
        <f>0.08/2</f>
        <v>0.04</v>
      </c>
      <c r="F49">
        <f>0.09/2</f>
        <v>4.4999999999999998E-2</v>
      </c>
      <c r="G49">
        <v>14752</v>
      </c>
      <c r="H49">
        <f>0.66*70</f>
        <v>46.2</v>
      </c>
      <c r="I49">
        <f>0.668*70</f>
        <v>46.760000000000005</v>
      </c>
      <c r="J49">
        <v>14547</v>
      </c>
      <c r="K49" s="16">
        <v>15</v>
      </c>
      <c r="L49" s="16">
        <v>18.8</v>
      </c>
      <c r="M49" s="16">
        <v>17.899999999999999</v>
      </c>
      <c r="N49" s="16">
        <v>16.399999999999999</v>
      </c>
      <c r="O49">
        <v>14542</v>
      </c>
      <c r="P49">
        <v>0.7</v>
      </c>
      <c r="Q49">
        <v>1687</v>
      </c>
      <c r="R49">
        <v>1721</v>
      </c>
      <c r="S49">
        <v>27.1</v>
      </c>
      <c r="T49" s="24">
        <v>0.92</v>
      </c>
    </row>
    <row r="50" spans="1:20" x14ac:dyDescent="0.45">
      <c r="A50" s="6">
        <v>45032</v>
      </c>
      <c r="B50">
        <v>16.3</v>
      </c>
      <c r="C50">
        <v>8.17</v>
      </c>
      <c r="E50">
        <v>0.04</v>
      </c>
      <c r="F50">
        <v>0.04</v>
      </c>
      <c r="G50">
        <v>14752</v>
      </c>
      <c r="H50">
        <f>0.556*90</f>
        <v>50.040000000000006</v>
      </c>
      <c r="I50">
        <f>0.562*90</f>
        <v>50.580000000000005</v>
      </c>
      <c r="J50">
        <v>14547</v>
      </c>
      <c r="K50" s="16">
        <v>17.399999999999999</v>
      </c>
      <c r="L50" s="16">
        <v>19.5</v>
      </c>
      <c r="M50" s="16">
        <v>15.9</v>
      </c>
      <c r="N50" s="16">
        <v>27.2</v>
      </c>
      <c r="O50">
        <v>14542</v>
      </c>
      <c r="P50">
        <v>0.8</v>
      </c>
      <c r="Q50">
        <v>1857</v>
      </c>
      <c r="R50">
        <v>1892</v>
      </c>
      <c r="S50">
        <v>28.3</v>
      </c>
      <c r="T50" s="24">
        <v>0.91</v>
      </c>
    </row>
    <row r="51" spans="1:20" x14ac:dyDescent="0.45">
      <c r="A51" s="6">
        <v>45033</v>
      </c>
      <c r="B51">
        <v>10.3</v>
      </c>
      <c r="C51">
        <v>7.48</v>
      </c>
      <c r="D51">
        <v>7.83</v>
      </c>
      <c r="E51">
        <f>0.1/2</f>
        <v>0.05</v>
      </c>
      <c r="F51">
        <f>0.09/2</f>
        <v>4.4999999999999998E-2</v>
      </c>
      <c r="G51">
        <v>14752</v>
      </c>
      <c r="H51">
        <f>0.548*95</f>
        <v>52.06</v>
      </c>
      <c r="I51">
        <f>0.556*95</f>
        <v>52.820000000000007</v>
      </c>
      <c r="J51">
        <v>14547</v>
      </c>
      <c r="K51">
        <v>15.4</v>
      </c>
      <c r="L51">
        <f>3*9</f>
        <v>27</v>
      </c>
      <c r="M51">
        <v>16.600000000000001</v>
      </c>
      <c r="N51">
        <f>3.7*9</f>
        <v>33.300000000000004</v>
      </c>
      <c r="O51">
        <v>14542</v>
      </c>
      <c r="P51">
        <v>0.8</v>
      </c>
      <c r="Q51">
        <v>1797</v>
      </c>
      <c r="R51">
        <v>1834</v>
      </c>
      <c r="S51">
        <v>27.3</v>
      </c>
      <c r="T51" s="24">
        <v>0.9</v>
      </c>
    </row>
    <row r="52" spans="1:20" x14ac:dyDescent="0.45">
      <c r="A52" s="6">
        <v>45034</v>
      </c>
      <c r="B52">
        <v>10</v>
      </c>
      <c r="C52">
        <v>8.07</v>
      </c>
      <c r="E52">
        <f>0.06/2</f>
        <v>0.03</v>
      </c>
      <c r="F52">
        <f>0.07/2</f>
        <v>3.5000000000000003E-2</v>
      </c>
      <c r="G52">
        <v>14752</v>
      </c>
      <c r="H52">
        <f>0.591*100</f>
        <v>59.099999999999994</v>
      </c>
      <c r="I52">
        <f>0.621*100</f>
        <v>62.1</v>
      </c>
      <c r="J52">
        <v>14547</v>
      </c>
      <c r="L52">
        <f>9*3.2</f>
        <v>28.8</v>
      </c>
      <c r="N52">
        <f>9*2.5</f>
        <v>22.5</v>
      </c>
      <c r="O52">
        <v>14542</v>
      </c>
      <c r="P52">
        <v>0.8</v>
      </c>
      <c r="Q52">
        <v>1848</v>
      </c>
      <c r="R52">
        <v>1887</v>
      </c>
      <c r="S52">
        <v>27.5</v>
      </c>
      <c r="T52" s="24">
        <v>0.93</v>
      </c>
    </row>
    <row r="53" spans="1:20" x14ac:dyDescent="0.45">
      <c r="A53" s="6">
        <v>45035</v>
      </c>
      <c r="B53">
        <v>9</v>
      </c>
      <c r="C53">
        <v>7.63</v>
      </c>
      <c r="D53">
        <v>7.63</v>
      </c>
      <c r="E53">
        <f>0.1/2</f>
        <v>0.05</v>
      </c>
      <c r="F53">
        <f>0.11/2</f>
        <v>5.5E-2</v>
      </c>
      <c r="G53">
        <v>14752</v>
      </c>
      <c r="H53">
        <f>0.621*100</f>
        <v>62.1</v>
      </c>
      <c r="I53">
        <f>0.628*100</f>
        <v>62.8</v>
      </c>
      <c r="J53">
        <v>14547</v>
      </c>
      <c r="L53">
        <f>9*2.4</f>
        <v>21.599999999999998</v>
      </c>
      <c r="N53">
        <f>9*2</f>
        <v>18</v>
      </c>
      <c r="O53">
        <v>14542</v>
      </c>
      <c r="P53">
        <v>0.8</v>
      </c>
      <c r="Q53">
        <v>1798</v>
      </c>
      <c r="R53">
        <v>1846</v>
      </c>
      <c r="S53">
        <v>27.6</v>
      </c>
      <c r="T53" s="24">
        <v>0.92</v>
      </c>
    </row>
    <row r="54" spans="1:20" x14ac:dyDescent="0.45">
      <c r="A54" s="6">
        <v>45036</v>
      </c>
      <c r="B54">
        <v>9</v>
      </c>
      <c r="C54">
        <v>7.16</v>
      </c>
      <c r="E54">
        <f>0.79/2</f>
        <v>0.39500000000000002</v>
      </c>
      <c r="F54">
        <f>0.8/2</f>
        <v>0.4</v>
      </c>
      <c r="G54">
        <v>14752</v>
      </c>
      <c r="H54">
        <f>0.586*90</f>
        <v>52.739999999999995</v>
      </c>
      <c r="I54">
        <f>0.59*90</f>
        <v>53.099999999999994</v>
      </c>
      <c r="J54">
        <v>14776</v>
      </c>
      <c r="L54">
        <f>2.4*9</f>
        <v>21.599999999999998</v>
      </c>
      <c r="N54">
        <f>2.2*9</f>
        <v>19.8</v>
      </c>
      <c r="O54">
        <v>14542</v>
      </c>
      <c r="P54">
        <v>0.6</v>
      </c>
      <c r="Q54">
        <v>1502</v>
      </c>
      <c r="R54">
        <v>1532</v>
      </c>
      <c r="S54">
        <v>27.4</v>
      </c>
      <c r="T54" s="24">
        <v>0.93</v>
      </c>
    </row>
    <row r="55" spans="1:20" x14ac:dyDescent="0.45">
      <c r="A55" s="6">
        <v>45037</v>
      </c>
      <c r="B55">
        <v>10</v>
      </c>
      <c r="C55">
        <v>7.23</v>
      </c>
      <c r="E55">
        <f>1.89/2</f>
        <v>0.94499999999999995</v>
      </c>
      <c r="F55">
        <f>2.07/2</f>
        <v>1.0349999999999999</v>
      </c>
      <c r="G55">
        <v>14752</v>
      </c>
      <c r="H55">
        <f>0.605*90</f>
        <v>54.449999999999996</v>
      </c>
      <c r="I55">
        <f>0.609*90</f>
        <v>54.81</v>
      </c>
      <c r="J55">
        <v>14776</v>
      </c>
      <c r="L55">
        <f>2.3*9</f>
        <v>20.7</v>
      </c>
      <c r="N55">
        <f>2.3*9</f>
        <v>20.7</v>
      </c>
      <c r="O55">
        <v>14542</v>
      </c>
      <c r="P55">
        <v>0.6</v>
      </c>
      <c r="Q55">
        <v>1537</v>
      </c>
      <c r="R55">
        <v>1570</v>
      </c>
      <c r="S55">
        <v>27.6</v>
      </c>
      <c r="T55" s="24">
        <v>0.95</v>
      </c>
    </row>
    <row r="56" spans="1:20" x14ac:dyDescent="0.45">
      <c r="A56" s="6">
        <v>45038</v>
      </c>
      <c r="B56">
        <v>11.3</v>
      </c>
      <c r="C56">
        <v>7.36</v>
      </c>
      <c r="E56">
        <v>1.36</v>
      </c>
      <c r="F56">
        <v>1.38</v>
      </c>
      <c r="G56">
        <v>14752</v>
      </c>
      <c r="H56">
        <f>0.586*100</f>
        <v>58.599999999999994</v>
      </c>
      <c r="I56">
        <f>0.581*100</f>
        <v>58.099999999999994</v>
      </c>
      <c r="J56">
        <v>14776</v>
      </c>
      <c r="L56">
        <f>4.2*9</f>
        <v>37.800000000000004</v>
      </c>
      <c r="N56">
        <f>3*9</f>
        <v>27</v>
      </c>
      <c r="O56">
        <v>14542</v>
      </c>
      <c r="P56">
        <v>0.6</v>
      </c>
      <c r="Q56">
        <v>1527</v>
      </c>
      <c r="R56">
        <v>1559</v>
      </c>
      <c r="S56">
        <v>27.5</v>
      </c>
      <c r="T56" s="24">
        <v>0.94</v>
      </c>
    </row>
    <row r="57" spans="1:20" x14ac:dyDescent="0.45">
      <c r="B57" s="15">
        <v>0.6875</v>
      </c>
      <c r="C57">
        <v>7.25</v>
      </c>
      <c r="E57">
        <v>0.6</v>
      </c>
      <c r="F57">
        <v>0.05</v>
      </c>
      <c r="G57">
        <v>14752</v>
      </c>
      <c r="H57">
        <f>0.629*100</f>
        <v>62.9</v>
      </c>
      <c r="I57">
        <f>0.625*100</f>
        <v>62.5</v>
      </c>
      <c r="J57">
        <v>14776</v>
      </c>
      <c r="L57">
        <f>4.7*9</f>
        <v>42.300000000000004</v>
      </c>
      <c r="N57">
        <f>4.3*9</f>
        <v>38.699999999999996</v>
      </c>
      <c r="O57">
        <v>14542</v>
      </c>
      <c r="P57">
        <v>0.6</v>
      </c>
      <c r="Q57">
        <v>1512</v>
      </c>
      <c r="R57">
        <v>1536</v>
      </c>
      <c r="S57">
        <v>27.5</v>
      </c>
      <c r="T57" s="24">
        <v>0.93</v>
      </c>
    </row>
    <row r="58" spans="1:20" x14ac:dyDescent="0.45">
      <c r="A58" s="6">
        <v>45040</v>
      </c>
      <c r="B58">
        <v>9.3000000000000007</v>
      </c>
      <c r="C58">
        <v>8.1999999999999993</v>
      </c>
      <c r="E58">
        <f>0.1/2</f>
        <v>0.05</v>
      </c>
      <c r="F58">
        <f>0.09/2</f>
        <v>4.4999999999999998E-2</v>
      </c>
      <c r="G58">
        <v>14752</v>
      </c>
      <c r="H58">
        <f>0.588*110</f>
        <v>64.679999999999993</v>
      </c>
      <c r="I58">
        <f>0.58*110</f>
        <v>63.8</v>
      </c>
      <c r="J58">
        <v>14776</v>
      </c>
      <c r="L58">
        <f>2.5*9</f>
        <v>22.5</v>
      </c>
      <c r="N58">
        <f>2.7*9</f>
        <v>24.3</v>
      </c>
      <c r="O58">
        <v>14542</v>
      </c>
      <c r="P58">
        <v>0.7</v>
      </c>
      <c r="Q58">
        <v>1730</v>
      </c>
      <c r="R58">
        <v>1766</v>
      </c>
      <c r="S58">
        <v>28.9</v>
      </c>
      <c r="T58" s="24">
        <v>0.92</v>
      </c>
    </row>
    <row r="59" spans="1:20" x14ac:dyDescent="0.45">
      <c r="A59" s="6">
        <v>45041</v>
      </c>
      <c r="B59">
        <v>10.3</v>
      </c>
      <c r="C59">
        <v>8.19</v>
      </c>
      <c r="E59">
        <f>0.08/2</f>
        <v>0.04</v>
      </c>
      <c r="F59">
        <f>0.1/2</f>
        <v>0.05</v>
      </c>
      <c r="G59">
        <v>14752</v>
      </c>
      <c r="H59">
        <f>0.597*120</f>
        <v>71.64</v>
      </c>
      <c r="I59">
        <f>0.59*120</f>
        <v>70.8</v>
      </c>
      <c r="J59">
        <v>14776</v>
      </c>
      <c r="L59">
        <f>3.8*9</f>
        <v>34.199999999999996</v>
      </c>
      <c r="N59">
        <f>3.3*9</f>
        <v>29.7</v>
      </c>
      <c r="O59">
        <v>14542</v>
      </c>
      <c r="P59">
        <v>0.8</v>
      </c>
      <c r="Q59">
        <v>1792</v>
      </c>
      <c r="R59">
        <v>1829</v>
      </c>
      <c r="S59">
        <v>27.8</v>
      </c>
      <c r="T59" s="24">
        <v>0.97</v>
      </c>
    </row>
    <row r="60" spans="1:20" x14ac:dyDescent="0.45">
      <c r="E60">
        <f>0.12/2</f>
        <v>0.06</v>
      </c>
      <c r="F60">
        <f>0.1/2</f>
        <v>0.05</v>
      </c>
      <c r="H60">
        <f>0.585*130</f>
        <v>76.05</v>
      </c>
      <c r="I60">
        <f>0.58*130</f>
        <v>75.399999999999991</v>
      </c>
      <c r="L60">
        <f>5.9*9</f>
        <v>53.1</v>
      </c>
      <c r="N60">
        <f>3.5*9</f>
        <v>31.5</v>
      </c>
      <c r="P60">
        <v>0.8</v>
      </c>
      <c r="Q60">
        <v>1819</v>
      </c>
      <c r="R60">
        <v>1856</v>
      </c>
      <c r="S60">
        <v>27.4</v>
      </c>
      <c r="T60" s="24">
        <v>0.96</v>
      </c>
    </row>
  </sheetData>
  <mergeCells count="4">
    <mergeCell ref="E1:G1"/>
    <mergeCell ref="H1:J1"/>
    <mergeCell ref="K1:O1"/>
    <mergeCell ref="P1:S1"/>
  </mergeCells>
  <phoneticPr fontId="7" type="noConversion"/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1DE1A-31B6-4E26-827A-F448A234782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96D26-8653-41BC-8591-41AC3ED03902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1AB78-6D69-4908-8D84-221DAFB4A6EC}">
  <dimension ref="A1:G9"/>
  <sheetViews>
    <sheetView zoomScale="81" zoomScaleNormal="95" workbookViewId="0">
      <selection activeCell="I10" sqref="I10"/>
    </sheetView>
  </sheetViews>
  <sheetFormatPr baseColWidth="10" defaultColWidth="11.46484375" defaultRowHeight="14.25" x14ac:dyDescent="0.45"/>
  <sheetData>
    <row r="1" spans="1:7" x14ac:dyDescent="0.45">
      <c r="B1" s="39" t="s">
        <v>71</v>
      </c>
      <c r="C1" s="39"/>
      <c r="D1" s="39" t="s">
        <v>72</v>
      </c>
      <c r="E1" s="39"/>
      <c r="F1" s="39" t="s">
        <v>76</v>
      </c>
      <c r="G1" s="39"/>
    </row>
    <row r="2" spans="1:7" x14ac:dyDescent="0.45">
      <c r="A2" t="s">
        <v>73</v>
      </c>
      <c r="B2" t="s">
        <v>74</v>
      </c>
      <c r="C2" t="s">
        <v>75</v>
      </c>
      <c r="D2" t="s">
        <v>74</v>
      </c>
      <c r="E2" t="s">
        <v>9</v>
      </c>
      <c r="F2" t="s">
        <v>8</v>
      </c>
      <c r="G2" t="s">
        <v>9</v>
      </c>
    </row>
    <row r="3" spans="1:7" x14ac:dyDescent="0.45">
      <c r="A3" s="15">
        <v>0.4861111111111111</v>
      </c>
      <c r="B3">
        <f>1.08*4</f>
        <v>4.32</v>
      </c>
      <c r="C3">
        <f>1.1*4</f>
        <v>4.4000000000000004</v>
      </c>
      <c r="D3">
        <f>0.459*70</f>
        <v>32.130000000000003</v>
      </c>
      <c r="E3">
        <f>0.448*70</f>
        <v>31.36</v>
      </c>
      <c r="F3">
        <f>2.6*4</f>
        <v>10.4</v>
      </c>
      <c r="G3">
        <f>2.6*4</f>
        <v>10.4</v>
      </c>
    </row>
    <row r="4" spans="1:7" x14ac:dyDescent="0.45">
      <c r="A4" s="15">
        <v>0.52777777777777779</v>
      </c>
      <c r="B4">
        <f>0.99*4</f>
        <v>3.96</v>
      </c>
      <c r="C4">
        <f>1.21*4</f>
        <v>4.84</v>
      </c>
      <c r="D4">
        <f>0.429*70</f>
        <v>30.03</v>
      </c>
      <c r="E4">
        <f>0.434*70</f>
        <v>30.38</v>
      </c>
      <c r="F4">
        <f>2.9*4</f>
        <v>11.6</v>
      </c>
      <c r="G4">
        <f>2.8*4</f>
        <v>11.2</v>
      </c>
    </row>
    <row r="5" spans="1:7" x14ac:dyDescent="0.45">
      <c r="A5" s="15">
        <v>0.56944444444444497</v>
      </c>
      <c r="B5">
        <f>0.81*4</f>
        <v>3.24</v>
      </c>
      <c r="C5">
        <f>0.84*4</f>
        <v>3.36</v>
      </c>
      <c r="D5">
        <f>0.468*70</f>
        <v>32.760000000000005</v>
      </c>
      <c r="E5">
        <f>0.462*70</f>
        <v>32.340000000000003</v>
      </c>
      <c r="F5">
        <f>3.2*4</f>
        <v>12.8</v>
      </c>
      <c r="G5">
        <f>3.2*4</f>
        <v>12.8</v>
      </c>
    </row>
    <row r="6" spans="1:7" x14ac:dyDescent="0.45">
      <c r="A6" s="15">
        <v>0.61111111111111105</v>
      </c>
      <c r="B6">
        <f>0.67*4</f>
        <v>2.68</v>
      </c>
      <c r="C6">
        <f>0.67*4</f>
        <v>2.68</v>
      </c>
      <c r="D6">
        <f>0.519*70</f>
        <v>36.33</v>
      </c>
      <c r="E6">
        <f>0.511*70</f>
        <v>35.770000000000003</v>
      </c>
      <c r="F6">
        <f>3*4</f>
        <v>12</v>
      </c>
      <c r="G6">
        <f>3.1*4</f>
        <v>12.4</v>
      </c>
    </row>
    <row r="7" spans="1:7" x14ac:dyDescent="0.45">
      <c r="A7" s="15">
        <v>0.65277777777777801</v>
      </c>
      <c r="B7">
        <f>0.52*4</f>
        <v>2.08</v>
      </c>
      <c r="C7">
        <f>0.52*4</f>
        <v>2.08</v>
      </c>
      <c r="D7">
        <f>0.497*70</f>
        <v>34.79</v>
      </c>
      <c r="E7">
        <f>0.499*70</f>
        <v>34.93</v>
      </c>
      <c r="F7">
        <f>2.5*4</f>
        <v>10</v>
      </c>
      <c r="G7">
        <f>2.5*4</f>
        <v>10</v>
      </c>
    </row>
    <row r="8" spans="1:7" x14ac:dyDescent="0.45">
      <c r="A8" s="15">
        <v>0.69444444444444398</v>
      </c>
      <c r="B8">
        <f>0.38*4</f>
        <v>1.52</v>
      </c>
      <c r="C8">
        <f>0.39*4</f>
        <v>1.56</v>
      </c>
      <c r="D8">
        <f>0.502*70</f>
        <v>35.14</v>
      </c>
      <c r="E8">
        <f>0.51*70</f>
        <v>35.700000000000003</v>
      </c>
      <c r="F8">
        <f>2.9*4</f>
        <v>11.6</v>
      </c>
      <c r="G8">
        <f>2.9*4</f>
        <v>11.6</v>
      </c>
    </row>
    <row r="9" spans="1:7" x14ac:dyDescent="0.45">
      <c r="A9" s="15">
        <v>0.73611111111111105</v>
      </c>
      <c r="B9">
        <f>0.28*4</f>
        <v>1.1200000000000001</v>
      </c>
      <c r="C9">
        <f>0.25*4</f>
        <v>1</v>
      </c>
      <c r="D9">
        <f>0.568*70</f>
        <v>39.76</v>
      </c>
      <c r="E9">
        <f>0.568*70</f>
        <v>39.76</v>
      </c>
      <c r="F9">
        <f>3.2*4</f>
        <v>12.8</v>
      </c>
      <c r="G9">
        <f>3.1*4</f>
        <v>12.4</v>
      </c>
    </row>
  </sheetData>
  <mergeCells count="3">
    <mergeCell ref="B1:C1"/>
    <mergeCell ref="D1:E1"/>
    <mergeCell ref="F1:G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A010E-709A-4DDE-9EF4-DAA307B42BEC}">
  <dimension ref="A2:G8"/>
  <sheetViews>
    <sheetView topLeftCell="A4" workbookViewId="0">
      <selection activeCell="K23" sqref="K23"/>
    </sheetView>
  </sheetViews>
  <sheetFormatPr baseColWidth="10" defaultRowHeight="14.25" x14ac:dyDescent="0.45"/>
  <cols>
    <col min="3" max="3" width="12.9296875" bestFit="1" customWidth="1"/>
    <col min="7" max="7" width="12.9296875" bestFit="1" customWidth="1"/>
  </cols>
  <sheetData>
    <row r="2" spans="1:7" x14ac:dyDescent="0.45">
      <c r="A2" s="39" t="s">
        <v>171</v>
      </c>
      <c r="B2" s="39"/>
      <c r="C2" s="39"/>
      <c r="E2" s="39" t="s">
        <v>172</v>
      </c>
      <c r="F2" s="39"/>
      <c r="G2" s="39"/>
    </row>
    <row r="3" spans="1:7" x14ac:dyDescent="0.45">
      <c r="A3" t="s">
        <v>178</v>
      </c>
      <c r="B3" t="s">
        <v>180</v>
      </c>
      <c r="C3" t="s">
        <v>179</v>
      </c>
      <c r="E3" t="s">
        <v>178</v>
      </c>
      <c r="F3" t="s">
        <v>180</v>
      </c>
      <c r="G3" t="s">
        <v>179</v>
      </c>
    </row>
    <row r="4" spans="1:7" x14ac:dyDescent="0.45">
      <c r="A4">
        <v>8.49</v>
      </c>
      <c r="B4">
        <f>A4-A4</f>
        <v>0</v>
      </c>
      <c r="C4">
        <v>0</v>
      </c>
      <c r="E4">
        <v>8.5</v>
      </c>
      <c r="F4">
        <f>E4-E4</f>
        <v>0</v>
      </c>
      <c r="G4">
        <v>0</v>
      </c>
    </row>
    <row r="5" spans="1:7" x14ac:dyDescent="0.45">
      <c r="A5">
        <v>7.86</v>
      </c>
      <c r="B5">
        <f>A4-A5</f>
        <v>0.62999999999999989</v>
      </c>
      <c r="C5">
        <v>0.06</v>
      </c>
      <c r="E5">
        <v>7.83</v>
      </c>
      <c r="F5">
        <f>E4-E5</f>
        <v>0.66999999999999993</v>
      </c>
      <c r="G5">
        <v>0.18</v>
      </c>
    </row>
    <row r="6" spans="1:7" x14ac:dyDescent="0.45">
      <c r="A6">
        <v>7.68</v>
      </c>
      <c r="B6">
        <f>A4-A6</f>
        <v>0.8100000000000005</v>
      </c>
      <c r="C6">
        <v>0.12</v>
      </c>
      <c r="E6">
        <v>7.69</v>
      </c>
      <c r="F6">
        <f>E4-E6</f>
        <v>0.80999999999999961</v>
      </c>
      <c r="G6">
        <v>0.22</v>
      </c>
    </row>
    <row r="7" spans="1:7" x14ac:dyDescent="0.45">
      <c r="A7">
        <v>7.55</v>
      </c>
      <c r="B7">
        <f>A4-A7</f>
        <v>0.94000000000000039</v>
      </c>
      <c r="C7">
        <v>0.18</v>
      </c>
      <c r="E7">
        <v>7.56</v>
      </c>
      <c r="F7">
        <f>E4-E7</f>
        <v>0.94000000000000039</v>
      </c>
      <c r="G7">
        <v>0.26</v>
      </c>
    </row>
    <row r="8" spans="1:7" x14ac:dyDescent="0.45">
      <c r="A8">
        <v>7.46</v>
      </c>
      <c r="B8">
        <f>A4-A8</f>
        <v>1.0300000000000002</v>
      </c>
      <c r="C8">
        <v>0.22</v>
      </c>
    </row>
  </sheetData>
  <mergeCells count="2">
    <mergeCell ref="A2:C2"/>
    <mergeCell ref="E2:G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D6862-4928-4253-BC75-A6FD6D7EB39A}">
  <dimension ref="A1:F25"/>
  <sheetViews>
    <sheetView topLeftCell="B1" workbookViewId="0">
      <selection activeCell="J13" sqref="J13"/>
    </sheetView>
  </sheetViews>
  <sheetFormatPr baseColWidth="10" defaultColWidth="11.46484375" defaultRowHeight="14.25" x14ac:dyDescent="0.45"/>
  <cols>
    <col min="6" max="6" width="14.53125" bestFit="1" customWidth="1"/>
  </cols>
  <sheetData>
    <row r="1" spans="1:6" x14ac:dyDescent="0.45">
      <c r="A1" t="s">
        <v>4</v>
      </c>
      <c r="B1" t="s">
        <v>3</v>
      </c>
      <c r="C1" t="s">
        <v>77</v>
      </c>
      <c r="D1" t="s">
        <v>28</v>
      </c>
      <c r="E1" t="s">
        <v>0</v>
      </c>
      <c r="F1" t="s">
        <v>78</v>
      </c>
    </row>
    <row r="2" spans="1:6" x14ac:dyDescent="0.45">
      <c r="A2" s="6">
        <f>Målinger!A35</f>
        <v>45017</v>
      </c>
      <c r="B2">
        <f>Målinger!K35</f>
        <v>0</v>
      </c>
      <c r="C2">
        <v>0</v>
      </c>
      <c r="D2">
        <f>Alkalitet!D36</f>
        <v>48</v>
      </c>
      <c r="E2" s="25">
        <f>Målinger!C35</f>
        <v>7.63</v>
      </c>
    </row>
    <row r="3" spans="1:6" x14ac:dyDescent="0.45">
      <c r="A3" s="6">
        <f>Målinger!A36</f>
        <v>45018</v>
      </c>
      <c r="B3">
        <f>Målinger!K36</f>
        <v>1.7</v>
      </c>
      <c r="C3" s="26">
        <f>B3-B2</f>
        <v>1.7</v>
      </c>
      <c r="D3">
        <f>Alkalitet!D37</f>
        <v>10</v>
      </c>
      <c r="E3" s="25">
        <f>Målinger!C36</f>
        <v>6.92</v>
      </c>
      <c r="F3">
        <v>50</v>
      </c>
    </row>
    <row r="4" spans="1:6" x14ac:dyDescent="0.45">
      <c r="A4" s="6">
        <f>Målinger!A37</f>
        <v>45019</v>
      </c>
      <c r="B4">
        <f>Målinger!K37</f>
        <v>2.4</v>
      </c>
      <c r="C4">
        <f>B4-B3</f>
        <v>0.7</v>
      </c>
      <c r="D4">
        <f>Alkalitet!D38</f>
        <v>54</v>
      </c>
      <c r="E4" s="25">
        <f>Målinger!C37</f>
        <v>7.87</v>
      </c>
    </row>
    <row r="5" spans="1:6" x14ac:dyDescent="0.45">
      <c r="A5" s="6">
        <f>Målinger!A38</f>
        <v>45020</v>
      </c>
      <c r="B5">
        <f>Målinger!K38</f>
        <v>4</v>
      </c>
      <c r="C5" s="26">
        <f t="shared" ref="C5:C19" si="0">B5-B4</f>
        <v>1.6</v>
      </c>
      <c r="D5">
        <f>Alkalitet!D39</f>
        <v>50</v>
      </c>
      <c r="E5" s="25">
        <f>Målinger!C38</f>
        <v>8</v>
      </c>
    </row>
    <row r="6" spans="1:6" x14ac:dyDescent="0.45">
      <c r="A6" s="6">
        <f>Målinger!A39</f>
        <v>45021</v>
      </c>
      <c r="B6">
        <f>Målinger!K39</f>
        <v>4.9000000000000004</v>
      </c>
      <c r="C6">
        <f t="shared" si="0"/>
        <v>0.90000000000000036</v>
      </c>
      <c r="D6">
        <f>Alkalitet!D40</f>
        <v>44</v>
      </c>
      <c r="E6" s="25">
        <f>Målinger!C39</f>
        <v>7.9</v>
      </c>
    </row>
    <row r="7" spans="1:6" x14ac:dyDescent="0.45">
      <c r="A7" s="6">
        <f>Målinger!A40</f>
        <v>45022</v>
      </c>
      <c r="B7">
        <f>Målinger!K40</f>
        <v>7.7</v>
      </c>
      <c r="C7" s="26">
        <f t="shared" si="0"/>
        <v>2.8</v>
      </c>
      <c r="D7">
        <f>Alkalitet!D41</f>
        <v>20</v>
      </c>
      <c r="E7" s="25">
        <f>Målinger!C40</f>
        <v>7.15</v>
      </c>
      <c r="F7">
        <v>40</v>
      </c>
    </row>
    <row r="8" spans="1:6" x14ac:dyDescent="0.45">
      <c r="A8" s="6">
        <f>Målinger!A41</f>
        <v>45023</v>
      </c>
      <c r="B8">
        <f>Målinger!K41</f>
        <v>7.1</v>
      </c>
      <c r="C8" s="29">
        <f t="shared" si="0"/>
        <v>-0.60000000000000053</v>
      </c>
      <c r="D8">
        <f>Alkalitet!D42</f>
        <v>50</v>
      </c>
      <c r="E8" s="25">
        <f>Målinger!C41</f>
        <v>7.82</v>
      </c>
    </row>
    <row r="9" spans="1:6" x14ac:dyDescent="0.45">
      <c r="A9" s="6">
        <f>Målinger!A42</f>
        <v>45024</v>
      </c>
      <c r="B9">
        <f>Målinger!K42</f>
        <v>6.8</v>
      </c>
      <c r="C9" s="29">
        <f t="shared" si="0"/>
        <v>-0.29999999999999982</v>
      </c>
      <c r="D9">
        <f>Alkalitet!D43</f>
        <v>72.000000000000014</v>
      </c>
      <c r="E9" s="25">
        <f>Målinger!C42</f>
        <v>8.18</v>
      </c>
    </row>
    <row r="10" spans="1:6" x14ac:dyDescent="0.45">
      <c r="A10" s="6">
        <f>Målinger!A43</f>
        <v>45025</v>
      </c>
      <c r="B10">
        <f>Målinger!K43</f>
        <v>10.199999999999999</v>
      </c>
      <c r="C10" s="27">
        <f t="shared" si="0"/>
        <v>3.3999999999999995</v>
      </c>
      <c r="D10">
        <f>Alkalitet!D44</f>
        <v>42</v>
      </c>
      <c r="E10" s="25">
        <f>Målinger!C43</f>
        <v>7.7</v>
      </c>
    </row>
    <row r="11" spans="1:6" x14ac:dyDescent="0.45">
      <c r="A11" s="6">
        <f>Målinger!A44</f>
        <v>45026</v>
      </c>
      <c r="B11">
        <f>Målinger!K44</f>
        <v>10.6</v>
      </c>
      <c r="C11">
        <f t="shared" si="0"/>
        <v>0.40000000000000036</v>
      </c>
      <c r="D11">
        <f>Alkalitet!D45</f>
        <v>20</v>
      </c>
      <c r="E11" s="25">
        <f>Målinger!C44</f>
        <v>7.11</v>
      </c>
      <c r="F11">
        <v>20</v>
      </c>
    </row>
    <row r="12" spans="1:6" x14ac:dyDescent="0.45">
      <c r="A12" s="6">
        <f>Målinger!A45</f>
        <v>45027</v>
      </c>
      <c r="B12">
        <f>Målinger!K45</f>
        <v>11.3</v>
      </c>
      <c r="C12">
        <f t="shared" si="0"/>
        <v>0.70000000000000107</v>
      </c>
      <c r="D12">
        <f>Alkalitet!D46</f>
        <v>28</v>
      </c>
      <c r="E12" s="25">
        <f>Målinger!C45</f>
        <v>7.14</v>
      </c>
    </row>
    <row r="13" spans="1:6" x14ac:dyDescent="0.45">
      <c r="A13" s="6">
        <f>Målinger!A46</f>
        <v>45028</v>
      </c>
      <c r="B13">
        <f>Målinger!K46</f>
        <v>13.8</v>
      </c>
      <c r="C13" s="26">
        <f t="shared" si="0"/>
        <v>2.5</v>
      </c>
      <c r="D13">
        <f>Alkalitet!D47</f>
        <v>14</v>
      </c>
      <c r="E13" s="25">
        <f>Målinger!C46</f>
        <v>7.05</v>
      </c>
    </row>
    <row r="14" spans="1:6" x14ac:dyDescent="0.45">
      <c r="A14" s="6">
        <f>Målinger!A47</f>
        <v>45029</v>
      </c>
      <c r="B14">
        <f>Målinger!L47</f>
        <v>11.2</v>
      </c>
      <c r="C14" s="29">
        <f t="shared" si="0"/>
        <v>-2.6000000000000014</v>
      </c>
      <c r="D14">
        <f>Alkalitet!D48</f>
        <v>58</v>
      </c>
      <c r="E14" s="25">
        <f>Målinger!C47</f>
        <v>8</v>
      </c>
    </row>
    <row r="15" spans="1:6" x14ac:dyDescent="0.45">
      <c r="A15" s="6">
        <f>Målinger!A48</f>
        <v>45030</v>
      </c>
      <c r="B15">
        <f>Målinger!L48</f>
        <v>18.399999999999999</v>
      </c>
      <c r="C15" s="28">
        <f t="shared" si="0"/>
        <v>7.1999999999999993</v>
      </c>
      <c r="D15">
        <f>Alkalitet!D49</f>
        <v>42</v>
      </c>
      <c r="E15" s="25">
        <f>Målinger!C48</f>
        <v>7.87</v>
      </c>
    </row>
    <row r="16" spans="1:6" x14ac:dyDescent="0.45">
      <c r="A16" s="6">
        <f>Målinger!A49</f>
        <v>45031</v>
      </c>
      <c r="B16">
        <f>Målinger!L49</f>
        <v>18.8</v>
      </c>
      <c r="C16">
        <f t="shared" si="0"/>
        <v>0.40000000000000213</v>
      </c>
      <c r="D16">
        <f>Alkalitet!D50</f>
        <v>24</v>
      </c>
      <c r="E16" s="25">
        <f>Målinger!C49</f>
        <v>7.28</v>
      </c>
      <c r="F16">
        <v>50</v>
      </c>
    </row>
    <row r="17" spans="1:6" x14ac:dyDescent="0.45">
      <c r="A17" s="6">
        <f>Målinger!A50</f>
        <v>45032</v>
      </c>
      <c r="B17">
        <f>Målinger!L50</f>
        <v>19.5</v>
      </c>
      <c r="C17">
        <f t="shared" si="0"/>
        <v>0.69999999999999929</v>
      </c>
      <c r="D17">
        <f>Alkalitet!D51</f>
        <v>44</v>
      </c>
      <c r="E17" s="25">
        <f>Målinger!C50</f>
        <v>8.17</v>
      </c>
    </row>
    <row r="18" spans="1:6" x14ac:dyDescent="0.45">
      <c r="A18" s="6">
        <f>Målinger!A51</f>
        <v>45033</v>
      </c>
      <c r="B18">
        <f>Målinger!L51</f>
        <v>27</v>
      </c>
      <c r="C18" s="28">
        <f t="shared" si="0"/>
        <v>7.5</v>
      </c>
      <c r="D18">
        <f>Alkalitet!D52</f>
        <v>36.000000000000007</v>
      </c>
      <c r="E18" s="25">
        <f>Målinger!C51</f>
        <v>7.48</v>
      </c>
      <c r="F18">
        <v>40</v>
      </c>
    </row>
    <row r="19" spans="1:6" x14ac:dyDescent="0.45">
      <c r="A19" s="6">
        <f>Målinger!A52</f>
        <v>45034</v>
      </c>
      <c r="B19">
        <f>Målinger!L52</f>
        <v>28.8</v>
      </c>
      <c r="C19" s="26">
        <f t="shared" si="0"/>
        <v>1.8000000000000007</v>
      </c>
      <c r="D19">
        <f>Alkalitet!D53</f>
        <v>58</v>
      </c>
      <c r="E19" s="25">
        <f>Målinger!C52</f>
        <v>8.07</v>
      </c>
    </row>
    <row r="20" spans="1:6" x14ac:dyDescent="0.45">
      <c r="A20" s="6">
        <f>Målinger!A53</f>
        <v>45035</v>
      </c>
      <c r="B20">
        <f>Målinger!L53</f>
        <v>21.599999999999998</v>
      </c>
      <c r="C20" s="30">
        <f>B20-B19</f>
        <v>-7.2000000000000028</v>
      </c>
      <c r="D20">
        <f>Alkalitet!D54</f>
        <v>42</v>
      </c>
      <c r="E20" s="25">
        <f>Målinger!C53</f>
        <v>7.63</v>
      </c>
    </row>
    <row r="21" spans="1:6" x14ac:dyDescent="0.45">
      <c r="A21" s="6">
        <f>Målinger!A54</f>
        <v>45036</v>
      </c>
      <c r="B21">
        <f>Målinger!L54</f>
        <v>21.599999999999998</v>
      </c>
      <c r="D21">
        <f>Alkalitet!D55</f>
        <v>34.000000000000007</v>
      </c>
      <c r="E21" s="25">
        <f>Målinger!C54</f>
        <v>7.16</v>
      </c>
    </row>
    <row r="22" spans="1:6" x14ac:dyDescent="0.45">
      <c r="A22" s="6">
        <f>Målinger!A55</f>
        <v>45037</v>
      </c>
      <c r="B22">
        <f>Målinger!L55</f>
        <v>20.7</v>
      </c>
      <c r="D22">
        <f>Alkalitet!D56</f>
        <v>20</v>
      </c>
      <c r="E22" s="25">
        <f>Målinger!C55</f>
        <v>7.23</v>
      </c>
    </row>
    <row r="23" spans="1:6" x14ac:dyDescent="0.45">
      <c r="A23" s="6">
        <f>Målinger!A56</f>
        <v>45038</v>
      </c>
      <c r="B23">
        <f>Målinger!L56</f>
        <v>37.800000000000004</v>
      </c>
      <c r="D23">
        <f>Alkalitet!D57</f>
        <v>34.000000000000007</v>
      </c>
      <c r="E23" s="25">
        <f>Målinger!C56</f>
        <v>7.36</v>
      </c>
    </row>
    <row r="24" spans="1:6" x14ac:dyDescent="0.45">
      <c r="A24" s="6">
        <f>Målinger!A57</f>
        <v>0</v>
      </c>
      <c r="B24">
        <f>Målinger!L57</f>
        <v>42.300000000000004</v>
      </c>
      <c r="D24">
        <f>Alkalitet!D58</f>
        <v>78</v>
      </c>
      <c r="E24" s="25">
        <f>Målinger!C57</f>
        <v>7.25</v>
      </c>
    </row>
    <row r="25" spans="1:6" x14ac:dyDescent="0.45">
      <c r="A25" s="6">
        <f>Målinger!A58</f>
        <v>45040</v>
      </c>
      <c r="B25">
        <f>Målinger!L58</f>
        <v>22.5</v>
      </c>
      <c r="D25">
        <f>Alkalitet!D59</f>
        <v>68.000000000000014</v>
      </c>
      <c r="E25" s="25">
        <f>Målinger!C58</f>
        <v>8.1999999999999993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71B7A-7C84-47C1-A8F5-DBC53243BBF6}">
  <dimension ref="A1:G15"/>
  <sheetViews>
    <sheetView topLeftCell="B1" workbookViewId="0">
      <selection activeCell="A15" sqref="A15"/>
    </sheetView>
  </sheetViews>
  <sheetFormatPr baseColWidth="10" defaultColWidth="11.46484375" defaultRowHeight="14.25" x14ac:dyDescent="0.45"/>
  <cols>
    <col min="2" max="2" width="18.19921875" customWidth="1"/>
    <col min="3" max="3" width="23.19921875" customWidth="1"/>
    <col min="4" max="6" width="30.796875" customWidth="1"/>
    <col min="7" max="7" width="47.53125" bestFit="1" customWidth="1"/>
  </cols>
  <sheetData>
    <row r="1" spans="1:7" x14ac:dyDescent="0.4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29</v>
      </c>
    </row>
    <row r="2" spans="1:7" x14ac:dyDescent="0.45">
      <c r="A2" s="6">
        <v>45017</v>
      </c>
      <c r="B2" s="15">
        <v>0.47013888888888888</v>
      </c>
      <c r="C2">
        <f>Målinger!F35</f>
        <v>3.21</v>
      </c>
      <c r="D2">
        <v>3.93</v>
      </c>
    </row>
    <row r="3" spans="1:7" x14ac:dyDescent="0.45">
      <c r="A3" s="6">
        <v>45018</v>
      </c>
      <c r="B3" s="15">
        <v>0.47916666666666669</v>
      </c>
      <c r="C3">
        <f>Målinger!F36</f>
        <v>1.6180000000000001</v>
      </c>
      <c r="D3">
        <v>4.5599999999999996</v>
      </c>
      <c r="G3" t="s">
        <v>85</v>
      </c>
    </row>
    <row r="4" spans="1:7" x14ac:dyDescent="0.45">
      <c r="A4" s="6">
        <v>45019</v>
      </c>
      <c r="B4" s="15">
        <v>0.47916666666666669</v>
      </c>
      <c r="C4">
        <f>Målinger!F37</f>
        <v>0.114</v>
      </c>
      <c r="D4">
        <v>3.6</v>
      </c>
      <c r="G4" t="s">
        <v>86</v>
      </c>
    </row>
    <row r="5" spans="1:7" x14ac:dyDescent="0.45">
      <c r="A5" s="6">
        <v>45020</v>
      </c>
      <c r="B5" s="15">
        <v>0.46875</v>
      </c>
      <c r="C5">
        <f>Målinger!F38</f>
        <v>4.5999999999999999E-2</v>
      </c>
      <c r="D5">
        <v>3.76</v>
      </c>
      <c r="G5" t="s">
        <v>87</v>
      </c>
    </row>
    <row r="6" spans="1:7" x14ac:dyDescent="0.45">
      <c r="A6" s="6">
        <v>45021</v>
      </c>
      <c r="B6" s="15">
        <v>0.46875</v>
      </c>
      <c r="C6">
        <f>Målinger!F39</f>
        <v>4.1000000000000002E-2</v>
      </c>
      <c r="D6">
        <f>1.836*2</f>
        <v>3.6720000000000002</v>
      </c>
      <c r="G6" t="s">
        <v>87</v>
      </c>
    </row>
    <row r="7" spans="1:7" x14ac:dyDescent="0.45">
      <c r="A7" s="6">
        <v>45022</v>
      </c>
      <c r="B7" s="15">
        <v>0.45833333333333331</v>
      </c>
      <c r="C7">
        <f>Målinger!F40</f>
        <v>4.3999999999999997E-2</v>
      </c>
      <c r="D7">
        <f>1.849*2</f>
        <v>3.698</v>
      </c>
      <c r="G7" t="s">
        <v>88</v>
      </c>
    </row>
    <row r="8" spans="1:7" x14ac:dyDescent="0.45">
      <c r="A8" s="6">
        <v>45023</v>
      </c>
      <c r="B8" s="15">
        <v>0.41666666666666669</v>
      </c>
      <c r="C8">
        <f>Målinger!F41</f>
        <v>3.1E-2</v>
      </c>
      <c r="D8">
        <v>3.52</v>
      </c>
      <c r="G8" t="s">
        <v>89</v>
      </c>
    </row>
    <row r="9" spans="1:7" x14ac:dyDescent="0.45">
      <c r="A9" s="6">
        <v>45024</v>
      </c>
      <c r="C9">
        <f>Målinger!F42</f>
        <v>3.5999999999999997E-2</v>
      </c>
    </row>
    <row r="10" spans="1:7" x14ac:dyDescent="0.45">
      <c r="A10" s="6">
        <v>45025</v>
      </c>
      <c r="B10" s="15">
        <v>0.42708333333333331</v>
      </c>
      <c r="C10">
        <v>3.2000000000000001E-2</v>
      </c>
      <c r="D10">
        <v>5.89</v>
      </c>
      <c r="G10" s="10" t="s">
        <v>90</v>
      </c>
    </row>
    <row r="11" spans="1:7" x14ac:dyDescent="0.45">
      <c r="A11" s="6">
        <v>45026</v>
      </c>
      <c r="B11" s="15">
        <v>0.46875</v>
      </c>
      <c r="C11">
        <v>3.6999999999999998E-2</v>
      </c>
      <c r="G11" t="s">
        <v>91</v>
      </c>
    </row>
    <row r="12" spans="1:7" x14ac:dyDescent="0.45">
      <c r="A12" s="6">
        <v>45027</v>
      </c>
      <c r="B12" s="15">
        <v>0.47222222222222227</v>
      </c>
      <c r="C12">
        <v>3.7999999999999999E-2</v>
      </c>
      <c r="G12" t="s">
        <v>92</v>
      </c>
    </row>
    <row r="13" spans="1:7" x14ac:dyDescent="0.45">
      <c r="A13" s="6">
        <v>45028</v>
      </c>
      <c r="B13" s="15">
        <v>0.44375000000000003</v>
      </c>
      <c r="C13">
        <v>0.85099999999999998</v>
      </c>
      <c r="G13" t="s">
        <v>93</v>
      </c>
    </row>
    <row r="14" spans="1:7" x14ac:dyDescent="0.45">
      <c r="A14" s="6">
        <v>45029</v>
      </c>
      <c r="B14" s="15">
        <v>0.41666666666666669</v>
      </c>
      <c r="C14">
        <v>3.5999999999999997E-2</v>
      </c>
      <c r="G14" t="s">
        <v>92</v>
      </c>
    </row>
    <row r="15" spans="1:7" x14ac:dyDescent="0.45">
      <c r="A15" s="6">
        <v>45035</v>
      </c>
      <c r="B15" s="15">
        <v>0.47222222222222227</v>
      </c>
      <c r="C15">
        <v>5.5E-2</v>
      </c>
      <c r="D15">
        <f>1.22*5</f>
        <v>6.1</v>
      </c>
      <c r="E15">
        <f>0.628*100</f>
        <v>62.8</v>
      </c>
      <c r="F15">
        <f>0.624*100</f>
        <v>62.4</v>
      </c>
      <c r="G15" t="s">
        <v>94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47C54-64A0-4951-B879-6F4CF5628F69}">
  <dimension ref="A2:D43"/>
  <sheetViews>
    <sheetView topLeftCell="A31" workbookViewId="0">
      <selection activeCell="I36" sqref="I36"/>
    </sheetView>
  </sheetViews>
  <sheetFormatPr baseColWidth="10" defaultColWidth="9" defaultRowHeight="14.25" x14ac:dyDescent="0.45"/>
  <cols>
    <col min="1" max="1" width="29" bestFit="1" customWidth="1"/>
    <col min="2" max="2" width="11.53125" bestFit="1" customWidth="1"/>
    <col min="3" max="3" width="10.46484375" bestFit="1" customWidth="1"/>
    <col min="4" max="4" width="23.1328125" bestFit="1" customWidth="1"/>
  </cols>
  <sheetData>
    <row r="2" spans="1:4" x14ac:dyDescent="0.45">
      <c r="A2" t="s">
        <v>95</v>
      </c>
      <c r="B2">
        <v>69</v>
      </c>
    </row>
    <row r="3" spans="1:4" x14ac:dyDescent="0.45">
      <c r="A3" t="s">
        <v>96</v>
      </c>
      <c r="B3">
        <v>46</v>
      </c>
    </row>
    <row r="4" spans="1:4" x14ac:dyDescent="0.45">
      <c r="A4" t="s">
        <v>67</v>
      </c>
      <c r="B4">
        <v>717</v>
      </c>
    </row>
    <row r="5" spans="1:4" x14ac:dyDescent="0.45">
      <c r="A5" t="s">
        <v>97</v>
      </c>
      <c r="B5">
        <v>1.5</v>
      </c>
    </row>
    <row r="6" spans="1:4" x14ac:dyDescent="0.45">
      <c r="A6" t="s">
        <v>98</v>
      </c>
      <c r="B6">
        <v>3.2856999999999998</v>
      </c>
    </row>
    <row r="8" spans="1:4" x14ac:dyDescent="0.45">
      <c r="A8" t="s">
        <v>27</v>
      </c>
      <c r="B8" t="s">
        <v>99</v>
      </c>
      <c r="C8" t="s">
        <v>100</v>
      </c>
      <c r="D8" t="s">
        <v>101</v>
      </c>
    </row>
    <row r="9" spans="1:4" x14ac:dyDescent="0.45">
      <c r="A9" s="6">
        <f>Målinger!A3</f>
        <v>44981</v>
      </c>
      <c r="B9">
        <f>Målinger!I3</f>
        <v>0</v>
      </c>
      <c r="C9">
        <f>B9*$B$6</f>
        <v>0</v>
      </c>
      <c r="D9">
        <f>((($B$2/$B$3)*($B$5-(C9)))/1000)*$B$4</f>
        <v>1.6132499999999999</v>
      </c>
    </row>
    <row r="10" spans="1:4" x14ac:dyDescent="0.45">
      <c r="A10" s="6">
        <v>44984</v>
      </c>
      <c r="B10">
        <f>Målinger!I4</f>
        <v>0</v>
      </c>
      <c r="C10">
        <f>B10*$B$6</f>
        <v>0</v>
      </c>
      <c r="D10">
        <f t="shared" ref="D10:D19" si="0">((($B$2/$B$3)*($B$5-(C10)))/1000)*$B$4</f>
        <v>1.6132499999999999</v>
      </c>
    </row>
    <row r="11" spans="1:4" x14ac:dyDescent="0.45">
      <c r="A11" s="6">
        <f>Målinger!A5</f>
        <v>44985</v>
      </c>
      <c r="B11">
        <f>Målinger!I5</f>
        <v>0.41299999999999998</v>
      </c>
      <c r="C11">
        <f>B11*$B$6</f>
        <v>1.3569940999999999</v>
      </c>
      <c r="D11">
        <f t="shared" si="0"/>
        <v>0.15380284545000014</v>
      </c>
    </row>
    <row r="12" spans="1:4" x14ac:dyDescent="0.45">
      <c r="A12" s="6">
        <f>Målinger!A6</f>
        <v>44986</v>
      </c>
      <c r="B12">
        <f>Målinger!I6</f>
        <v>0</v>
      </c>
      <c r="C12">
        <f t="shared" ref="C12:C19" si="1">B12*$B$6</f>
        <v>0</v>
      </c>
      <c r="D12">
        <f t="shared" si="0"/>
        <v>1.6132499999999999</v>
      </c>
    </row>
    <row r="13" spans="1:4" x14ac:dyDescent="0.45">
      <c r="A13" s="6">
        <f>Målinger!A7</f>
        <v>44987</v>
      </c>
      <c r="B13">
        <f>Målinger!I7</f>
        <v>0.7</v>
      </c>
      <c r="C13">
        <f t="shared" si="1"/>
        <v>2.2999899999999998</v>
      </c>
      <c r="D13">
        <f t="shared" si="0"/>
        <v>-0.86038924499999969</v>
      </c>
    </row>
    <row r="14" spans="1:4" x14ac:dyDescent="0.45">
      <c r="A14" s="6">
        <f>Målinger!A8</f>
        <v>44988</v>
      </c>
      <c r="B14">
        <f>Målinger!I8</f>
        <v>0.7</v>
      </c>
      <c r="C14">
        <f t="shared" si="1"/>
        <v>2.2999899999999998</v>
      </c>
      <c r="D14">
        <f t="shared" si="0"/>
        <v>-0.86038924499999969</v>
      </c>
    </row>
    <row r="15" spans="1:4" x14ac:dyDescent="0.45">
      <c r="A15" s="6">
        <f>Målinger!A9</f>
        <v>0</v>
      </c>
      <c r="B15">
        <f>Målinger!I9</f>
        <v>0</v>
      </c>
      <c r="C15">
        <f t="shared" si="1"/>
        <v>0</v>
      </c>
      <c r="D15">
        <f t="shared" si="0"/>
        <v>1.6132499999999999</v>
      </c>
    </row>
    <row r="16" spans="1:4" x14ac:dyDescent="0.45">
      <c r="A16" s="6">
        <f>Målinger!A10</f>
        <v>44993</v>
      </c>
      <c r="B16">
        <f>Målinger!I10</f>
        <v>0</v>
      </c>
      <c r="C16">
        <f t="shared" si="1"/>
        <v>0</v>
      </c>
      <c r="D16">
        <f t="shared" si="0"/>
        <v>1.6132499999999999</v>
      </c>
    </row>
    <row r="17" spans="1:4" x14ac:dyDescent="0.45">
      <c r="A17" s="6">
        <f>Målinger!A11</f>
        <v>44994</v>
      </c>
      <c r="B17">
        <f>Målinger!I11</f>
        <v>0</v>
      </c>
      <c r="C17">
        <f t="shared" si="1"/>
        <v>0</v>
      </c>
      <c r="D17">
        <f t="shared" si="0"/>
        <v>1.6132499999999999</v>
      </c>
    </row>
    <row r="18" spans="1:4" x14ac:dyDescent="0.45">
      <c r="A18" s="6">
        <f>Målinger!A12</f>
        <v>44995</v>
      </c>
      <c r="B18">
        <f>Målinger!I12</f>
        <v>0</v>
      </c>
      <c r="C18">
        <f t="shared" si="1"/>
        <v>0</v>
      </c>
      <c r="D18">
        <f t="shared" si="0"/>
        <v>1.6132499999999999</v>
      </c>
    </row>
    <row r="19" spans="1:4" x14ac:dyDescent="0.45">
      <c r="A19" s="6">
        <f>Målinger!A13</f>
        <v>44998</v>
      </c>
      <c r="B19">
        <f>Målinger!I13</f>
        <v>0</v>
      </c>
      <c r="C19">
        <f t="shared" si="1"/>
        <v>0</v>
      </c>
      <c r="D19">
        <f t="shared" si="0"/>
        <v>1.6132499999999999</v>
      </c>
    </row>
    <row r="20" spans="1:4" x14ac:dyDescent="0.45">
      <c r="A20" s="6">
        <f>Målinger!A14</f>
        <v>44999</v>
      </c>
      <c r="B20">
        <f>Målinger!I14</f>
        <v>0</v>
      </c>
      <c r="C20">
        <f>B20*$B$6</f>
        <v>0</v>
      </c>
      <c r="D20">
        <f>((($B$2/$B$3)*($B$5-(C20)))/1000)*$B$4</f>
        <v>1.6132499999999999</v>
      </c>
    </row>
    <row r="21" spans="1:4" x14ac:dyDescent="0.45">
      <c r="A21" s="6">
        <f>Målinger!A15</f>
        <v>45000</v>
      </c>
      <c r="B21">
        <f>Målinger!I15</f>
        <v>0</v>
      </c>
      <c r="C21">
        <f>B21*$B$6</f>
        <v>0</v>
      </c>
      <c r="D21">
        <f>((($B$2/$B$3)*($B$5-(C21)))/1000)*$B$4</f>
        <v>1.6132499999999999</v>
      </c>
    </row>
    <row r="22" spans="1:4" x14ac:dyDescent="0.45">
      <c r="A22" s="6">
        <f>Målinger!A16</f>
        <v>45001</v>
      </c>
      <c r="B22">
        <f>Målinger!I16</f>
        <v>0</v>
      </c>
      <c r="C22">
        <f>B22*$B$6</f>
        <v>0</v>
      </c>
      <c r="D22">
        <f>((($B$2/$B$3)*($B$5-(C22)))/1000)*$B$4</f>
        <v>1.6132499999999999</v>
      </c>
    </row>
    <row r="23" spans="1:4" x14ac:dyDescent="0.45">
      <c r="A23" s="6">
        <f>Målinger!A17</f>
        <v>45003</v>
      </c>
      <c r="B23">
        <f>Målinger!I17</f>
        <v>0</v>
      </c>
      <c r="C23">
        <f>B23*$B$6</f>
        <v>0</v>
      </c>
      <c r="D23">
        <f>((($B$2/$B$3)*($B$5-(C23)))/1000)*$B$4</f>
        <v>1.6132499999999999</v>
      </c>
    </row>
    <row r="24" spans="1:4" x14ac:dyDescent="0.45">
      <c r="A24" s="6">
        <f>Målinger!A18</f>
        <v>45004</v>
      </c>
      <c r="B24">
        <f>Målinger!I18</f>
        <v>0</v>
      </c>
      <c r="C24">
        <f>B24*$B$6</f>
        <v>0</v>
      </c>
      <c r="D24">
        <f>((($B$2/$B$3)*($B$5-(C24)))/1000)*$B$4</f>
        <v>1.6132499999999999</v>
      </c>
    </row>
    <row r="25" spans="1:4" x14ac:dyDescent="0.45">
      <c r="A25" s="6">
        <f>Målinger!A19</f>
        <v>45005</v>
      </c>
      <c r="B25">
        <f>Målinger!I19</f>
        <v>0.53600000000000003</v>
      </c>
      <c r="C25">
        <f t="shared" ref="C25:C43" si="2">B25*$B$6</f>
        <v>1.7611352</v>
      </c>
      <c r="D25">
        <f t="shared" ref="D25:D43" si="3">((($B$2/$B$3)*($B$5-(C25)))/1000)*$B$4</f>
        <v>-0.28085090760000003</v>
      </c>
    </row>
    <row r="26" spans="1:4" x14ac:dyDescent="0.45">
      <c r="A26" s="6">
        <f>Målinger!A20</f>
        <v>45006</v>
      </c>
      <c r="B26">
        <f>Målinger!I20</f>
        <v>0.59099999999999997</v>
      </c>
      <c r="C26">
        <f t="shared" si="2"/>
        <v>1.9418486999999998</v>
      </c>
      <c r="D26">
        <f t="shared" si="3"/>
        <v>-0.47520827684999978</v>
      </c>
    </row>
    <row r="27" spans="1:4" x14ac:dyDescent="0.45">
      <c r="A27" s="6">
        <f>Målinger!A21</f>
        <v>45006</v>
      </c>
      <c r="B27">
        <f>Målinger!I21</f>
        <v>0.59699999999999998</v>
      </c>
      <c r="C27">
        <f t="shared" si="2"/>
        <v>1.9615628999999999</v>
      </c>
      <c r="D27">
        <f t="shared" si="3"/>
        <v>-0.49641089894999985</v>
      </c>
    </row>
    <row r="28" spans="1:4" x14ac:dyDescent="0.45">
      <c r="A28" s="6">
        <f>Målinger!A22</f>
        <v>45007</v>
      </c>
      <c r="B28">
        <f>Målinger!H22</f>
        <v>0.61</v>
      </c>
      <c r="C28">
        <f t="shared" si="2"/>
        <v>2.0042769999999996</v>
      </c>
      <c r="D28">
        <f t="shared" si="3"/>
        <v>-0.54234991349999961</v>
      </c>
    </row>
    <row r="29" spans="1:4" x14ac:dyDescent="0.45">
      <c r="A29" s="6">
        <f>Målinger!A23</f>
        <v>45007</v>
      </c>
      <c r="B29">
        <f>Målinger!I23</f>
        <v>0.58399999999999996</v>
      </c>
      <c r="C29">
        <f t="shared" si="2"/>
        <v>1.9188487999999997</v>
      </c>
      <c r="D29">
        <f t="shared" si="3"/>
        <v>-0.45047188439999969</v>
      </c>
    </row>
    <row r="30" spans="1:4" x14ac:dyDescent="0.45">
      <c r="A30" s="6">
        <f>Målinger!A24</f>
        <v>45008</v>
      </c>
      <c r="B30">
        <f>Målinger!I24</f>
        <v>0.57799999999999996</v>
      </c>
      <c r="C30">
        <f t="shared" si="2"/>
        <v>1.8991345999999998</v>
      </c>
      <c r="D30">
        <f t="shared" si="3"/>
        <v>-0.42926926229999973</v>
      </c>
    </row>
    <row r="31" spans="1:4" x14ac:dyDescent="0.45">
      <c r="A31" s="6">
        <f>Målinger!A25</f>
        <v>45008</v>
      </c>
      <c r="B31">
        <f>Målinger!I25</f>
        <v>0.55700000000000005</v>
      </c>
      <c r="C31">
        <f t="shared" si="2"/>
        <v>1.8301349</v>
      </c>
      <c r="D31">
        <f t="shared" si="3"/>
        <v>-0.35506008495000002</v>
      </c>
    </row>
    <row r="32" spans="1:4" x14ac:dyDescent="0.45">
      <c r="A32" s="6">
        <f>Målinger!A26</f>
        <v>45009</v>
      </c>
      <c r="B32">
        <f>Målinger!I26</f>
        <v>0.54800000000000004</v>
      </c>
      <c r="C32">
        <f t="shared" si="2"/>
        <v>1.8005636</v>
      </c>
      <c r="D32">
        <f t="shared" si="3"/>
        <v>-0.3232561518</v>
      </c>
    </row>
    <row r="33" spans="1:4" x14ac:dyDescent="0.45">
      <c r="A33" s="6">
        <f>Målinger!A27</f>
        <v>45009</v>
      </c>
      <c r="B33">
        <f>Målinger!I27</f>
        <v>0.54900000000000004</v>
      </c>
      <c r="C33">
        <f t="shared" si="2"/>
        <v>1.8038493</v>
      </c>
      <c r="D33">
        <f t="shared" si="3"/>
        <v>-0.32678992214999997</v>
      </c>
    </row>
    <row r="34" spans="1:4" x14ac:dyDescent="0.45">
      <c r="A34" s="6">
        <f>Målinger!A28</f>
        <v>45010</v>
      </c>
      <c r="B34">
        <f>Målinger!I28</f>
        <v>0.54900000000000004</v>
      </c>
      <c r="C34">
        <f t="shared" si="2"/>
        <v>1.8038493</v>
      </c>
      <c r="D34">
        <f t="shared" si="3"/>
        <v>-0.32678992214999997</v>
      </c>
    </row>
    <row r="35" spans="1:4" x14ac:dyDescent="0.45">
      <c r="A35" s="6">
        <f>Målinger!A29</f>
        <v>45011</v>
      </c>
      <c r="B35">
        <f>Målinger!I29</f>
        <v>0.52400000000000002</v>
      </c>
      <c r="C35">
        <f t="shared" si="2"/>
        <v>1.7217068</v>
      </c>
      <c r="D35">
        <f t="shared" si="3"/>
        <v>-0.23844566339999998</v>
      </c>
    </row>
    <row r="36" spans="1:4" x14ac:dyDescent="0.45">
      <c r="A36" s="6">
        <f>Målinger!A30</f>
        <v>45012</v>
      </c>
      <c r="B36">
        <f>Målinger!I30</f>
        <v>0.51800000000000002</v>
      </c>
      <c r="C36">
        <f t="shared" si="2"/>
        <v>1.7019926000000001</v>
      </c>
      <c r="D36">
        <f t="shared" si="3"/>
        <v>-0.21724304130000008</v>
      </c>
    </row>
    <row r="37" spans="1:4" x14ac:dyDescent="0.45">
      <c r="A37" s="6">
        <f>Målinger!A31</f>
        <v>45013</v>
      </c>
      <c r="B37">
        <f>Målinger!I31</f>
        <v>0.51400000000000001</v>
      </c>
      <c r="C37">
        <f t="shared" si="2"/>
        <v>1.6888498000000001</v>
      </c>
      <c r="D37">
        <f t="shared" si="3"/>
        <v>-0.20310795990000008</v>
      </c>
    </row>
    <row r="38" spans="1:4" x14ac:dyDescent="0.45">
      <c r="A38" s="6">
        <f>Målinger!A32</f>
        <v>45014</v>
      </c>
      <c r="B38">
        <f>Målinger!I32</f>
        <v>0.49</v>
      </c>
      <c r="C38">
        <f t="shared" si="2"/>
        <v>1.6099929999999998</v>
      </c>
      <c r="D38">
        <f t="shared" si="3"/>
        <v>-0.11829747149999977</v>
      </c>
    </row>
    <row r="39" spans="1:4" x14ac:dyDescent="0.45">
      <c r="A39" s="6">
        <f>Målinger!A33</f>
        <v>45015</v>
      </c>
      <c r="B39">
        <f>Målinger!I33</f>
        <v>0.48199999999999998</v>
      </c>
      <c r="C39">
        <f t="shared" si="2"/>
        <v>1.5837073999999998</v>
      </c>
      <c r="D39">
        <f t="shared" si="3"/>
        <v>-9.0027308699999753E-2</v>
      </c>
    </row>
    <row r="40" spans="1:4" x14ac:dyDescent="0.45">
      <c r="A40" s="6">
        <f>Målinger!A34</f>
        <v>45016</v>
      </c>
      <c r="B40">
        <f>Målinger!I34</f>
        <v>0.61099999999999999</v>
      </c>
      <c r="C40">
        <f t="shared" si="2"/>
        <v>2.0075626999999998</v>
      </c>
      <c r="D40">
        <f t="shared" si="3"/>
        <v>-0.54588368384999986</v>
      </c>
    </row>
    <row r="41" spans="1:4" x14ac:dyDescent="0.45">
      <c r="A41" s="6">
        <f>Målinger!A35</f>
        <v>45017</v>
      </c>
      <c r="B41">
        <f>Målinger!I35</f>
        <v>1.304</v>
      </c>
      <c r="C41">
        <f t="shared" si="2"/>
        <v>4.2845528000000002</v>
      </c>
      <c r="D41">
        <f t="shared" si="3"/>
        <v>-2.9947865363999999</v>
      </c>
    </row>
    <row r="42" spans="1:4" x14ac:dyDescent="0.45">
      <c r="A42" s="6">
        <f>Målinger!A36</f>
        <v>45018</v>
      </c>
      <c r="B42">
        <f>Målinger!I36</f>
        <v>3.4159999999999999</v>
      </c>
      <c r="C42">
        <f t="shared" si="2"/>
        <v>11.223951199999998</v>
      </c>
      <c r="D42">
        <f t="shared" si="3"/>
        <v>-10.458109515599999</v>
      </c>
    </row>
    <row r="43" spans="1:4" x14ac:dyDescent="0.45">
      <c r="A43" s="6">
        <f>Målinger!A37</f>
        <v>45019</v>
      </c>
      <c r="B43">
        <f>Målinger!I37</f>
        <v>6.879999999999999</v>
      </c>
      <c r="C43">
        <f t="shared" si="2"/>
        <v>22.605615999999994</v>
      </c>
      <c r="D43">
        <f t="shared" si="3"/>
        <v>-22.699090007999992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37603-69F5-4265-A3CB-D4422B858966}">
  <dimension ref="A1:K24"/>
  <sheetViews>
    <sheetView topLeftCell="A2" zoomScale="98" workbookViewId="0">
      <selection activeCell="J14" sqref="J14"/>
    </sheetView>
  </sheetViews>
  <sheetFormatPr baseColWidth="10" defaultColWidth="11.46484375" defaultRowHeight="14.25" x14ac:dyDescent="0.45"/>
  <cols>
    <col min="3" max="3" width="11.46484375" customWidth="1"/>
    <col min="4" max="4" width="11.796875" bestFit="1" customWidth="1"/>
    <col min="9" max="9" width="11.46484375" customWidth="1"/>
    <col min="10" max="10" width="11.796875" bestFit="1" customWidth="1"/>
  </cols>
  <sheetData>
    <row r="1" spans="1:11" x14ac:dyDescent="0.45">
      <c r="A1" s="11"/>
      <c r="B1" s="40" t="s">
        <v>102</v>
      </c>
      <c r="C1" s="40"/>
      <c r="D1" s="11"/>
      <c r="E1" s="11"/>
      <c r="F1" s="11"/>
      <c r="G1" s="11"/>
      <c r="H1" s="40" t="s">
        <v>103</v>
      </c>
      <c r="I1" s="40"/>
      <c r="J1" s="11"/>
      <c r="K1" s="11"/>
    </row>
    <row r="2" spans="1:1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45">
      <c r="A3" s="12" t="s">
        <v>104</v>
      </c>
      <c r="B3" s="12" t="s">
        <v>105</v>
      </c>
      <c r="C3" s="12" t="s">
        <v>106</v>
      </c>
      <c r="D3" s="12" t="s">
        <v>107</v>
      </c>
      <c r="E3" s="11"/>
      <c r="F3" s="11"/>
      <c r="G3" s="12" t="s">
        <v>104</v>
      </c>
      <c r="H3" s="12" t="s">
        <v>105</v>
      </c>
      <c r="I3" s="12" t="s">
        <v>106</v>
      </c>
      <c r="J3" s="12" t="s">
        <v>107</v>
      </c>
      <c r="K3" s="11"/>
    </row>
    <row r="4" spans="1:11" x14ac:dyDescent="0.45">
      <c r="A4" s="13">
        <v>5.53</v>
      </c>
      <c r="B4" s="13">
        <v>9.2166666999999994E-2</v>
      </c>
      <c r="C4" s="13">
        <v>2.5</v>
      </c>
      <c r="D4" s="13">
        <v>27.124773959999999</v>
      </c>
      <c r="E4" s="11"/>
      <c r="F4" s="11"/>
      <c r="G4" s="13">
        <v>8.67</v>
      </c>
      <c r="H4" s="13">
        <v>0.14449999999999999</v>
      </c>
      <c r="I4" s="13">
        <v>12.2</v>
      </c>
      <c r="J4" s="13">
        <v>84.429065739999999</v>
      </c>
      <c r="K4" s="11"/>
    </row>
    <row r="5" spans="1:11" x14ac:dyDescent="0.45">
      <c r="A5" s="14">
        <v>5.77</v>
      </c>
      <c r="B5" s="14">
        <v>9.6166666999999997E-2</v>
      </c>
      <c r="C5" s="14">
        <v>2.75</v>
      </c>
      <c r="D5" s="14">
        <v>28.596187180000001</v>
      </c>
      <c r="E5" s="11"/>
      <c r="F5" s="11"/>
      <c r="G5" s="14">
        <v>4.5999999999999996</v>
      </c>
      <c r="H5" s="14">
        <v>7.6666666999999994E-2</v>
      </c>
      <c r="I5" s="14">
        <v>6.8</v>
      </c>
      <c r="J5" s="14">
        <v>88.695652170000002</v>
      </c>
      <c r="K5" s="11"/>
    </row>
    <row r="6" spans="1:11" x14ac:dyDescent="0.45">
      <c r="A6" s="13">
        <v>5.8</v>
      </c>
      <c r="B6" s="13">
        <v>9.6666666999999998E-2</v>
      </c>
      <c r="C6" s="13">
        <v>2.61</v>
      </c>
      <c r="D6" s="13">
        <v>27</v>
      </c>
      <c r="E6" s="11"/>
      <c r="F6" s="11"/>
      <c r="G6" s="13">
        <v>5.85</v>
      </c>
      <c r="H6" s="13">
        <v>9.7500000000000003E-2</v>
      </c>
      <c r="I6" s="13">
        <v>8.5250000000000004</v>
      </c>
      <c r="J6" s="13">
        <v>87.435897440000005</v>
      </c>
      <c r="K6" s="11"/>
    </row>
    <row r="7" spans="1:11" x14ac:dyDescent="0.45">
      <c r="A7" s="12" t="s">
        <v>108</v>
      </c>
      <c r="B7" s="12"/>
      <c r="C7" s="12"/>
      <c r="D7" s="12">
        <v>27.573653709999999</v>
      </c>
      <c r="E7" s="11"/>
      <c r="F7" s="11"/>
      <c r="G7" s="12" t="s">
        <v>108</v>
      </c>
      <c r="H7" s="12"/>
      <c r="I7" s="12"/>
      <c r="J7" s="12">
        <v>86.853538450000002</v>
      </c>
      <c r="K7" s="11"/>
    </row>
    <row r="8" spans="1:11" x14ac:dyDescent="0.4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45">
      <c r="A9" t="s">
        <v>109</v>
      </c>
      <c r="B9">
        <f>D7+J7</f>
        <v>114.42719216</v>
      </c>
    </row>
    <row r="13" spans="1:11" x14ac:dyDescent="0.45">
      <c r="A13" t="s">
        <v>104</v>
      </c>
      <c r="B13" t="s">
        <v>105</v>
      </c>
      <c r="C13" t="s">
        <v>106</v>
      </c>
      <c r="D13" t="s">
        <v>107</v>
      </c>
      <c r="G13" t="s">
        <v>104</v>
      </c>
      <c r="H13" t="s">
        <v>105</v>
      </c>
      <c r="I13" t="s">
        <v>106</v>
      </c>
      <c r="J13" t="s">
        <v>107</v>
      </c>
    </row>
    <row r="14" spans="1:11" x14ac:dyDescent="0.45">
      <c r="A14">
        <v>4</v>
      </c>
      <c r="B14">
        <f>Tabell5[[#This Row],[Tid '[s']]]/60</f>
        <v>6.6666666666666666E-2</v>
      </c>
      <c r="C14">
        <v>1.8</v>
      </c>
      <c r="D14">
        <f>Tabell5[[#This Row],[Mengde '[l']]]/Tabell5[[#This Row],[Tid '[min']]]</f>
        <v>27</v>
      </c>
      <c r="G14">
        <v>2.4</v>
      </c>
      <c r="H14">
        <f>Tabell57[[#This Row],[Tid '[s']]]/60</f>
        <v>0.04</v>
      </c>
      <c r="I14">
        <v>3.8</v>
      </c>
      <c r="J14">
        <f>Tabell57[[#This Row],[Mengde '[l']]]/Tabell57[[#This Row],[Tid '[min']]]</f>
        <v>95</v>
      </c>
    </row>
    <row r="15" spans="1:11" x14ac:dyDescent="0.45">
      <c r="A15">
        <v>4.2</v>
      </c>
      <c r="B15">
        <f>Tabell5[[#This Row],[Tid '[s']]]/60</f>
        <v>7.0000000000000007E-2</v>
      </c>
      <c r="C15">
        <v>2.1</v>
      </c>
      <c r="D15">
        <f>Tabell5[[#This Row],[Mengde '[l']]]/Tabell5[[#This Row],[Tid '[min']]]</f>
        <v>30</v>
      </c>
      <c r="G15">
        <v>2.5</v>
      </c>
      <c r="H15">
        <f>Tabell57[[#This Row],[Tid '[s']]]/60</f>
        <v>4.1666666666666664E-2</v>
      </c>
      <c r="I15">
        <v>4.5999999999999996</v>
      </c>
      <c r="J15">
        <f>Tabell57[[#This Row],[Mengde '[l']]]/Tabell57[[#This Row],[Tid '[min']]]</f>
        <v>110.39999999999999</v>
      </c>
    </row>
    <row r="16" spans="1:11" x14ac:dyDescent="0.45">
      <c r="A16">
        <v>3.5</v>
      </c>
      <c r="B16">
        <f>Tabell5[[#This Row],[Tid '[s']]]/60</f>
        <v>5.8333333333333334E-2</v>
      </c>
      <c r="C16">
        <v>1.8</v>
      </c>
      <c r="D16">
        <f>Tabell5[[#This Row],[Mengde '[l']]]/Tabell5[[#This Row],[Tid '[min']]]</f>
        <v>30.857142857142858</v>
      </c>
      <c r="G16">
        <v>2.6</v>
      </c>
      <c r="H16">
        <f>Tabell57[[#This Row],[Tid '[s']]]/60</f>
        <v>4.3333333333333335E-2</v>
      </c>
      <c r="I16">
        <v>4.4000000000000004</v>
      </c>
      <c r="J16">
        <f>Tabell57[[#This Row],[Mengde '[l']]]/Tabell57[[#This Row],[Tid '[min']]]</f>
        <v>101.53846153846155</v>
      </c>
    </row>
    <row r="17" spans="1:10" x14ac:dyDescent="0.45">
      <c r="A17">
        <v>3.6</v>
      </c>
      <c r="B17">
        <f>Tabell5[[#This Row],[Tid '[s']]]/60</f>
        <v>6.0000000000000005E-2</v>
      </c>
      <c r="C17">
        <v>1.8</v>
      </c>
      <c r="D17">
        <f>Tabell5[[#This Row],[Mengde '[l']]]/Tabell5[[#This Row],[Tid '[min']]]</f>
        <v>30</v>
      </c>
      <c r="G17">
        <v>2.6</v>
      </c>
      <c r="H17">
        <f>Tabell57[[#This Row],[Tid '[s']]]/60</f>
        <v>4.3333333333333335E-2</v>
      </c>
      <c r="I17">
        <v>4</v>
      </c>
      <c r="J17">
        <f>Tabell57[[#This Row],[Mengde '[l']]]/Tabell57[[#This Row],[Tid '[min']]]</f>
        <v>92.307692307692307</v>
      </c>
    </row>
    <row r="18" spans="1:10" x14ac:dyDescent="0.45">
      <c r="A18">
        <v>3.6</v>
      </c>
      <c r="B18">
        <f>Tabell5[[#This Row],[Tid '[s']]]/60</f>
        <v>6.0000000000000005E-2</v>
      </c>
      <c r="C18">
        <v>1.9</v>
      </c>
      <c r="D18">
        <f>Tabell5[[#This Row],[Mengde '[l']]]/Tabell5[[#This Row],[Tid '[min']]]</f>
        <v>31.666666666666664</v>
      </c>
      <c r="G18">
        <v>2.6</v>
      </c>
      <c r="H18">
        <f>Tabell57[[#This Row],[Tid '[s']]]/60</f>
        <v>4.3333333333333335E-2</v>
      </c>
      <c r="I18">
        <v>4.5999999999999996</v>
      </c>
      <c r="J18">
        <f>Tabell57[[#This Row],[Mengde '[l']]]/Tabell57[[#This Row],[Tid '[min']]]</f>
        <v>106.15384615384615</v>
      </c>
    </row>
    <row r="19" spans="1:10" x14ac:dyDescent="0.45">
      <c r="A19">
        <v>3.6</v>
      </c>
      <c r="B19">
        <f>Tabell5[[#This Row],[Tid '[s']]]/60</f>
        <v>6.0000000000000005E-2</v>
      </c>
      <c r="C19">
        <v>1.85</v>
      </c>
      <c r="D19">
        <f>Tabell5[[#This Row],[Mengde '[l']]]/Tabell5[[#This Row],[Tid '[min']]]</f>
        <v>30.833333333333332</v>
      </c>
      <c r="G19">
        <v>2.6</v>
      </c>
      <c r="H19">
        <f>Tabell57[[#This Row],[Tid '[s']]]/60</f>
        <v>4.3333333333333335E-2</v>
      </c>
      <c r="I19">
        <v>4.2</v>
      </c>
      <c r="J19">
        <f>Tabell57[[#This Row],[Mengde '[l']]]/Tabell57[[#This Row],[Tid '[min']]]</f>
        <v>96.92307692307692</v>
      </c>
    </row>
    <row r="20" spans="1:10" x14ac:dyDescent="0.45">
      <c r="A20">
        <v>3.6</v>
      </c>
      <c r="B20">
        <f>Tabell5[[#This Row],[Tid '[s']]]/60</f>
        <v>6.0000000000000005E-2</v>
      </c>
      <c r="C20">
        <v>1.8</v>
      </c>
      <c r="D20">
        <f>Tabell5[[#This Row],[Mengde '[l']]]/Tabell5[[#This Row],[Tid '[min']]]</f>
        <v>30</v>
      </c>
      <c r="G20">
        <v>2.4</v>
      </c>
      <c r="H20">
        <f>Tabell57[[#This Row],[Tid '[s']]]/60</f>
        <v>0.04</v>
      </c>
      <c r="I20">
        <v>4</v>
      </c>
      <c r="J20">
        <f>Tabell57[[#This Row],[Mengde '[l']]]/Tabell57[[#This Row],[Tid '[min']]]</f>
        <v>100</v>
      </c>
    </row>
    <row r="21" spans="1:10" x14ac:dyDescent="0.45">
      <c r="A21" t="s">
        <v>110</v>
      </c>
      <c r="D21">
        <f>SUBTOTAL(101,Tabell5[Flow '[l/min']])</f>
        <v>30.051020408163264</v>
      </c>
      <c r="G21" t="s">
        <v>110</v>
      </c>
      <c r="J21">
        <f>SUBTOTAL(101,Tabell57[Flow '[l/min']])</f>
        <v>100.33186813186812</v>
      </c>
    </row>
    <row r="24" spans="1:10" x14ac:dyDescent="0.45">
      <c r="A24" t="s">
        <v>111</v>
      </c>
      <c r="B24">
        <f>Tabell5[[#Totals],[Flow '[l/min']]]+Tabell57[[#Totals],[Flow '[l/min']]]</f>
        <v>130.38288854003139</v>
      </c>
    </row>
  </sheetData>
  <mergeCells count="2">
    <mergeCell ref="B1:C1"/>
    <mergeCell ref="H1:I1"/>
  </mergeCell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5A580-4524-4B7F-934C-75A118635A1A}">
  <dimension ref="A1:F7"/>
  <sheetViews>
    <sheetView workbookViewId="0"/>
  </sheetViews>
  <sheetFormatPr baseColWidth="10" defaultRowHeight="14.25" x14ac:dyDescent="0.45"/>
  <cols>
    <col min="1" max="1" width="14" bestFit="1" customWidth="1"/>
    <col min="3" max="3" width="14" bestFit="1" customWidth="1"/>
    <col min="5" max="5" width="14" bestFit="1" customWidth="1"/>
  </cols>
  <sheetData>
    <row r="1" spans="1:6" x14ac:dyDescent="0.45">
      <c r="A1" t="s">
        <v>173</v>
      </c>
      <c r="C1" t="s">
        <v>174</v>
      </c>
      <c r="E1" t="s">
        <v>175</v>
      </c>
    </row>
    <row r="2" spans="1:6" x14ac:dyDescent="0.45">
      <c r="A2" t="s">
        <v>0</v>
      </c>
      <c r="B2" t="s">
        <v>105</v>
      </c>
      <c r="C2" t="s">
        <v>0</v>
      </c>
      <c r="D2" t="s">
        <v>5</v>
      </c>
      <c r="E2" t="s">
        <v>0</v>
      </c>
      <c r="F2" t="s">
        <v>5</v>
      </c>
    </row>
    <row r="3" spans="1:6" x14ac:dyDescent="0.45">
      <c r="A3">
        <v>7.5</v>
      </c>
      <c r="B3">
        <v>0</v>
      </c>
      <c r="C3">
        <v>8.16</v>
      </c>
      <c r="D3">
        <v>0</v>
      </c>
      <c r="E3">
        <v>8.11</v>
      </c>
      <c r="F3">
        <v>0</v>
      </c>
    </row>
    <row r="4" spans="1:6" x14ac:dyDescent="0.45">
      <c r="A4">
        <v>8</v>
      </c>
      <c r="B4">
        <v>7</v>
      </c>
      <c r="C4">
        <v>8.1999999999999993</v>
      </c>
      <c r="D4">
        <v>1.2</v>
      </c>
      <c r="E4">
        <v>8.1999999999999993</v>
      </c>
      <c r="F4">
        <v>4.45</v>
      </c>
    </row>
    <row r="5" spans="1:6" x14ac:dyDescent="0.45">
      <c r="A5">
        <v>8.1999999999999993</v>
      </c>
      <c r="B5">
        <v>11</v>
      </c>
      <c r="C5">
        <v>8.3000000000000007</v>
      </c>
      <c r="D5">
        <v>6.1</v>
      </c>
      <c r="E5">
        <v>8.3000000000000007</v>
      </c>
      <c r="F5">
        <v>9.57</v>
      </c>
    </row>
    <row r="6" spans="1:6" x14ac:dyDescent="0.45">
      <c r="A6">
        <v>8.3000000000000007</v>
      </c>
      <c r="B6">
        <v>17</v>
      </c>
      <c r="C6">
        <v>8.35</v>
      </c>
      <c r="D6">
        <v>11.2</v>
      </c>
      <c r="E6">
        <v>8.35</v>
      </c>
      <c r="F6">
        <v>17.5</v>
      </c>
    </row>
    <row r="7" spans="1:6" x14ac:dyDescent="0.45">
      <c r="A7">
        <v>8.32</v>
      </c>
      <c r="B7">
        <v>30</v>
      </c>
      <c r="C7">
        <v>8.39</v>
      </c>
      <c r="D7">
        <v>30</v>
      </c>
      <c r="E7">
        <v>8.39</v>
      </c>
      <c r="F7">
        <v>30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0B846-B5CF-48A9-B3FB-D8870A5F9EF0}">
  <dimension ref="A1:L23"/>
  <sheetViews>
    <sheetView workbookViewId="0">
      <selection activeCell="J21" sqref="J21"/>
    </sheetView>
  </sheetViews>
  <sheetFormatPr baseColWidth="10" defaultRowHeight="14.25" x14ac:dyDescent="0.45"/>
  <sheetData>
    <row r="1" spans="1:12" x14ac:dyDescent="0.45">
      <c r="A1" s="59" t="s">
        <v>149</v>
      </c>
      <c r="B1" s="61" t="s">
        <v>141</v>
      </c>
      <c r="C1" t="s">
        <v>157</v>
      </c>
      <c r="D1" t="s">
        <v>158</v>
      </c>
      <c r="E1" t="s">
        <v>133</v>
      </c>
      <c r="F1" t="s">
        <v>0</v>
      </c>
      <c r="G1" t="s">
        <v>176</v>
      </c>
    </row>
    <row r="2" spans="1:12" ht="14.65" thickBot="1" x14ac:dyDescent="0.5">
      <c r="A2" s="60" t="s">
        <v>150</v>
      </c>
      <c r="B2" s="65" t="s">
        <v>142</v>
      </c>
      <c r="C2">
        <v>1.42</v>
      </c>
      <c r="D2">
        <v>8.49</v>
      </c>
      <c r="E2">
        <v>0</v>
      </c>
      <c r="F2">
        <v>8.49</v>
      </c>
      <c r="G2">
        <v>0</v>
      </c>
    </row>
    <row r="3" spans="1:12" ht="14.65" thickBot="1" x14ac:dyDescent="0.5">
      <c r="A3" s="63" t="s">
        <v>151</v>
      </c>
      <c r="B3" s="66" t="s">
        <v>143</v>
      </c>
      <c r="C3">
        <v>1.48</v>
      </c>
      <c r="D3">
        <v>7.86</v>
      </c>
      <c r="E3">
        <v>1</v>
      </c>
      <c r="F3">
        <v>6.49</v>
      </c>
      <c r="G3">
        <v>4.5</v>
      </c>
    </row>
    <row r="4" spans="1:12" ht="14.65" thickBot="1" x14ac:dyDescent="0.5">
      <c r="A4" s="63" t="s">
        <v>152</v>
      </c>
      <c r="B4" s="66" t="s">
        <v>144</v>
      </c>
      <c r="C4">
        <v>1.54</v>
      </c>
      <c r="D4">
        <v>7.68</v>
      </c>
      <c r="E4">
        <v>2</v>
      </c>
      <c r="F4">
        <v>6.64</v>
      </c>
      <c r="G4">
        <v>9</v>
      </c>
      <c r="L4">
        <f>2.62-1.42</f>
        <v>1.2000000000000002</v>
      </c>
    </row>
    <row r="5" spans="1:12" ht="14.65" thickBot="1" x14ac:dyDescent="0.5">
      <c r="A5" s="63" t="s">
        <v>153</v>
      </c>
      <c r="B5" s="66" t="s">
        <v>145</v>
      </c>
      <c r="C5">
        <v>1.6</v>
      </c>
      <c r="D5">
        <v>7.55</v>
      </c>
      <c r="E5">
        <v>3</v>
      </c>
      <c r="F5">
        <v>6.8</v>
      </c>
      <c r="G5">
        <v>13.5</v>
      </c>
    </row>
    <row r="6" spans="1:12" ht="14.65" thickBot="1" x14ac:dyDescent="0.5">
      <c r="A6" s="63" t="s">
        <v>154</v>
      </c>
      <c r="B6" s="65" t="s">
        <v>146</v>
      </c>
      <c r="C6">
        <v>1.64</v>
      </c>
      <c r="D6">
        <v>7.46</v>
      </c>
      <c r="E6">
        <v>4</v>
      </c>
      <c r="F6">
        <v>6.97</v>
      </c>
      <c r="G6">
        <v>18</v>
      </c>
    </row>
    <row r="7" spans="1:12" ht="14.65" thickBot="1" x14ac:dyDescent="0.5">
      <c r="A7" s="63" t="s">
        <v>155</v>
      </c>
      <c r="B7" s="66" t="s">
        <v>147</v>
      </c>
      <c r="C7">
        <v>1.84</v>
      </c>
      <c r="D7">
        <v>7.15</v>
      </c>
      <c r="E7">
        <v>5</v>
      </c>
      <c r="F7">
        <v>7.15</v>
      </c>
      <c r="G7">
        <v>22.5</v>
      </c>
    </row>
    <row r="8" spans="1:12" ht="14.65" thickBot="1" x14ac:dyDescent="0.5">
      <c r="A8" s="63" t="s">
        <v>156</v>
      </c>
      <c r="B8" s="66" t="s">
        <v>148</v>
      </c>
      <c r="C8">
        <v>2.02</v>
      </c>
      <c r="D8">
        <v>6.97</v>
      </c>
      <c r="E8">
        <v>6</v>
      </c>
      <c r="F8">
        <v>7.46</v>
      </c>
      <c r="G8">
        <v>27</v>
      </c>
    </row>
    <row r="9" spans="1:12" ht="14.65" thickBot="1" x14ac:dyDescent="0.5">
      <c r="A9" s="67" t="s">
        <v>159</v>
      </c>
      <c r="B9" s="68" t="s">
        <v>160</v>
      </c>
      <c r="C9">
        <v>2.2400000000000002</v>
      </c>
      <c r="D9">
        <v>6.8</v>
      </c>
      <c r="E9">
        <v>7</v>
      </c>
      <c r="F9">
        <v>7.55</v>
      </c>
      <c r="G9">
        <v>31.5</v>
      </c>
    </row>
    <row r="10" spans="1:12" ht="14.65" thickBot="1" x14ac:dyDescent="0.5">
      <c r="A10" s="63" t="s">
        <v>161</v>
      </c>
      <c r="B10" s="64" t="s">
        <v>162</v>
      </c>
      <c r="C10">
        <v>2.4</v>
      </c>
      <c r="D10">
        <v>6.64</v>
      </c>
      <c r="E10">
        <v>8</v>
      </c>
      <c r="F10">
        <v>7.68</v>
      </c>
      <c r="G10">
        <v>36</v>
      </c>
    </row>
    <row r="11" spans="1:12" ht="14.65" thickBot="1" x14ac:dyDescent="0.5">
      <c r="A11" s="63" t="s">
        <v>163</v>
      </c>
      <c r="B11" s="62" t="s">
        <v>164</v>
      </c>
      <c r="C11">
        <v>2.62</v>
      </c>
      <c r="D11">
        <v>6.49</v>
      </c>
      <c r="E11">
        <v>9</v>
      </c>
      <c r="F11">
        <v>7.86</v>
      </c>
      <c r="G11">
        <v>40.5</v>
      </c>
    </row>
    <row r="13" spans="1:12" x14ac:dyDescent="0.45">
      <c r="E13" t="s">
        <v>177</v>
      </c>
      <c r="F13" t="s">
        <v>0</v>
      </c>
      <c r="G13" t="s">
        <v>176</v>
      </c>
    </row>
    <row r="14" spans="1:12" x14ac:dyDescent="0.45">
      <c r="E14">
        <v>0</v>
      </c>
      <c r="F14">
        <v>8.4</v>
      </c>
      <c r="G14">
        <v>0</v>
      </c>
    </row>
    <row r="15" spans="1:12" x14ac:dyDescent="0.45">
      <c r="E15">
        <v>1</v>
      </c>
      <c r="F15">
        <v>6.45</v>
      </c>
      <c r="G15">
        <v>4.5</v>
      </c>
    </row>
    <row r="16" spans="1:12" x14ac:dyDescent="0.45">
      <c r="E16">
        <v>2</v>
      </c>
      <c r="F16">
        <v>6.47</v>
      </c>
      <c r="G16">
        <v>9</v>
      </c>
    </row>
    <row r="17" spans="5:7" x14ac:dyDescent="0.45">
      <c r="E17">
        <v>3</v>
      </c>
      <c r="F17">
        <v>6.49</v>
      </c>
      <c r="G17">
        <v>13.5</v>
      </c>
    </row>
    <row r="18" spans="5:7" x14ac:dyDescent="0.45">
      <c r="E18">
        <v>4</v>
      </c>
      <c r="F18">
        <v>6.5</v>
      </c>
      <c r="G18">
        <v>18</v>
      </c>
    </row>
    <row r="19" spans="5:7" x14ac:dyDescent="0.45">
      <c r="E19">
        <v>5</v>
      </c>
      <c r="F19">
        <v>6.49</v>
      </c>
      <c r="G19">
        <v>22.5</v>
      </c>
    </row>
    <row r="20" spans="5:7" x14ac:dyDescent="0.45">
      <c r="E20">
        <v>6</v>
      </c>
      <c r="F20">
        <v>6.51</v>
      </c>
      <c r="G20">
        <v>27</v>
      </c>
    </row>
    <row r="21" spans="5:7" x14ac:dyDescent="0.45">
      <c r="E21">
        <v>7</v>
      </c>
      <c r="F21">
        <v>6.55</v>
      </c>
      <c r="G21">
        <v>31.5</v>
      </c>
    </row>
    <row r="22" spans="5:7" x14ac:dyDescent="0.45">
      <c r="E22">
        <v>8</v>
      </c>
      <c r="F22">
        <v>6.56</v>
      </c>
      <c r="G22">
        <v>36</v>
      </c>
    </row>
    <row r="23" spans="5:7" x14ac:dyDescent="0.45">
      <c r="E23">
        <v>9</v>
      </c>
      <c r="F23">
        <v>6.57</v>
      </c>
      <c r="G23">
        <v>40.5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93C7C-602D-4DC7-B97E-E48EA1C315EA}">
  <dimension ref="A1:L58"/>
  <sheetViews>
    <sheetView topLeftCell="A16" workbookViewId="0">
      <selection activeCell="B3" sqref="B3"/>
    </sheetView>
  </sheetViews>
  <sheetFormatPr baseColWidth="10" defaultRowHeight="14.25" x14ac:dyDescent="0.45"/>
  <cols>
    <col min="1" max="5" width="18.1328125" customWidth="1"/>
    <col min="6" max="6" width="14.265625" bestFit="1" customWidth="1"/>
    <col min="8" max="8" width="18" bestFit="1" customWidth="1"/>
    <col min="9" max="9" width="13.33203125" bestFit="1" customWidth="1"/>
    <col min="10" max="10" width="13.53125" bestFit="1" customWidth="1"/>
    <col min="11" max="11" width="14.33203125" bestFit="1" customWidth="1"/>
    <col min="12" max="12" width="15.46484375" bestFit="1" customWidth="1"/>
    <col min="16379" max="16380" width="11.53125" bestFit="1" customWidth="1"/>
    <col min="16381" max="16384" width="11.53125" customWidth="1"/>
  </cols>
  <sheetData>
    <row r="1" spans="1:12" x14ac:dyDescent="0.45">
      <c r="F1" s="58" t="s">
        <v>140</v>
      </c>
      <c r="G1" s="58"/>
      <c r="H1" s="58"/>
      <c r="I1" s="58"/>
      <c r="J1" s="58"/>
      <c r="K1" s="58"/>
      <c r="L1" s="58"/>
    </row>
    <row r="2" spans="1:12" x14ac:dyDescent="0.45">
      <c r="F2" s="55" t="s">
        <v>134</v>
      </c>
      <c r="G2" s="55"/>
      <c r="H2" s="55"/>
      <c r="I2" s="55"/>
      <c r="J2" s="55"/>
      <c r="K2" s="57" t="s">
        <v>185</v>
      </c>
      <c r="L2" s="57" t="s">
        <v>133</v>
      </c>
    </row>
    <row r="3" spans="1:12" x14ac:dyDescent="0.45">
      <c r="A3" s="44" t="s">
        <v>19</v>
      </c>
      <c r="B3" s="44" t="s">
        <v>20</v>
      </c>
      <c r="C3" s="44" t="s">
        <v>21</v>
      </c>
      <c r="D3" s="44" t="s">
        <v>22</v>
      </c>
      <c r="E3" s="53" t="s">
        <v>23</v>
      </c>
      <c r="F3" s="56" t="s">
        <v>165</v>
      </c>
      <c r="G3" s="54" t="s">
        <v>139</v>
      </c>
      <c r="H3" s="54" t="s">
        <v>135</v>
      </c>
      <c r="I3" s="54" t="s">
        <v>138</v>
      </c>
      <c r="J3" s="54" t="s">
        <v>184</v>
      </c>
      <c r="K3" s="54" t="s">
        <v>136</v>
      </c>
      <c r="L3" s="56" t="s">
        <v>137</v>
      </c>
    </row>
    <row r="4" spans="1:12" x14ac:dyDescent="0.45">
      <c r="A4" s="41">
        <v>0</v>
      </c>
      <c r="B4" s="41">
        <v>134</v>
      </c>
      <c r="C4" s="41">
        <v>137</v>
      </c>
      <c r="D4" s="41">
        <v>19.100000000000001</v>
      </c>
      <c r="E4" s="48"/>
      <c r="F4" s="69" t="s">
        <v>166</v>
      </c>
      <c r="G4" s="69" t="s">
        <v>167</v>
      </c>
      <c r="H4" s="69" t="s">
        <v>168</v>
      </c>
      <c r="I4" s="69" t="s">
        <v>169</v>
      </c>
      <c r="J4" s="70" t="s">
        <v>170</v>
      </c>
      <c r="K4" s="69">
        <v>130.38</v>
      </c>
      <c r="L4" s="69">
        <v>114.43</v>
      </c>
    </row>
    <row r="5" spans="1:12" x14ac:dyDescent="0.45">
      <c r="A5" s="1">
        <v>0</v>
      </c>
      <c r="B5" s="1">
        <v>124</v>
      </c>
      <c r="C5" s="1">
        <v>171</v>
      </c>
      <c r="D5" s="1">
        <v>16.100000000000001</v>
      </c>
      <c r="E5" s="47"/>
    </row>
    <row r="6" spans="1:12" x14ac:dyDescent="0.45">
      <c r="A6" s="41">
        <v>0</v>
      </c>
      <c r="B6" s="41">
        <v>178</v>
      </c>
      <c r="C6" s="41">
        <v>182</v>
      </c>
      <c r="D6" s="41">
        <v>25.7</v>
      </c>
      <c r="E6" s="48"/>
    </row>
    <row r="7" spans="1:12" x14ac:dyDescent="0.45">
      <c r="A7" s="1">
        <v>0</v>
      </c>
      <c r="B7" s="1">
        <v>210</v>
      </c>
      <c r="C7" s="1">
        <v>214</v>
      </c>
      <c r="D7" s="1">
        <v>26.1</v>
      </c>
      <c r="E7" s="47"/>
    </row>
    <row r="8" spans="1:12" x14ac:dyDescent="0.45">
      <c r="A8" s="41">
        <v>0</v>
      </c>
      <c r="B8" s="41">
        <v>226</v>
      </c>
      <c r="C8" s="41">
        <v>231</v>
      </c>
      <c r="D8" s="41">
        <v>27</v>
      </c>
      <c r="E8" s="48"/>
    </row>
    <row r="9" spans="1:12" x14ac:dyDescent="0.45">
      <c r="A9" s="1">
        <v>0</v>
      </c>
      <c r="B9" s="1">
        <v>235</v>
      </c>
      <c r="C9" s="1">
        <v>239</v>
      </c>
      <c r="D9" s="1">
        <v>27.1</v>
      </c>
      <c r="E9" s="47"/>
    </row>
    <row r="10" spans="1:12" x14ac:dyDescent="0.45">
      <c r="A10" s="41">
        <v>0</v>
      </c>
      <c r="B10" s="41">
        <v>117</v>
      </c>
      <c r="C10" s="42">
        <v>119</v>
      </c>
      <c r="D10" s="41">
        <v>23.5</v>
      </c>
      <c r="E10" s="48"/>
    </row>
    <row r="11" spans="1:12" x14ac:dyDescent="0.45">
      <c r="A11" s="1">
        <v>0</v>
      </c>
      <c r="B11" s="1">
        <v>421</v>
      </c>
      <c r="C11" s="1">
        <v>430</v>
      </c>
      <c r="D11" s="1">
        <v>27</v>
      </c>
      <c r="E11" s="47"/>
    </row>
    <row r="12" spans="1:12" x14ac:dyDescent="0.45">
      <c r="A12" s="41">
        <v>0</v>
      </c>
      <c r="B12" s="41">
        <v>421</v>
      </c>
      <c r="C12" s="41">
        <v>430</v>
      </c>
      <c r="D12" s="41">
        <v>27</v>
      </c>
      <c r="E12" s="48"/>
    </row>
    <row r="13" spans="1:12" x14ac:dyDescent="0.45">
      <c r="A13" s="1">
        <v>0</v>
      </c>
      <c r="B13" s="1">
        <v>753</v>
      </c>
      <c r="C13" s="1">
        <v>768</v>
      </c>
      <c r="D13" s="1">
        <v>27.1</v>
      </c>
      <c r="E13" s="47"/>
    </row>
    <row r="14" spans="1:12" x14ac:dyDescent="0.45">
      <c r="A14" s="41">
        <v>0.4</v>
      </c>
      <c r="B14" s="41">
        <v>1144</v>
      </c>
      <c r="C14" s="41">
        <v>1169</v>
      </c>
      <c r="D14" s="41">
        <v>27.5</v>
      </c>
      <c r="E14" s="48"/>
    </row>
    <row r="15" spans="1:12" x14ac:dyDescent="0.45">
      <c r="A15" s="1">
        <v>0.4</v>
      </c>
      <c r="B15" s="1">
        <v>1230</v>
      </c>
      <c r="C15" s="1">
        <v>1263</v>
      </c>
      <c r="D15" s="1">
        <v>27.5</v>
      </c>
      <c r="E15" s="47"/>
    </row>
    <row r="16" spans="1:12" x14ac:dyDescent="0.45">
      <c r="A16" s="41">
        <v>0.5</v>
      </c>
      <c r="B16" s="41">
        <v>1408</v>
      </c>
      <c r="C16" s="41">
        <v>1437</v>
      </c>
      <c r="D16" s="41">
        <v>27.9</v>
      </c>
      <c r="E16" s="48"/>
    </row>
    <row r="17" spans="1:5" x14ac:dyDescent="0.45">
      <c r="A17" s="1">
        <v>0.6</v>
      </c>
      <c r="B17" s="1">
        <v>1482</v>
      </c>
      <c r="C17" s="1">
        <v>1512</v>
      </c>
      <c r="D17" s="1">
        <v>27.5</v>
      </c>
      <c r="E17" s="47"/>
    </row>
    <row r="18" spans="1:5" x14ac:dyDescent="0.45">
      <c r="A18" s="41">
        <v>0.6</v>
      </c>
      <c r="B18" s="41">
        <v>1540</v>
      </c>
      <c r="C18" s="41">
        <v>1572</v>
      </c>
      <c r="D18" s="41">
        <v>27.5</v>
      </c>
      <c r="E18" s="48"/>
    </row>
    <row r="19" spans="1:5" x14ac:dyDescent="0.45">
      <c r="A19" s="1">
        <v>0.6</v>
      </c>
      <c r="B19" s="1">
        <v>1588</v>
      </c>
      <c r="C19" s="1">
        <v>1620</v>
      </c>
      <c r="D19" s="1">
        <v>27.8</v>
      </c>
      <c r="E19" s="47"/>
    </row>
    <row r="20" spans="1:5" x14ac:dyDescent="0.45">
      <c r="A20" s="41">
        <v>0.7</v>
      </c>
      <c r="B20" s="41">
        <v>1618</v>
      </c>
      <c r="C20" s="41">
        <v>1653</v>
      </c>
      <c r="D20" s="41">
        <v>27.3</v>
      </c>
      <c r="E20" s="48"/>
    </row>
    <row r="21" spans="1:5" x14ac:dyDescent="0.45">
      <c r="A21" s="1">
        <v>0.7</v>
      </c>
      <c r="B21" s="1">
        <v>1688</v>
      </c>
      <c r="C21" s="1">
        <v>1723</v>
      </c>
      <c r="D21" s="1">
        <v>27.7</v>
      </c>
      <c r="E21" s="47"/>
    </row>
    <row r="22" spans="1:5" x14ac:dyDescent="0.45">
      <c r="A22" s="41">
        <v>0.7</v>
      </c>
      <c r="B22" s="41">
        <v>1730</v>
      </c>
      <c r="C22" s="41">
        <v>1777</v>
      </c>
      <c r="D22" s="41">
        <v>27.5</v>
      </c>
      <c r="E22" s="48"/>
    </row>
    <row r="23" spans="1:5" x14ac:dyDescent="0.45">
      <c r="A23" s="1">
        <v>0.7</v>
      </c>
      <c r="B23" s="1">
        <v>1763</v>
      </c>
      <c r="C23" s="1">
        <v>1799</v>
      </c>
      <c r="D23" s="1">
        <v>27.4</v>
      </c>
      <c r="E23" s="47"/>
    </row>
    <row r="24" spans="1:5" x14ac:dyDescent="0.45">
      <c r="A24" s="41">
        <v>0.7</v>
      </c>
      <c r="B24" s="41">
        <v>1690</v>
      </c>
      <c r="C24" s="41">
        <v>1724</v>
      </c>
      <c r="D24" s="41">
        <v>26.9</v>
      </c>
      <c r="E24" s="48"/>
    </row>
    <row r="25" spans="1:5" x14ac:dyDescent="0.45">
      <c r="A25" s="1">
        <v>0.7</v>
      </c>
      <c r="B25" s="1">
        <v>1705</v>
      </c>
      <c r="C25" s="1">
        <v>1740</v>
      </c>
      <c r="D25" s="1">
        <v>27.3</v>
      </c>
      <c r="E25" s="47"/>
    </row>
    <row r="26" spans="1:5" x14ac:dyDescent="0.45">
      <c r="A26" s="41">
        <v>0.7</v>
      </c>
      <c r="B26" s="41">
        <v>1748</v>
      </c>
      <c r="C26" s="41">
        <v>1782</v>
      </c>
      <c r="D26" s="41">
        <v>27</v>
      </c>
      <c r="E26" s="48"/>
    </row>
    <row r="27" spans="1:5" x14ac:dyDescent="0.45">
      <c r="A27" s="1">
        <v>0.7</v>
      </c>
      <c r="B27" s="1">
        <v>1764</v>
      </c>
      <c r="C27" s="1">
        <v>1800</v>
      </c>
      <c r="D27" s="1">
        <v>27.3</v>
      </c>
      <c r="E27" s="47"/>
    </row>
    <row r="28" spans="1:5" x14ac:dyDescent="0.45">
      <c r="A28" s="41">
        <v>0.7</v>
      </c>
      <c r="B28" s="41">
        <v>1739</v>
      </c>
      <c r="C28" s="41">
        <v>1774</v>
      </c>
      <c r="D28" s="41">
        <v>26.9</v>
      </c>
      <c r="E28" s="49">
        <v>0.91</v>
      </c>
    </row>
    <row r="29" spans="1:5" x14ac:dyDescent="0.45">
      <c r="A29" s="1">
        <v>0.7</v>
      </c>
      <c r="B29" s="1">
        <v>1694</v>
      </c>
      <c r="C29" s="1">
        <v>1729</v>
      </c>
      <c r="D29" s="1">
        <v>27</v>
      </c>
      <c r="E29" s="50">
        <v>0.94</v>
      </c>
    </row>
    <row r="30" spans="1:5" x14ac:dyDescent="0.45">
      <c r="A30" s="41">
        <v>0.7</v>
      </c>
      <c r="B30" s="41">
        <v>1649</v>
      </c>
      <c r="C30" s="41">
        <v>1683</v>
      </c>
      <c r="D30" s="41">
        <v>27.1</v>
      </c>
      <c r="E30" s="49">
        <v>0.91</v>
      </c>
    </row>
    <row r="31" spans="1:5" x14ac:dyDescent="0.45">
      <c r="A31" s="1">
        <v>0.8</v>
      </c>
      <c r="B31" s="1">
        <v>1779</v>
      </c>
      <c r="C31" s="1">
        <v>1815</v>
      </c>
      <c r="D31" s="1">
        <v>27.6</v>
      </c>
      <c r="E31" s="50">
        <v>0.92</v>
      </c>
    </row>
    <row r="32" spans="1:5" x14ac:dyDescent="0.45">
      <c r="A32" s="41">
        <v>0.8</v>
      </c>
      <c r="B32" s="41">
        <v>1925</v>
      </c>
      <c r="C32" s="41">
        <v>1965</v>
      </c>
      <c r="D32" s="41">
        <v>27.4</v>
      </c>
      <c r="E32" s="49">
        <v>0.91</v>
      </c>
    </row>
    <row r="33" spans="1:5" x14ac:dyDescent="0.45">
      <c r="A33" s="1">
        <v>0.9</v>
      </c>
      <c r="B33" s="1">
        <v>1971</v>
      </c>
      <c r="C33" s="1">
        <v>2001</v>
      </c>
      <c r="D33" s="1">
        <v>27.7</v>
      </c>
      <c r="E33" s="50">
        <v>0.89</v>
      </c>
    </row>
    <row r="34" spans="1:5" x14ac:dyDescent="0.45">
      <c r="A34" s="41">
        <v>0.8</v>
      </c>
      <c r="B34" s="41">
        <v>1925</v>
      </c>
      <c r="C34" s="41">
        <v>1965</v>
      </c>
      <c r="D34" s="41">
        <v>27.5</v>
      </c>
      <c r="E34" s="49">
        <v>0.88</v>
      </c>
    </row>
    <row r="35" spans="1:5" x14ac:dyDescent="0.45">
      <c r="A35" s="1">
        <v>0.9</v>
      </c>
      <c r="B35" s="1">
        <v>1971</v>
      </c>
      <c r="C35" s="1">
        <v>2001</v>
      </c>
      <c r="D35" s="1">
        <v>27.6</v>
      </c>
      <c r="E35" s="50">
        <v>0.9</v>
      </c>
    </row>
    <row r="36" spans="1:5" x14ac:dyDescent="0.45">
      <c r="A36" s="41">
        <v>0.8</v>
      </c>
      <c r="B36" s="41">
        <v>1833</v>
      </c>
      <c r="C36" s="41">
        <v>1871</v>
      </c>
      <c r="D36" s="41">
        <v>26.7</v>
      </c>
      <c r="E36" s="49">
        <v>0.91</v>
      </c>
    </row>
    <row r="37" spans="1:5" x14ac:dyDescent="0.45">
      <c r="A37" s="1">
        <v>0.7</v>
      </c>
      <c r="B37" s="1">
        <v>1751</v>
      </c>
      <c r="C37" s="1">
        <v>1786</v>
      </c>
      <c r="D37" s="1">
        <v>26.5</v>
      </c>
      <c r="E37" s="50">
        <v>0.91</v>
      </c>
    </row>
    <row r="38" spans="1:5" x14ac:dyDescent="0.45">
      <c r="A38" s="41">
        <v>0.8</v>
      </c>
      <c r="B38" s="41">
        <v>1881</v>
      </c>
      <c r="C38" s="41">
        <v>1920</v>
      </c>
      <c r="D38" s="41">
        <v>26.8</v>
      </c>
      <c r="E38" s="49">
        <v>0.92</v>
      </c>
    </row>
    <row r="39" spans="1:5" x14ac:dyDescent="0.45">
      <c r="A39" s="41">
        <v>0.8</v>
      </c>
      <c r="B39" s="41">
        <v>1805</v>
      </c>
      <c r="C39" s="41">
        <v>1842</v>
      </c>
      <c r="D39" s="41">
        <v>26.9</v>
      </c>
      <c r="E39" s="49">
        <v>0.91</v>
      </c>
    </row>
    <row r="40" spans="1:5" x14ac:dyDescent="0.45">
      <c r="A40" s="1">
        <v>0.7</v>
      </c>
      <c r="B40" s="1">
        <v>1804</v>
      </c>
      <c r="C40" s="1">
        <v>1763</v>
      </c>
      <c r="D40" s="1">
        <v>27</v>
      </c>
      <c r="E40" s="50">
        <v>0.91</v>
      </c>
    </row>
    <row r="41" spans="1:5" x14ac:dyDescent="0.45">
      <c r="A41" s="41">
        <v>0.7</v>
      </c>
      <c r="B41" s="41">
        <v>1657</v>
      </c>
      <c r="C41" s="41">
        <v>1692</v>
      </c>
      <c r="D41" s="41">
        <v>26.8</v>
      </c>
      <c r="E41" s="49">
        <v>0.92</v>
      </c>
    </row>
    <row r="42" spans="1:5" x14ac:dyDescent="0.45">
      <c r="A42" s="1">
        <v>0.6</v>
      </c>
      <c r="B42" s="1">
        <v>1541</v>
      </c>
      <c r="C42" s="1">
        <v>1572</v>
      </c>
      <c r="D42" s="1">
        <v>26.7</v>
      </c>
      <c r="E42" s="50">
        <v>0.92</v>
      </c>
    </row>
    <row r="43" spans="1:5" x14ac:dyDescent="0.45">
      <c r="A43" s="41">
        <v>0.7</v>
      </c>
      <c r="B43" s="41">
        <v>1705</v>
      </c>
      <c r="C43" s="41">
        <v>1740</v>
      </c>
      <c r="D43" s="41">
        <v>27</v>
      </c>
      <c r="E43" s="49">
        <v>0.91</v>
      </c>
    </row>
    <row r="44" spans="1:5" x14ac:dyDescent="0.45">
      <c r="A44" s="31">
        <v>0.7</v>
      </c>
      <c r="B44" s="31">
        <v>1695</v>
      </c>
      <c r="C44" s="31">
        <v>1730</v>
      </c>
      <c r="D44" s="31">
        <v>27</v>
      </c>
      <c r="E44" s="51">
        <v>0.91</v>
      </c>
    </row>
    <row r="45" spans="1:5" x14ac:dyDescent="0.45">
      <c r="A45" s="32">
        <v>0.7</v>
      </c>
      <c r="B45" s="32">
        <v>1687</v>
      </c>
      <c r="C45" s="32">
        <v>1721</v>
      </c>
      <c r="D45" s="32">
        <v>27.1</v>
      </c>
      <c r="E45" s="52">
        <v>0.92</v>
      </c>
    </row>
    <row r="46" spans="1:5" x14ac:dyDescent="0.45">
      <c r="A46" s="31">
        <v>0.8</v>
      </c>
      <c r="B46" s="31">
        <v>1857</v>
      </c>
      <c r="C46" s="31">
        <v>1892</v>
      </c>
      <c r="D46" s="31">
        <v>28.3</v>
      </c>
      <c r="E46" s="51">
        <v>0.91</v>
      </c>
    </row>
    <row r="47" spans="1:5" x14ac:dyDescent="0.45">
      <c r="A47" s="32">
        <v>0.8</v>
      </c>
      <c r="B47" s="32">
        <v>1797</v>
      </c>
      <c r="C47" s="32">
        <v>1834</v>
      </c>
      <c r="D47" s="32">
        <v>27.3</v>
      </c>
      <c r="E47" s="52">
        <v>0.9</v>
      </c>
    </row>
    <row r="48" spans="1:5" x14ac:dyDescent="0.45">
      <c r="A48" s="31">
        <v>0.8</v>
      </c>
      <c r="B48" s="31">
        <v>1848</v>
      </c>
      <c r="C48" s="31">
        <v>1887</v>
      </c>
      <c r="D48" s="31">
        <v>27.5</v>
      </c>
      <c r="E48" s="51">
        <v>0.93</v>
      </c>
    </row>
    <row r="49" spans="1:10" x14ac:dyDescent="0.45">
      <c r="A49" s="32">
        <v>0.8</v>
      </c>
      <c r="B49" s="32">
        <v>1798</v>
      </c>
      <c r="C49" s="32">
        <v>1846</v>
      </c>
      <c r="D49" s="32">
        <v>27.6</v>
      </c>
      <c r="E49" s="52">
        <v>0.92</v>
      </c>
    </row>
    <row r="50" spans="1:10" x14ac:dyDescent="0.45">
      <c r="A50" s="31">
        <v>0.6</v>
      </c>
      <c r="B50" s="31">
        <v>1502</v>
      </c>
      <c r="C50" s="31">
        <v>1532</v>
      </c>
      <c r="D50" s="31">
        <v>27.4</v>
      </c>
      <c r="E50" s="51">
        <v>0.93</v>
      </c>
    </row>
    <row r="51" spans="1:10" x14ac:dyDescent="0.45">
      <c r="A51" s="32">
        <v>0.6</v>
      </c>
      <c r="B51" s="32">
        <v>1537</v>
      </c>
      <c r="C51" s="32">
        <v>1570</v>
      </c>
      <c r="D51" s="32">
        <v>27.6</v>
      </c>
      <c r="E51" s="52">
        <v>0.95</v>
      </c>
    </row>
    <row r="52" spans="1:10" x14ac:dyDescent="0.45">
      <c r="A52" s="31">
        <v>0.6</v>
      </c>
      <c r="B52" s="31">
        <v>1527</v>
      </c>
      <c r="C52" s="31">
        <v>1559</v>
      </c>
      <c r="D52" s="31">
        <v>27.5</v>
      </c>
      <c r="E52" s="51">
        <v>0.94</v>
      </c>
    </row>
    <row r="53" spans="1:10" x14ac:dyDescent="0.45">
      <c r="A53" s="32">
        <v>0.6</v>
      </c>
      <c r="B53" s="32">
        <v>1512</v>
      </c>
      <c r="C53" s="32">
        <v>1536</v>
      </c>
      <c r="D53" s="32">
        <v>27.5</v>
      </c>
      <c r="E53" s="52">
        <v>0.93</v>
      </c>
    </row>
    <row r="54" spans="1:10" x14ac:dyDescent="0.45">
      <c r="A54" s="31">
        <v>0.7</v>
      </c>
      <c r="B54" s="31">
        <v>1730</v>
      </c>
      <c r="C54" s="31">
        <v>1766</v>
      </c>
      <c r="D54" s="31">
        <v>28.9</v>
      </c>
      <c r="E54" s="51">
        <v>0.92</v>
      </c>
    </row>
    <row r="55" spans="1:10" x14ac:dyDescent="0.45">
      <c r="A55" s="32">
        <v>0.8</v>
      </c>
      <c r="B55" s="32">
        <v>1792</v>
      </c>
      <c r="C55" s="32">
        <v>1829</v>
      </c>
      <c r="D55" s="32">
        <v>27.8</v>
      </c>
      <c r="E55" s="52">
        <v>0.97</v>
      </c>
    </row>
    <row r="56" spans="1:10" x14ac:dyDescent="0.45">
      <c r="A56" s="31">
        <v>0.8</v>
      </c>
      <c r="B56" s="31">
        <v>1819</v>
      </c>
      <c r="C56" s="31">
        <v>1856</v>
      </c>
      <c r="D56" s="31">
        <v>27.4</v>
      </c>
      <c r="E56" s="51">
        <v>0.96</v>
      </c>
    </row>
    <row r="57" spans="1:10" x14ac:dyDescent="0.45">
      <c r="A57">
        <f>AVERAGE(A4:A56)</f>
        <v>0.567924528301887</v>
      </c>
      <c r="B57">
        <f>AVERAGE(B4:B56)</f>
        <v>1427.3207547169811</v>
      </c>
      <c r="C57">
        <f>AVERAGE(C4:C56)</f>
        <v>1456.0188679245282</v>
      </c>
      <c r="D57">
        <f>AVERAGE(D4:D56)</f>
        <v>26.828301886792445</v>
      </c>
      <c r="E57" s="24">
        <f>AVERAGE(E28:E56)</f>
        <v>0.91931034482758633</v>
      </c>
      <c r="F57" s="46"/>
      <c r="G57" s="46"/>
      <c r="H57" s="46"/>
      <c r="I57" s="46"/>
      <c r="J57" s="46"/>
    </row>
    <row r="58" spans="1:10" x14ac:dyDescent="0.45">
      <c r="A58">
        <f>_xlfn.STDEV.P(A14:A56)</f>
        <v>0.10783277320343757</v>
      </c>
      <c r="B58">
        <f>_xlfn.STDEV.P(B14:B56)</f>
        <v>173.77016829692175</v>
      </c>
      <c r="C58">
        <f>_xlfn.STDEV.P(C14:C56)</f>
        <v>175.56070107525071</v>
      </c>
      <c r="D58">
        <f>_xlfn.STDEV.P(D14:D56)</f>
        <v>0.43793853089393264</v>
      </c>
      <c r="E58">
        <f>_xlfn.STDEV.P(E14:E56)</f>
        <v>1.8924721012430663E-2</v>
      </c>
      <c r="F58" s="45"/>
      <c r="G58" s="45"/>
      <c r="H58" s="45"/>
      <c r="I58" s="45"/>
      <c r="J58" s="45"/>
    </row>
  </sheetData>
  <mergeCells count="2">
    <mergeCell ref="F2:J2"/>
    <mergeCell ref="F1:L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9A148-D585-4957-97B9-9A42309AF25A}">
  <dimension ref="A1:K20"/>
  <sheetViews>
    <sheetView zoomScale="90" workbookViewId="0">
      <selection activeCell="D5" sqref="D5"/>
    </sheetView>
  </sheetViews>
  <sheetFormatPr baseColWidth="10" defaultColWidth="11.46484375" defaultRowHeight="14.25" x14ac:dyDescent="0.45"/>
  <cols>
    <col min="1" max="1" width="6.19921875" bestFit="1" customWidth="1"/>
    <col min="2" max="2" width="17.46484375" bestFit="1" customWidth="1"/>
    <col min="3" max="4" width="19.53125" bestFit="1" customWidth="1"/>
    <col min="5" max="5" width="11.46484375" bestFit="1" customWidth="1"/>
    <col min="6" max="6" width="11.46484375" customWidth="1"/>
    <col min="7" max="7" width="17.86328125" bestFit="1" customWidth="1"/>
    <col min="8" max="8" width="17.86328125" customWidth="1"/>
    <col min="9" max="10" width="12.86328125" bestFit="1" customWidth="1"/>
    <col min="11" max="11" width="19.46484375" bestFit="1" customWidth="1"/>
  </cols>
  <sheetData>
    <row r="1" spans="1:11" x14ac:dyDescent="0.45">
      <c r="A1" t="s">
        <v>4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  <c r="G1" t="s">
        <v>117</v>
      </c>
      <c r="H1" t="s">
        <v>118</v>
      </c>
      <c r="I1" t="s">
        <v>119</v>
      </c>
      <c r="J1" t="s">
        <v>120</v>
      </c>
      <c r="K1" t="s">
        <v>121</v>
      </c>
    </row>
    <row r="2" spans="1:11" x14ac:dyDescent="0.45">
      <c r="A2" s="6">
        <v>45015</v>
      </c>
      <c r="B2">
        <f>(2.873)</f>
        <v>2.8730000000000002</v>
      </c>
      <c r="C2">
        <f>(1.082*Tabell3[[#This Row],[Før bio test 1]])+0.0112</f>
        <v>3.1197860000000004</v>
      </c>
      <c r="D2">
        <v>2.653</v>
      </c>
      <c r="E2">
        <f>(1.082*Tabell3[[#This Row],[Før bio test 2]])+0.0112</f>
        <v>2.8817460000000001</v>
      </c>
      <c r="F2">
        <f t="shared" ref="F2:F15" si="0">AVERAGE(C2,E2)</f>
        <v>3.0007660000000005</v>
      </c>
      <c r="G2">
        <v>3.008</v>
      </c>
      <c r="H2">
        <f>(1.082*Tabell3[[#This Row],[Etter bio test 1]])+0.0112</f>
        <v>3.2658560000000003</v>
      </c>
      <c r="I2">
        <v>2.984</v>
      </c>
      <c r="J2">
        <f>(1.082*Tabell3[[#This Row],[Etter bio test 2]])+0.0112</f>
        <v>3.2398880000000001</v>
      </c>
      <c r="K2">
        <f>AVERAGE(Tabell3[[#This Row],[formel3]:[Etter bio test 2]])</f>
        <v>3.1249280000000002</v>
      </c>
    </row>
    <row r="3" spans="1:11" x14ac:dyDescent="0.45">
      <c r="A3" s="6">
        <v>45016</v>
      </c>
      <c r="B3">
        <v>2.8159999999999998</v>
      </c>
      <c r="C3">
        <f>(1.082*Tabell3[[#This Row],[Før bio test 1]])+0.0112</f>
        <v>3.0581119999999999</v>
      </c>
      <c r="D3">
        <v>2.5990000000000002</v>
      </c>
      <c r="E3">
        <f>(1.082*Tabell3[[#This Row],[Før bio test 2]])+0.0112</f>
        <v>2.8233180000000004</v>
      </c>
      <c r="F3">
        <f t="shared" si="0"/>
        <v>2.940715</v>
      </c>
      <c r="G3">
        <v>2.6179999999999999</v>
      </c>
      <c r="H3">
        <f>(1.082*Tabell3[[#This Row],[Etter bio test 1]])+0.0112</f>
        <v>2.8438760000000003</v>
      </c>
      <c r="I3">
        <v>2.7879999999999998</v>
      </c>
      <c r="J3">
        <f>(1.082*Tabell3[[#This Row],[Etter bio test 2]])+0.0112</f>
        <v>3.0278160000000001</v>
      </c>
      <c r="K3">
        <f>AVERAGE(Tabell3[[#This Row],[formel3]:[Etter bio test 2]])</f>
        <v>2.8159380000000001</v>
      </c>
    </row>
    <row r="4" spans="1:11" x14ac:dyDescent="0.45">
      <c r="B4">
        <v>2.3759999999999999</v>
      </c>
      <c r="C4">
        <f>(1.082*Tabell3[[#This Row],[Før bio test 1]])+0.0112</f>
        <v>2.5820320000000003</v>
      </c>
      <c r="D4">
        <v>2.3690000000000002</v>
      </c>
      <c r="E4">
        <f>(1.082*Tabell3[[#This Row],[Før bio test 2]])+0.0112</f>
        <v>2.5744580000000004</v>
      </c>
      <c r="F4">
        <f t="shared" si="0"/>
        <v>2.5782450000000003</v>
      </c>
      <c r="G4">
        <v>2.3639999999999999</v>
      </c>
      <c r="H4">
        <f>(1.082*Tabell3[[#This Row],[Etter bio test 1]])+0.0112</f>
        <v>2.569048</v>
      </c>
      <c r="I4">
        <v>2.359</v>
      </c>
      <c r="J4">
        <f>(1.082*Tabell3[[#This Row],[Etter bio test 2]])+0.0112</f>
        <v>2.5636380000000001</v>
      </c>
      <c r="K4">
        <f>AVERAGE(Tabell3[[#This Row],[formel3]:[Etter bio test 2]])</f>
        <v>2.4640240000000002</v>
      </c>
    </row>
    <row r="5" spans="1:11" x14ac:dyDescent="0.45">
      <c r="C5">
        <f>(1.082*Tabell3[[#This Row],[Før bio test 1]])+0.0112</f>
        <v>1.12E-2</v>
      </c>
      <c r="E5">
        <f>(1.082*Tabell3[[#This Row],[Før bio test 2]])+0.0112</f>
        <v>1.12E-2</v>
      </c>
      <c r="F5">
        <f t="shared" si="0"/>
        <v>1.12E-2</v>
      </c>
      <c r="H5">
        <f>(1.082*Tabell3[[#This Row],[Etter bio test 1]])+0.0112</f>
        <v>1.12E-2</v>
      </c>
      <c r="J5">
        <f>(1.082*Tabell3[[#This Row],[Etter bio test 2]])+0.0112</f>
        <v>1.12E-2</v>
      </c>
      <c r="K5">
        <f>AVERAGE(Tabell3[[#This Row],[formel3]:[Etter bio test 2]])</f>
        <v>1.12E-2</v>
      </c>
    </row>
    <row r="6" spans="1:11" x14ac:dyDescent="0.45">
      <c r="C6">
        <f>(1.082*Tabell3[[#This Row],[Før bio test 1]])+0.0112</f>
        <v>1.12E-2</v>
      </c>
      <c r="E6">
        <f>(1.082*Tabell3[[#This Row],[Før bio test 2]])+0.0112</f>
        <v>1.12E-2</v>
      </c>
      <c r="F6">
        <f t="shared" si="0"/>
        <v>1.12E-2</v>
      </c>
      <c r="H6">
        <f>(1.082*Tabell3[[#This Row],[Etter bio test 1]])+0.0112</f>
        <v>1.12E-2</v>
      </c>
      <c r="J6">
        <f>(1.082*Tabell3[[#This Row],[Etter bio test 2]])+0.0112</f>
        <v>1.12E-2</v>
      </c>
      <c r="K6">
        <f>AVERAGE(Tabell3[[#This Row],[formel3]:[Etter bio test 2]])</f>
        <v>1.12E-2</v>
      </c>
    </row>
    <row r="7" spans="1:11" x14ac:dyDescent="0.45">
      <c r="C7">
        <f>(1.082*Tabell3[[#This Row],[Før bio test 1]])+0.0112</f>
        <v>1.12E-2</v>
      </c>
      <c r="E7">
        <f>(1.082*Tabell3[[#This Row],[Før bio test 2]])+0.0112</f>
        <v>1.12E-2</v>
      </c>
      <c r="F7">
        <f t="shared" si="0"/>
        <v>1.12E-2</v>
      </c>
      <c r="H7">
        <f>(1.082*Tabell3[[#This Row],[Etter bio test 1]])+0.0112</f>
        <v>1.12E-2</v>
      </c>
      <c r="J7">
        <f>(1.082*Tabell3[[#This Row],[Etter bio test 2]])+0.0112</f>
        <v>1.12E-2</v>
      </c>
      <c r="K7">
        <f>AVERAGE(Tabell3[[#This Row],[formel3]:[Etter bio test 2]])</f>
        <v>1.12E-2</v>
      </c>
    </row>
    <row r="8" spans="1:11" x14ac:dyDescent="0.45">
      <c r="C8">
        <f>(1.082*Tabell3[[#This Row],[Før bio test 1]])+0.0112</f>
        <v>1.12E-2</v>
      </c>
      <c r="E8">
        <f>(1.082*Tabell3[[#This Row],[Før bio test 2]])+0.0112</f>
        <v>1.12E-2</v>
      </c>
      <c r="F8">
        <f t="shared" si="0"/>
        <v>1.12E-2</v>
      </c>
      <c r="H8">
        <f>(1.082*Tabell3[[#This Row],[Etter bio test 1]])+0.0112</f>
        <v>1.12E-2</v>
      </c>
      <c r="J8">
        <f>(1.082*Tabell3[[#This Row],[Etter bio test 2]])+0.0112</f>
        <v>1.12E-2</v>
      </c>
      <c r="K8">
        <f>AVERAGE(Tabell3[[#This Row],[formel3]:[Etter bio test 2]])</f>
        <v>1.12E-2</v>
      </c>
    </row>
    <row r="9" spans="1:11" x14ac:dyDescent="0.45">
      <c r="C9">
        <f>(1.082*Tabell3[[#This Row],[Før bio test 1]])+0.0112</f>
        <v>1.12E-2</v>
      </c>
      <c r="E9">
        <f>(1.082*Tabell3[[#This Row],[Før bio test 2]])+0.0112</f>
        <v>1.12E-2</v>
      </c>
      <c r="F9">
        <f t="shared" si="0"/>
        <v>1.12E-2</v>
      </c>
      <c r="H9">
        <f>(1.082*Tabell3[[#This Row],[Etter bio test 1]])+0.0112</f>
        <v>1.12E-2</v>
      </c>
      <c r="J9">
        <f>(1.082*Tabell3[[#This Row],[Etter bio test 2]])+0.0112</f>
        <v>1.12E-2</v>
      </c>
      <c r="K9">
        <f>AVERAGE(Tabell3[[#This Row],[formel3]:[Etter bio test 2]])</f>
        <v>1.12E-2</v>
      </c>
    </row>
    <row r="10" spans="1:11" x14ac:dyDescent="0.45">
      <c r="C10">
        <f>(1.082*Tabell3[[#This Row],[Før bio test 1]])+0.0112</f>
        <v>1.12E-2</v>
      </c>
      <c r="E10">
        <f>(1.082*Tabell3[[#This Row],[Før bio test 2]])+0.0112</f>
        <v>1.12E-2</v>
      </c>
      <c r="F10">
        <f t="shared" si="0"/>
        <v>1.12E-2</v>
      </c>
      <c r="H10">
        <f>(1.082*Tabell3[[#This Row],[Etter bio test 1]])+0.0112</f>
        <v>1.12E-2</v>
      </c>
      <c r="J10">
        <f>(1.082*Tabell3[[#This Row],[Etter bio test 2]])+0.0112</f>
        <v>1.12E-2</v>
      </c>
      <c r="K10">
        <f>AVERAGE(Tabell3[[#This Row],[formel3]:[Etter bio test 2]])</f>
        <v>1.12E-2</v>
      </c>
    </row>
    <row r="11" spans="1:11" x14ac:dyDescent="0.45">
      <c r="C11">
        <f>(1.082*Tabell3[[#This Row],[Før bio test 1]])+0.0112</f>
        <v>1.12E-2</v>
      </c>
      <c r="E11">
        <f>(1.082*Tabell3[[#This Row],[Før bio test 2]])+0.0112</f>
        <v>1.12E-2</v>
      </c>
      <c r="F11">
        <f t="shared" si="0"/>
        <v>1.12E-2</v>
      </c>
      <c r="H11">
        <f>(1.082*Tabell3[[#This Row],[Etter bio test 1]])+0.0112</f>
        <v>1.12E-2</v>
      </c>
      <c r="J11">
        <f>(1.082*Tabell3[[#This Row],[Etter bio test 2]])+0.0112</f>
        <v>1.12E-2</v>
      </c>
      <c r="K11">
        <f>AVERAGE(Tabell3[[#This Row],[formel3]:[Etter bio test 2]])</f>
        <v>1.12E-2</v>
      </c>
    </row>
    <row r="12" spans="1:11" x14ac:dyDescent="0.45">
      <c r="C12">
        <f>(1.082*Tabell3[[#This Row],[Før bio test 1]])+0.0112</f>
        <v>1.12E-2</v>
      </c>
      <c r="E12">
        <f>(1.082*Tabell3[[#This Row],[Før bio test 2]])+0.0112</f>
        <v>1.12E-2</v>
      </c>
      <c r="F12">
        <f t="shared" si="0"/>
        <v>1.12E-2</v>
      </c>
      <c r="H12">
        <f>(1.082*Tabell3[[#This Row],[Etter bio test 1]])+0.0112</f>
        <v>1.12E-2</v>
      </c>
      <c r="J12">
        <f>(1.082*Tabell3[[#This Row],[Etter bio test 2]])+0.0112</f>
        <v>1.12E-2</v>
      </c>
      <c r="K12">
        <f>AVERAGE(Tabell3[[#This Row],[formel3]:[Etter bio test 2]])</f>
        <v>1.12E-2</v>
      </c>
    </row>
    <row r="13" spans="1:11" x14ac:dyDescent="0.45">
      <c r="C13">
        <f>(1.082*Tabell3[[#This Row],[Før bio test 1]])+0.0112</f>
        <v>1.12E-2</v>
      </c>
      <c r="E13">
        <f>(1.082*Tabell3[[#This Row],[Før bio test 2]])+0.0112</f>
        <v>1.12E-2</v>
      </c>
      <c r="F13">
        <f t="shared" si="0"/>
        <v>1.12E-2</v>
      </c>
      <c r="H13">
        <f>(1.082*Tabell3[[#This Row],[Etter bio test 1]])+0.0112</f>
        <v>1.12E-2</v>
      </c>
      <c r="J13">
        <f>(1.082*Tabell3[[#This Row],[Etter bio test 2]])+0.0112</f>
        <v>1.12E-2</v>
      </c>
      <c r="K13">
        <f>AVERAGE(Tabell3[[#This Row],[formel3]:[Etter bio test 2]])</f>
        <v>1.12E-2</v>
      </c>
    </row>
    <row r="14" spans="1:11" x14ac:dyDescent="0.45">
      <c r="C14">
        <f>(1.082*Tabell3[[#This Row],[Før bio test 1]])+0.0112</f>
        <v>1.12E-2</v>
      </c>
      <c r="E14">
        <f>(1.082*Tabell3[[#This Row],[Før bio test 2]])+0.0112</f>
        <v>1.12E-2</v>
      </c>
      <c r="F14">
        <f t="shared" si="0"/>
        <v>1.12E-2</v>
      </c>
      <c r="H14">
        <f>(1.082*Tabell3[[#This Row],[Etter bio test 1]])+0.0112</f>
        <v>1.12E-2</v>
      </c>
      <c r="J14">
        <f>(1.082*Tabell3[[#This Row],[Etter bio test 2]])+0.0112</f>
        <v>1.12E-2</v>
      </c>
      <c r="K14">
        <f>AVERAGE(Tabell3[[#This Row],[formel3]:[Etter bio test 2]])</f>
        <v>1.12E-2</v>
      </c>
    </row>
    <row r="15" spans="1:11" x14ac:dyDescent="0.45">
      <c r="C15">
        <f>(1.082*Tabell3[[#This Row],[Før bio test 1]])+0.0112</f>
        <v>1.12E-2</v>
      </c>
      <c r="E15">
        <f>(1.082*Tabell3[[#This Row],[Før bio test 2]])+0.0112</f>
        <v>1.12E-2</v>
      </c>
      <c r="F15">
        <f t="shared" si="0"/>
        <v>1.12E-2</v>
      </c>
      <c r="H15">
        <f>(1.082*Tabell3[[#This Row],[Etter bio test 1]])+0.0112</f>
        <v>1.12E-2</v>
      </c>
      <c r="J15">
        <f>(1.082*Tabell3[[#This Row],[Etter bio test 2]])+0.0112</f>
        <v>1.12E-2</v>
      </c>
      <c r="K15">
        <f>AVERAGE(Tabell3[[#This Row],[formel3]:[Etter bio test 2]])</f>
        <v>1.12E-2</v>
      </c>
    </row>
    <row r="17" spans="1:5" x14ac:dyDescent="0.45">
      <c r="A17" t="s">
        <v>4</v>
      </c>
      <c r="B17" t="s">
        <v>122</v>
      </c>
      <c r="C17" t="s">
        <v>123</v>
      </c>
      <c r="D17" t="s">
        <v>124</v>
      </c>
      <c r="E17" t="s">
        <v>125</v>
      </c>
    </row>
    <row r="18" spans="1:5" x14ac:dyDescent="0.45">
      <c r="A18" s="6">
        <v>45015</v>
      </c>
      <c r="B18">
        <v>0.57199999999999995</v>
      </c>
      <c r="C18">
        <v>0.56799999999999995</v>
      </c>
      <c r="D18">
        <f>AVERAGE(B18:C18)</f>
        <v>0.56999999999999995</v>
      </c>
      <c r="E18" t="s">
        <v>126</v>
      </c>
    </row>
    <row r="19" spans="1:5" x14ac:dyDescent="0.45">
      <c r="A19" s="6">
        <v>45016</v>
      </c>
      <c r="B19">
        <v>0.54800000000000004</v>
      </c>
      <c r="C19">
        <v>0.55300000000000005</v>
      </c>
      <c r="D19">
        <f t="shared" ref="D19:D20" si="1">AVERAGE(B19:C19)</f>
        <v>0.55049999999999999</v>
      </c>
      <c r="E19" t="s">
        <v>126</v>
      </c>
    </row>
    <row r="20" spans="1:5" x14ac:dyDescent="0.45">
      <c r="A20" s="6">
        <v>45017</v>
      </c>
      <c r="B20">
        <v>0.55500000000000005</v>
      </c>
      <c r="C20">
        <v>0.55800000000000005</v>
      </c>
      <c r="D20">
        <f t="shared" si="1"/>
        <v>0.55649999999999999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628DD-553C-4365-A0B0-BD19BEAA2E0A}">
  <dimension ref="B3:P35"/>
  <sheetViews>
    <sheetView zoomScale="71" workbookViewId="0">
      <selection activeCell="I36" sqref="I36"/>
    </sheetView>
  </sheetViews>
  <sheetFormatPr baseColWidth="10" defaultColWidth="11.46484375" defaultRowHeight="14.25" x14ac:dyDescent="0.45"/>
  <cols>
    <col min="6" max="6" width="11.53125" bestFit="1" customWidth="1"/>
  </cols>
  <sheetData>
    <row r="3" spans="2:16" x14ac:dyDescent="0.45">
      <c r="B3" t="s">
        <v>127</v>
      </c>
      <c r="J3" t="s">
        <v>128</v>
      </c>
    </row>
    <row r="4" spans="2:16" x14ac:dyDescent="0.45">
      <c r="C4" t="s">
        <v>122</v>
      </c>
      <c r="D4" t="s">
        <v>129</v>
      </c>
      <c r="E4" t="s">
        <v>108</v>
      </c>
      <c r="G4" t="s">
        <v>130</v>
      </c>
      <c r="H4" s="21">
        <f>(1.082*J4)+0.0112</f>
        <v>0.12481</v>
      </c>
      <c r="J4">
        <v>0.105</v>
      </c>
      <c r="N4">
        <v>1</v>
      </c>
      <c r="O4">
        <v>2</v>
      </c>
    </row>
    <row r="5" spans="2:16" x14ac:dyDescent="0.45">
      <c r="B5">
        <v>0.1</v>
      </c>
      <c r="C5">
        <v>0.105</v>
      </c>
      <c r="D5">
        <v>0.105</v>
      </c>
      <c r="E5" s="20">
        <f>AVERAGE(C5:D5)</f>
        <v>0.105</v>
      </c>
      <c r="H5" s="21">
        <f t="shared" ref="H5" si="0">(1.082*J5)+0.0112</f>
        <v>0.38503100000000001</v>
      </c>
      <c r="J5">
        <v>0.34549999999999997</v>
      </c>
      <c r="M5">
        <v>0.1</v>
      </c>
      <c r="N5">
        <v>0.19700000000000001</v>
      </c>
      <c r="O5">
        <v>0.13900000000000001</v>
      </c>
      <c r="P5">
        <f>AVERAGE(N5:O5)</f>
        <v>0.16800000000000001</v>
      </c>
    </row>
    <row r="6" spans="2:16" x14ac:dyDescent="0.45">
      <c r="B6">
        <v>0.3</v>
      </c>
      <c r="C6">
        <v>0.34499999999999997</v>
      </c>
      <c r="D6">
        <v>0.34599999999999997</v>
      </c>
      <c r="E6" s="20">
        <f t="shared" ref="E6:E9" si="1">AVERAGE(C6:D6)</f>
        <v>0.34549999999999997</v>
      </c>
      <c r="H6" s="21">
        <f>(1.082*J6)+0.0112</f>
        <v>0.61820199999999992</v>
      </c>
      <c r="J6">
        <v>0.56099999999999994</v>
      </c>
      <c r="M6">
        <v>0.3</v>
      </c>
      <c r="N6">
        <v>0.57699999999999996</v>
      </c>
      <c r="O6">
        <v>0.38500000000000001</v>
      </c>
      <c r="P6">
        <f t="shared" ref="P6:P9" si="2">AVERAGE(N6:O6)</f>
        <v>0.48099999999999998</v>
      </c>
    </row>
    <row r="7" spans="2:16" x14ac:dyDescent="0.45">
      <c r="B7">
        <v>0.5</v>
      </c>
      <c r="C7">
        <v>0.55700000000000005</v>
      </c>
      <c r="D7">
        <v>0.56499999999999995</v>
      </c>
      <c r="E7" s="20">
        <f t="shared" si="1"/>
        <v>0.56099999999999994</v>
      </c>
      <c r="H7" s="21">
        <f>(1.082*J7)+0.0112</f>
        <v>0.85461900000000013</v>
      </c>
      <c r="J7">
        <v>0.77950000000000008</v>
      </c>
      <c r="M7">
        <v>0.5</v>
      </c>
      <c r="N7">
        <v>0.66200000000000003</v>
      </c>
      <c r="O7">
        <v>0.61899999999999999</v>
      </c>
      <c r="P7">
        <f t="shared" si="2"/>
        <v>0.64050000000000007</v>
      </c>
    </row>
    <row r="8" spans="2:16" x14ac:dyDescent="0.45">
      <c r="B8">
        <v>0.7</v>
      </c>
      <c r="C8">
        <v>0.77900000000000003</v>
      </c>
      <c r="D8">
        <v>0.78</v>
      </c>
      <c r="E8" s="20">
        <f t="shared" si="1"/>
        <v>0.77950000000000008</v>
      </c>
      <c r="H8" s="21">
        <f>(1.082*J8)+0.0112</f>
        <v>1.0607400000000002</v>
      </c>
      <c r="J8">
        <v>0.97</v>
      </c>
      <c r="M8">
        <v>0.7</v>
      </c>
      <c r="N8">
        <v>0.81399999999999995</v>
      </c>
      <c r="O8">
        <v>0.80400000000000005</v>
      </c>
      <c r="P8">
        <f t="shared" si="2"/>
        <v>0.80899999999999994</v>
      </c>
    </row>
    <row r="9" spans="2:16" x14ac:dyDescent="0.45">
      <c r="B9">
        <v>0.9</v>
      </c>
      <c r="C9">
        <v>0.97</v>
      </c>
      <c r="D9">
        <v>0.97</v>
      </c>
      <c r="E9" s="20">
        <f t="shared" si="1"/>
        <v>0.97</v>
      </c>
      <c r="M9">
        <v>0.9</v>
      </c>
      <c r="N9">
        <v>1.002</v>
      </c>
      <c r="O9">
        <v>1.004</v>
      </c>
      <c r="P9">
        <f t="shared" si="2"/>
        <v>1.0030000000000001</v>
      </c>
    </row>
    <row r="29" spans="4:6" x14ac:dyDescent="0.45">
      <c r="D29" t="s">
        <v>131</v>
      </c>
      <c r="E29" t="s">
        <v>132</v>
      </c>
    </row>
    <row r="30" spans="4:6" x14ac:dyDescent="0.45">
      <c r="D30">
        <v>100</v>
      </c>
      <c r="E30">
        <v>0.105</v>
      </c>
      <c r="F30" s="22">
        <f>(E30-0.0112)/0.0011</f>
        <v>85.272727272727266</v>
      </c>
    </row>
    <row r="31" spans="4:6" x14ac:dyDescent="0.45">
      <c r="D31">
        <v>300</v>
      </c>
      <c r="E31">
        <v>0.34549999999999997</v>
      </c>
      <c r="F31" s="22">
        <f t="shared" ref="F31:F35" si="3">(E31-0.0112)/0.0011</f>
        <v>303.90909090909088</v>
      </c>
    </row>
    <row r="32" spans="4:6" x14ac:dyDescent="0.45">
      <c r="D32">
        <v>500</v>
      </c>
      <c r="E32">
        <v>0.56099999999999994</v>
      </c>
      <c r="F32" s="22">
        <f t="shared" si="3"/>
        <v>499.81818181818176</v>
      </c>
    </row>
    <row r="33" spans="4:6" x14ac:dyDescent="0.45">
      <c r="D33">
        <v>700</v>
      </c>
      <c r="E33">
        <v>0.77950000000000008</v>
      </c>
      <c r="F33" s="22">
        <f t="shared" si="3"/>
        <v>698.4545454545455</v>
      </c>
    </row>
    <row r="34" spans="4:6" x14ac:dyDescent="0.45">
      <c r="D34">
        <v>900</v>
      </c>
      <c r="E34">
        <v>0.97</v>
      </c>
      <c r="F34" s="22">
        <f t="shared" si="3"/>
        <v>871.63636363636363</v>
      </c>
    </row>
    <row r="35" spans="4:6" x14ac:dyDescent="0.45">
      <c r="E35">
        <v>2.6179999999999999</v>
      </c>
      <c r="F35" s="22">
        <f t="shared" si="3"/>
        <v>2369.8181818181815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B10B-6AF4-4DBB-B016-4475465F9FE9}">
  <dimension ref="A1:F45"/>
  <sheetViews>
    <sheetView workbookViewId="0">
      <selection activeCell="F41" sqref="F41"/>
    </sheetView>
  </sheetViews>
  <sheetFormatPr baseColWidth="10" defaultColWidth="11.46484375" defaultRowHeight="14.25" x14ac:dyDescent="0.45"/>
  <cols>
    <col min="6" max="6" width="55.53125" bestFit="1" customWidth="1"/>
  </cols>
  <sheetData>
    <row r="1" spans="1:6" x14ac:dyDescent="0.45">
      <c r="A1" s="17" t="s">
        <v>27</v>
      </c>
      <c r="B1" s="17" t="s">
        <v>5</v>
      </c>
      <c r="C1" s="17" t="s">
        <v>0</v>
      </c>
      <c r="D1" s="17" t="s">
        <v>28</v>
      </c>
      <c r="E1" s="17" t="s">
        <v>20</v>
      </c>
      <c r="F1" s="17" t="s">
        <v>29</v>
      </c>
    </row>
    <row r="2" spans="1:6" ht="28.5" x14ac:dyDescent="0.45">
      <c r="A2" s="6">
        <v>44995</v>
      </c>
      <c r="C2">
        <v>7.18</v>
      </c>
      <c r="F2" s="16" t="s">
        <v>30</v>
      </c>
    </row>
    <row r="3" spans="1:6" x14ac:dyDescent="0.45">
      <c r="A3" s="6">
        <v>44995</v>
      </c>
      <c r="B3" s="15">
        <v>0.58333333333333337</v>
      </c>
      <c r="C3">
        <v>8.25</v>
      </c>
      <c r="D3">
        <v>156</v>
      </c>
      <c r="F3" t="s">
        <v>31</v>
      </c>
    </row>
    <row r="4" spans="1:6" x14ac:dyDescent="0.45">
      <c r="A4" s="6">
        <v>44995</v>
      </c>
      <c r="B4" s="15">
        <v>0.625</v>
      </c>
      <c r="C4">
        <v>7.88</v>
      </c>
      <c r="F4" t="s">
        <v>31</v>
      </c>
    </row>
    <row r="5" spans="1:6" x14ac:dyDescent="0.45">
      <c r="A5" s="6">
        <v>44996</v>
      </c>
      <c r="B5" s="15">
        <v>0.44444444444444442</v>
      </c>
      <c r="C5">
        <v>8.58</v>
      </c>
      <c r="D5">
        <v>140</v>
      </c>
      <c r="F5" t="s">
        <v>32</v>
      </c>
    </row>
    <row r="6" spans="1:6" x14ac:dyDescent="0.45">
      <c r="A6" s="6">
        <v>44997</v>
      </c>
      <c r="B6" s="15">
        <v>0.46875</v>
      </c>
      <c r="C6">
        <v>8.49</v>
      </c>
      <c r="F6" t="s">
        <v>33</v>
      </c>
    </row>
    <row r="7" spans="1:6" x14ac:dyDescent="0.45">
      <c r="A7" s="6">
        <v>44998</v>
      </c>
      <c r="B7" s="15">
        <v>0.375</v>
      </c>
      <c r="C7">
        <v>8.5399999999999991</v>
      </c>
      <c r="D7">
        <v>106</v>
      </c>
      <c r="F7" t="s">
        <v>34</v>
      </c>
    </row>
    <row r="8" spans="1:6" x14ac:dyDescent="0.45">
      <c r="A8" s="6">
        <v>44999</v>
      </c>
      <c r="B8" s="15">
        <v>0.39583333333333331</v>
      </c>
      <c r="C8">
        <v>7.73</v>
      </c>
      <c r="D8">
        <v>32</v>
      </c>
      <c r="E8">
        <v>421</v>
      </c>
    </row>
    <row r="9" spans="1:6" x14ac:dyDescent="0.45">
      <c r="A9" s="6">
        <v>45000</v>
      </c>
      <c r="B9" s="15">
        <v>0.41666666666666669</v>
      </c>
      <c r="C9">
        <v>8.1199999999999992</v>
      </c>
      <c r="D9">
        <v>106</v>
      </c>
      <c r="F9" t="s">
        <v>35</v>
      </c>
    </row>
    <row r="10" spans="1:6" x14ac:dyDescent="0.45">
      <c r="A10" s="6">
        <v>45000</v>
      </c>
      <c r="B10" s="15">
        <v>0.625</v>
      </c>
      <c r="C10">
        <v>7.83</v>
      </c>
      <c r="D10">
        <v>98</v>
      </c>
      <c r="E10">
        <v>421</v>
      </c>
    </row>
    <row r="11" spans="1:6" x14ac:dyDescent="0.45">
      <c r="A11" s="6">
        <v>45001</v>
      </c>
      <c r="B11" s="15">
        <v>0.41666666666666669</v>
      </c>
      <c r="C11">
        <v>7.97</v>
      </c>
      <c r="D11">
        <v>66</v>
      </c>
      <c r="E11">
        <v>753</v>
      </c>
      <c r="F11" t="s">
        <v>36</v>
      </c>
    </row>
    <row r="12" spans="1:6" x14ac:dyDescent="0.45">
      <c r="A12" s="6">
        <v>45001</v>
      </c>
      <c r="B12" s="15">
        <v>0.58333333333333337</v>
      </c>
      <c r="C12">
        <v>7.91</v>
      </c>
      <c r="D12">
        <v>70</v>
      </c>
      <c r="F12" t="s">
        <v>36</v>
      </c>
    </row>
    <row r="13" spans="1:6" x14ac:dyDescent="0.45">
      <c r="A13" s="6">
        <v>45002</v>
      </c>
      <c r="B13" s="15">
        <v>0.4375</v>
      </c>
      <c r="C13">
        <v>7.8</v>
      </c>
      <c r="D13">
        <v>58</v>
      </c>
      <c r="E13">
        <v>1044</v>
      </c>
      <c r="F13" t="s">
        <v>37</v>
      </c>
    </row>
    <row r="14" spans="1:6" x14ac:dyDescent="0.45">
      <c r="A14" s="6">
        <v>45002</v>
      </c>
      <c r="B14" s="15">
        <v>0.55208333333333337</v>
      </c>
      <c r="C14">
        <v>8.06</v>
      </c>
      <c r="D14">
        <v>130</v>
      </c>
      <c r="E14">
        <v>1137</v>
      </c>
    </row>
    <row r="15" spans="1:6" x14ac:dyDescent="0.45">
      <c r="A15" s="6">
        <v>45003</v>
      </c>
      <c r="B15" s="15">
        <v>0.33333333333333331</v>
      </c>
      <c r="C15">
        <v>7.93</v>
      </c>
      <c r="D15">
        <v>86</v>
      </c>
      <c r="E15">
        <v>1144</v>
      </c>
      <c r="F15" t="s">
        <v>38</v>
      </c>
    </row>
    <row r="16" spans="1:6" x14ac:dyDescent="0.45">
      <c r="A16" s="6">
        <v>45004</v>
      </c>
      <c r="B16" s="15">
        <v>0.5625</v>
      </c>
      <c r="C16">
        <v>7.02</v>
      </c>
      <c r="D16">
        <v>30</v>
      </c>
      <c r="F16" t="s">
        <v>39</v>
      </c>
    </row>
    <row r="17" spans="1:6" x14ac:dyDescent="0.45">
      <c r="A17" s="6">
        <v>45005</v>
      </c>
      <c r="B17" s="15">
        <v>0.39583333333333331</v>
      </c>
      <c r="C17">
        <v>8.14</v>
      </c>
      <c r="D17">
        <v>60</v>
      </c>
      <c r="E17">
        <v>1408</v>
      </c>
      <c r="F17" t="s">
        <v>40</v>
      </c>
    </row>
    <row r="18" spans="1:6" x14ac:dyDescent="0.45">
      <c r="A18" s="6">
        <v>45005</v>
      </c>
      <c r="B18" s="15">
        <v>0.69791666666666663</v>
      </c>
      <c r="C18">
        <v>8.02</v>
      </c>
      <c r="E18">
        <v>1446</v>
      </c>
    </row>
    <row r="19" spans="1:6" x14ac:dyDescent="0.45">
      <c r="A19" s="6">
        <v>45006</v>
      </c>
      <c r="B19" s="15">
        <v>0.39583333333333331</v>
      </c>
      <c r="C19">
        <v>7.7</v>
      </c>
      <c r="D19">
        <v>56</v>
      </c>
      <c r="E19">
        <v>1482</v>
      </c>
      <c r="F19" t="s">
        <v>41</v>
      </c>
    </row>
    <row r="20" spans="1:6" x14ac:dyDescent="0.45">
      <c r="A20" s="6">
        <v>45006</v>
      </c>
      <c r="B20" s="15">
        <v>0.5</v>
      </c>
      <c r="C20">
        <v>7.89</v>
      </c>
      <c r="F20" t="s">
        <v>42</v>
      </c>
    </row>
    <row r="21" spans="1:6" x14ac:dyDescent="0.45">
      <c r="A21" s="6">
        <v>45006</v>
      </c>
      <c r="B21" s="15">
        <v>0.66666666666666663</v>
      </c>
      <c r="C21">
        <v>8</v>
      </c>
      <c r="D21">
        <v>92</v>
      </c>
      <c r="E21">
        <v>1540</v>
      </c>
    </row>
    <row r="22" spans="1:6" x14ac:dyDescent="0.45">
      <c r="A22" s="6">
        <v>45007</v>
      </c>
      <c r="B22" s="15">
        <v>0.45833333333333331</v>
      </c>
      <c r="C22">
        <v>7.54</v>
      </c>
      <c r="D22">
        <v>42</v>
      </c>
      <c r="E22">
        <v>1588</v>
      </c>
      <c r="F22" t="s">
        <v>43</v>
      </c>
    </row>
    <row r="23" spans="1:6" x14ac:dyDescent="0.45">
      <c r="A23" s="6">
        <v>45007</v>
      </c>
      <c r="B23" s="15">
        <v>0.69791666666666663</v>
      </c>
      <c r="C23">
        <v>7.87</v>
      </c>
      <c r="D23">
        <v>76</v>
      </c>
      <c r="E23">
        <v>1623</v>
      </c>
      <c r="F23" t="s">
        <v>44</v>
      </c>
    </row>
    <row r="24" spans="1:6" x14ac:dyDescent="0.45">
      <c r="A24" s="6">
        <v>45008</v>
      </c>
      <c r="B24" s="15">
        <v>0.375</v>
      </c>
      <c r="C24">
        <v>7.87</v>
      </c>
      <c r="D24">
        <v>64</v>
      </c>
      <c r="E24">
        <v>1688</v>
      </c>
      <c r="F24" t="s">
        <v>45</v>
      </c>
    </row>
    <row r="25" spans="1:6" x14ac:dyDescent="0.45">
      <c r="A25" s="6">
        <v>45008</v>
      </c>
      <c r="B25" s="15">
        <v>0.68055555555555547</v>
      </c>
      <c r="C25">
        <v>7.8</v>
      </c>
      <c r="D25">
        <v>108</v>
      </c>
      <c r="E25">
        <v>1730</v>
      </c>
      <c r="F25" t="s">
        <v>46</v>
      </c>
    </row>
    <row r="26" spans="1:6" x14ac:dyDescent="0.45">
      <c r="A26" s="6">
        <v>45009</v>
      </c>
      <c r="B26" s="15">
        <v>0.375</v>
      </c>
      <c r="C26">
        <v>7.85</v>
      </c>
      <c r="D26">
        <v>74</v>
      </c>
      <c r="E26">
        <v>1763</v>
      </c>
    </row>
    <row r="27" spans="1:6" x14ac:dyDescent="0.45">
      <c r="A27" s="6">
        <v>45009</v>
      </c>
      <c r="B27" s="15">
        <v>0.58333333333333337</v>
      </c>
      <c r="C27">
        <v>8.1199999999999992</v>
      </c>
      <c r="D27">
        <v>70</v>
      </c>
      <c r="E27">
        <v>1690</v>
      </c>
      <c r="F27" t="s">
        <v>46</v>
      </c>
    </row>
    <row r="28" spans="1:6" x14ac:dyDescent="0.45">
      <c r="A28" s="6">
        <v>45010</v>
      </c>
      <c r="B28" s="15">
        <v>0.5</v>
      </c>
      <c r="C28">
        <v>8.15</v>
      </c>
      <c r="D28">
        <v>68</v>
      </c>
      <c r="E28">
        <v>1740</v>
      </c>
    </row>
    <row r="29" spans="1:6" x14ac:dyDescent="0.45">
      <c r="A29" s="6">
        <v>45011</v>
      </c>
      <c r="B29" s="15">
        <v>0.5</v>
      </c>
      <c r="C29">
        <v>8.14</v>
      </c>
      <c r="D29">
        <v>52</v>
      </c>
      <c r="E29">
        <v>1748</v>
      </c>
    </row>
    <row r="30" spans="1:6" x14ac:dyDescent="0.45">
      <c r="A30" s="6">
        <v>45012</v>
      </c>
      <c r="B30" s="15">
        <v>0.45833333333333331</v>
      </c>
      <c r="C30">
        <v>7.75</v>
      </c>
      <c r="D30">
        <v>60</v>
      </c>
      <c r="E30">
        <v>1764</v>
      </c>
    </row>
    <row r="31" spans="1:6" x14ac:dyDescent="0.45">
      <c r="A31" s="6">
        <v>45013</v>
      </c>
      <c r="B31" s="15">
        <v>0.45833333333333331</v>
      </c>
      <c r="C31">
        <v>7.71</v>
      </c>
      <c r="D31">
        <v>50</v>
      </c>
      <c r="E31">
        <v>1739</v>
      </c>
      <c r="F31" t="s">
        <v>47</v>
      </c>
    </row>
    <row r="32" spans="1:6" x14ac:dyDescent="0.45">
      <c r="A32" s="6">
        <v>45014</v>
      </c>
      <c r="B32" s="15">
        <v>0.375</v>
      </c>
      <c r="C32">
        <v>7.9</v>
      </c>
      <c r="D32">
        <v>48</v>
      </c>
      <c r="E32">
        <v>1694</v>
      </c>
    </row>
    <row r="33" spans="1:6" x14ac:dyDescent="0.45">
      <c r="A33" s="6">
        <v>45015</v>
      </c>
      <c r="B33" s="15">
        <v>0.45833333333333331</v>
      </c>
      <c r="C33">
        <v>7.59</v>
      </c>
      <c r="D33">
        <v>44</v>
      </c>
      <c r="E33">
        <v>1649</v>
      </c>
      <c r="F33" t="s">
        <v>48</v>
      </c>
    </row>
    <row r="34" spans="1:6" x14ac:dyDescent="0.45">
      <c r="A34" s="6">
        <v>45016</v>
      </c>
      <c r="B34" s="15">
        <v>0.45833333333333331</v>
      </c>
      <c r="C34">
        <v>7.49</v>
      </c>
      <c r="D34">
        <v>30</v>
      </c>
      <c r="E34">
        <v>1779</v>
      </c>
      <c r="F34" t="s">
        <v>49</v>
      </c>
    </row>
    <row r="35" spans="1:6" x14ac:dyDescent="0.45">
      <c r="A35" s="6">
        <v>45017</v>
      </c>
      <c r="B35" s="15">
        <v>0.45833333333333331</v>
      </c>
      <c r="C35">
        <v>7.63</v>
      </c>
      <c r="D35">
        <v>48</v>
      </c>
      <c r="E35">
        <v>1925</v>
      </c>
      <c r="F35" t="s">
        <v>50</v>
      </c>
    </row>
    <row r="36" spans="1:6" x14ac:dyDescent="0.45">
      <c r="A36" s="6">
        <v>45018</v>
      </c>
      <c r="B36" s="15">
        <v>0.45833333333333331</v>
      </c>
      <c r="C36">
        <v>6.92</v>
      </c>
      <c r="D36">
        <v>10</v>
      </c>
      <c r="E36">
        <v>1971</v>
      </c>
      <c r="F36" t="s">
        <v>51</v>
      </c>
    </row>
    <row r="37" spans="1:6" x14ac:dyDescent="0.45">
      <c r="A37" s="6">
        <v>45019</v>
      </c>
      <c r="B37" s="15">
        <v>0.45833333333333331</v>
      </c>
      <c r="C37">
        <v>7.87</v>
      </c>
      <c r="D37">
        <v>54</v>
      </c>
      <c r="E37">
        <f>Tabell2[[#This Row],[TDS]]</f>
        <v>1925</v>
      </c>
      <c r="F37" t="s">
        <v>52</v>
      </c>
    </row>
    <row r="38" spans="1:6" x14ac:dyDescent="0.45">
      <c r="A38" s="6">
        <v>45020</v>
      </c>
      <c r="B38" s="15">
        <v>0.45833333333333331</v>
      </c>
      <c r="C38">
        <v>8</v>
      </c>
      <c r="D38">
        <v>50</v>
      </c>
      <c r="E38">
        <f>Tabell2[[#This Row],[TDS]]</f>
        <v>1971</v>
      </c>
      <c r="F38" t="s">
        <v>53</v>
      </c>
    </row>
    <row r="39" spans="1:6" x14ac:dyDescent="0.45">
      <c r="A39" s="6">
        <v>45021</v>
      </c>
      <c r="B39" s="15">
        <v>0.45833333333333331</v>
      </c>
      <c r="C39">
        <v>7.9</v>
      </c>
      <c r="D39">
        <v>44</v>
      </c>
      <c r="E39">
        <f>Tabell2[[#This Row],[TDS]]</f>
        <v>1833</v>
      </c>
      <c r="F39" t="s">
        <v>54</v>
      </c>
    </row>
    <row r="40" spans="1:6" x14ac:dyDescent="0.45">
      <c r="A40" s="6">
        <v>45022</v>
      </c>
      <c r="B40" s="15">
        <v>0.45833333333333331</v>
      </c>
      <c r="C40">
        <v>7.15</v>
      </c>
      <c r="D40">
        <v>20</v>
      </c>
      <c r="E40">
        <f>Tabell2[[#This Row],[TDS]]</f>
        <v>1751</v>
      </c>
      <c r="F40" t="s">
        <v>55</v>
      </c>
    </row>
    <row r="41" spans="1:6" x14ac:dyDescent="0.45">
      <c r="A41" s="6">
        <v>45023</v>
      </c>
    </row>
    <row r="42" spans="1:6" x14ac:dyDescent="0.45">
      <c r="A42" s="6">
        <v>45024</v>
      </c>
    </row>
    <row r="43" spans="1:6" x14ac:dyDescent="0.45">
      <c r="A43" s="6">
        <v>45025</v>
      </c>
    </row>
    <row r="44" spans="1:6" x14ac:dyDescent="0.45">
      <c r="A44" s="6">
        <v>45026</v>
      </c>
    </row>
    <row r="45" spans="1:6" x14ac:dyDescent="0.45">
      <c r="A45" s="6">
        <v>45027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10181-BA67-4618-AAB2-AFD9BC2BFCE7}">
  <dimension ref="A2:N62"/>
  <sheetViews>
    <sheetView topLeftCell="A12" workbookViewId="0">
      <selection activeCell="K34" sqref="K34"/>
    </sheetView>
  </sheetViews>
  <sheetFormatPr baseColWidth="10" defaultColWidth="11.46484375" defaultRowHeight="14.25" x14ac:dyDescent="0.45"/>
  <sheetData>
    <row r="2" spans="1:6" x14ac:dyDescent="0.45">
      <c r="A2" t="s">
        <v>56</v>
      </c>
      <c r="C2">
        <v>0.02</v>
      </c>
    </row>
    <row r="3" spans="1:6" x14ac:dyDescent="0.45">
      <c r="A3" t="s">
        <v>57</v>
      </c>
      <c r="C3">
        <f>100/2</f>
        <v>50</v>
      </c>
    </row>
    <row r="4" spans="1:6" x14ac:dyDescent="0.45">
      <c r="A4" t="s">
        <v>58</v>
      </c>
      <c r="C4">
        <v>50</v>
      </c>
    </row>
    <row r="6" spans="1:6" x14ac:dyDescent="0.45">
      <c r="A6" t="s">
        <v>27</v>
      </c>
      <c r="C6" t="s">
        <v>59</v>
      </c>
      <c r="D6" t="s">
        <v>60</v>
      </c>
      <c r="E6" t="s">
        <v>0</v>
      </c>
    </row>
    <row r="7" spans="1:6" x14ac:dyDescent="0.45">
      <c r="A7" s="6">
        <f>Målinger!A3</f>
        <v>44981</v>
      </c>
      <c r="B7" s="6"/>
      <c r="C7">
        <v>0.7</v>
      </c>
      <c r="D7">
        <f>(C7*$C$2*$C$3*1000)/$C$4</f>
        <v>14</v>
      </c>
    </row>
    <row r="8" spans="1:6" x14ac:dyDescent="0.45">
      <c r="A8" s="6">
        <f>Målinger!A4</f>
        <v>44984</v>
      </c>
      <c r="B8" s="6"/>
      <c r="C8">
        <v>1.3</v>
      </c>
      <c r="D8">
        <f t="shared" ref="D8:D25" si="0">(C8*$C$2*$C$3*1000)/$C$4</f>
        <v>26</v>
      </c>
    </row>
    <row r="9" spans="1:6" x14ac:dyDescent="0.45">
      <c r="A9" s="6">
        <f>Målinger!A5</f>
        <v>44985</v>
      </c>
      <c r="B9" s="6"/>
      <c r="D9">
        <f t="shared" si="0"/>
        <v>0</v>
      </c>
    </row>
    <row r="10" spans="1:6" x14ac:dyDescent="0.45">
      <c r="A10" s="6">
        <f>Målinger!A6</f>
        <v>44986</v>
      </c>
      <c r="B10" s="6"/>
      <c r="D10">
        <f t="shared" si="0"/>
        <v>0</v>
      </c>
    </row>
    <row r="11" spans="1:6" x14ac:dyDescent="0.45">
      <c r="A11" s="6">
        <f>Målinger!A7</f>
        <v>44987</v>
      </c>
      <c r="B11" s="6"/>
      <c r="D11">
        <f t="shared" si="0"/>
        <v>0</v>
      </c>
    </row>
    <row r="12" spans="1:6" x14ac:dyDescent="0.45">
      <c r="A12" s="6">
        <f>Målinger!A8</f>
        <v>44988</v>
      </c>
      <c r="B12" s="6"/>
      <c r="D12">
        <f t="shared" si="0"/>
        <v>0</v>
      </c>
    </row>
    <row r="13" spans="1:6" x14ac:dyDescent="0.45">
      <c r="A13" s="6">
        <f>Målinger!A9</f>
        <v>0</v>
      </c>
      <c r="B13" s="6"/>
      <c r="D13">
        <f t="shared" si="0"/>
        <v>0</v>
      </c>
    </row>
    <row r="14" spans="1:6" x14ac:dyDescent="0.45">
      <c r="A14" s="6">
        <f>Målinger!A10</f>
        <v>44993</v>
      </c>
      <c r="B14" s="43">
        <v>-22</v>
      </c>
      <c r="C14">
        <v>1.6</v>
      </c>
      <c r="D14">
        <f t="shared" si="0"/>
        <v>32</v>
      </c>
      <c r="E14" s="3">
        <v>7.35</v>
      </c>
    </row>
    <row r="15" spans="1:6" x14ac:dyDescent="0.45">
      <c r="A15" s="6">
        <f>Målinger!A11</f>
        <v>44994</v>
      </c>
      <c r="B15">
        <v>-21</v>
      </c>
      <c r="C15">
        <v>1.9</v>
      </c>
      <c r="D15">
        <f t="shared" si="0"/>
        <v>38</v>
      </c>
      <c r="E15" s="33">
        <v>8.09</v>
      </c>
    </row>
    <row r="16" spans="1:6" x14ac:dyDescent="0.45">
      <c r="A16" s="6">
        <f>Målinger!A12</f>
        <v>44995</v>
      </c>
      <c r="B16">
        <v>-20</v>
      </c>
      <c r="C16">
        <v>7.8</v>
      </c>
      <c r="D16">
        <v>108</v>
      </c>
      <c r="E16" s="3">
        <v>7.85</v>
      </c>
      <c r="F16">
        <v>156</v>
      </c>
    </row>
    <row r="17" spans="1:13" x14ac:dyDescent="0.45">
      <c r="A17" s="6">
        <f>Målinger!A13</f>
        <v>44998</v>
      </c>
      <c r="B17">
        <v>-19</v>
      </c>
      <c r="C17">
        <v>5.3</v>
      </c>
      <c r="D17">
        <f t="shared" si="0"/>
        <v>106</v>
      </c>
      <c r="E17" s="33">
        <v>8.5399999999999991</v>
      </c>
    </row>
    <row r="18" spans="1:13" x14ac:dyDescent="0.45">
      <c r="A18" s="6">
        <f>Målinger!A14</f>
        <v>44999</v>
      </c>
      <c r="B18">
        <v>-18</v>
      </c>
      <c r="C18">
        <v>1.6</v>
      </c>
      <c r="D18">
        <f t="shared" si="0"/>
        <v>32</v>
      </c>
      <c r="E18" s="9">
        <v>7.73</v>
      </c>
    </row>
    <row r="19" spans="1:13" x14ac:dyDescent="0.45">
      <c r="A19" s="6">
        <f>Målinger!A15</f>
        <v>45000</v>
      </c>
      <c r="B19">
        <v>-17</v>
      </c>
      <c r="C19">
        <v>4.9000000000000004</v>
      </c>
      <c r="D19">
        <f t="shared" si="0"/>
        <v>98</v>
      </c>
      <c r="E19" s="34">
        <v>7.89</v>
      </c>
    </row>
    <row r="20" spans="1:13" x14ac:dyDescent="0.45">
      <c r="A20" s="6">
        <f>Målinger!A16</f>
        <v>45001</v>
      </c>
      <c r="B20">
        <v>-16</v>
      </c>
      <c r="C20">
        <v>3.3</v>
      </c>
      <c r="D20">
        <f t="shared" si="0"/>
        <v>66.000000000000014</v>
      </c>
      <c r="E20" s="3">
        <v>7.97</v>
      </c>
    </row>
    <row r="21" spans="1:13" x14ac:dyDescent="0.45">
      <c r="A21" s="6">
        <f>Målinger!A17</f>
        <v>45003</v>
      </c>
      <c r="B21">
        <v>-15</v>
      </c>
      <c r="C21">
        <v>3.2</v>
      </c>
      <c r="D21">
        <f t="shared" si="0"/>
        <v>64</v>
      </c>
      <c r="E21" s="33">
        <v>8.23</v>
      </c>
    </row>
    <row r="22" spans="1:13" x14ac:dyDescent="0.45">
      <c r="A22" s="6">
        <f>Målinger!A18</f>
        <v>45004</v>
      </c>
      <c r="B22">
        <v>-14</v>
      </c>
      <c r="C22">
        <v>3.1</v>
      </c>
      <c r="D22">
        <f t="shared" si="0"/>
        <v>62.000000000000007</v>
      </c>
      <c r="E22" s="3">
        <v>7.02</v>
      </c>
    </row>
    <row r="23" spans="1:13" x14ac:dyDescent="0.45">
      <c r="A23" s="6">
        <f>Målinger!A19</f>
        <v>45005</v>
      </c>
      <c r="B23">
        <v>-13</v>
      </c>
      <c r="C23">
        <v>3</v>
      </c>
      <c r="D23">
        <f t="shared" si="0"/>
        <v>60</v>
      </c>
      <c r="E23" s="33">
        <v>8.14</v>
      </c>
    </row>
    <row r="24" spans="1:13" x14ac:dyDescent="0.45">
      <c r="A24" s="6">
        <f>Målinger!A20</f>
        <v>45006</v>
      </c>
      <c r="B24">
        <v>-12</v>
      </c>
      <c r="C24">
        <v>2.8</v>
      </c>
      <c r="D24">
        <f t="shared" si="0"/>
        <v>56</v>
      </c>
      <c r="E24" s="3">
        <v>7.7</v>
      </c>
    </row>
    <row r="25" spans="1:13" x14ac:dyDescent="0.45">
      <c r="A25" s="6">
        <f>Målinger!A22</f>
        <v>45007</v>
      </c>
      <c r="B25">
        <v>-11</v>
      </c>
      <c r="C25">
        <v>4.0999999999999996</v>
      </c>
      <c r="D25">
        <f t="shared" si="0"/>
        <v>82</v>
      </c>
      <c r="E25" s="3">
        <v>7.66</v>
      </c>
    </row>
    <row r="26" spans="1:13" x14ac:dyDescent="0.45">
      <c r="A26" s="6">
        <f>Målinger!A25</f>
        <v>45008</v>
      </c>
      <c r="B26">
        <v>-10</v>
      </c>
      <c r="C26">
        <v>5.4</v>
      </c>
      <c r="D26">
        <f>(C26*$C$2*$C$3*1000)/$C$4</f>
        <v>108</v>
      </c>
      <c r="E26" s="33">
        <v>7.8</v>
      </c>
    </row>
    <row r="27" spans="1:13" x14ac:dyDescent="0.45">
      <c r="A27" s="6">
        <f>Målinger!A26</f>
        <v>45009</v>
      </c>
      <c r="B27">
        <v>-9</v>
      </c>
      <c r="C27">
        <v>3.7</v>
      </c>
      <c r="D27">
        <f>(C27*$C$2*$C$3*1000)/$C$4</f>
        <v>74.000000000000014</v>
      </c>
      <c r="E27" s="3">
        <v>7.85</v>
      </c>
    </row>
    <row r="28" spans="1:13" x14ac:dyDescent="0.45">
      <c r="A28" s="6">
        <f>Målinger!A27</f>
        <v>45009</v>
      </c>
      <c r="B28">
        <v>-8</v>
      </c>
      <c r="C28">
        <v>3.5</v>
      </c>
      <c r="D28">
        <f>(C28*$C$2*$C$3*1000)/$C$4</f>
        <v>70.000000000000014</v>
      </c>
      <c r="E28" s="33">
        <v>8.1199999999999992</v>
      </c>
    </row>
    <row r="29" spans="1:13" x14ac:dyDescent="0.45">
      <c r="A29" s="6">
        <f>Målinger!A28</f>
        <v>45010</v>
      </c>
      <c r="B29">
        <v>-7</v>
      </c>
      <c r="C29">
        <v>3.4</v>
      </c>
      <c r="D29">
        <v>68</v>
      </c>
      <c r="E29" s="3">
        <v>8.15</v>
      </c>
    </row>
    <row r="30" spans="1:13" x14ac:dyDescent="0.45">
      <c r="A30" s="6">
        <f>Målinger!A29</f>
        <v>45011</v>
      </c>
      <c r="B30">
        <v>-6</v>
      </c>
      <c r="C30">
        <v>2.6</v>
      </c>
      <c r="D30">
        <f t="shared" ref="D30:D39" si="1">(C30*$C$2*$C$3*1000)/$C$4</f>
        <v>52</v>
      </c>
      <c r="E30" s="33">
        <v>8.14</v>
      </c>
    </row>
    <row r="31" spans="1:13" x14ac:dyDescent="0.45">
      <c r="A31" s="6">
        <f>Målinger!A30</f>
        <v>45012</v>
      </c>
      <c r="B31">
        <v>-5</v>
      </c>
      <c r="C31">
        <v>3</v>
      </c>
      <c r="D31">
        <f t="shared" si="1"/>
        <v>60</v>
      </c>
      <c r="E31" s="3">
        <v>7.75</v>
      </c>
    </row>
    <row r="32" spans="1:13" x14ac:dyDescent="0.45">
      <c r="A32" s="6">
        <f>Målinger!A31</f>
        <v>45013</v>
      </c>
      <c r="B32">
        <v>-4</v>
      </c>
      <c r="C32">
        <v>2.5</v>
      </c>
      <c r="D32">
        <f t="shared" si="1"/>
        <v>50</v>
      </c>
      <c r="E32" s="33">
        <v>7.71</v>
      </c>
      <c r="I32" t="s">
        <v>181</v>
      </c>
      <c r="K32" t="s">
        <v>182</v>
      </c>
      <c r="M32" t="s">
        <v>183</v>
      </c>
    </row>
    <row r="33" spans="1:14" x14ac:dyDescent="0.45">
      <c r="A33" s="6">
        <f>Målinger!A32</f>
        <v>45014</v>
      </c>
      <c r="B33">
        <v>-3</v>
      </c>
      <c r="C33">
        <v>2.4</v>
      </c>
      <c r="D33">
        <f t="shared" si="1"/>
        <v>48</v>
      </c>
      <c r="E33" s="3">
        <v>7.9</v>
      </c>
      <c r="I33">
        <v>-11</v>
      </c>
      <c r="J33">
        <v>0</v>
      </c>
      <c r="K33">
        <v>-5</v>
      </c>
      <c r="L33">
        <v>0</v>
      </c>
      <c r="M33">
        <v>0</v>
      </c>
      <c r="N33">
        <v>0</v>
      </c>
    </row>
    <row r="34" spans="1:14" x14ac:dyDescent="0.45">
      <c r="A34" s="6">
        <f>Målinger!A33</f>
        <v>45015</v>
      </c>
      <c r="B34">
        <v>-2</v>
      </c>
      <c r="C34">
        <v>2.2000000000000002</v>
      </c>
      <c r="D34">
        <f t="shared" si="1"/>
        <v>44</v>
      </c>
      <c r="E34" s="33">
        <v>7.59</v>
      </c>
      <c r="I34">
        <v>-11</v>
      </c>
      <c r="J34">
        <v>140</v>
      </c>
      <c r="K34">
        <v>-5</v>
      </c>
      <c r="L34">
        <v>140</v>
      </c>
      <c r="M34">
        <v>0</v>
      </c>
      <c r="N34">
        <v>140</v>
      </c>
    </row>
    <row r="35" spans="1:14" x14ac:dyDescent="0.45">
      <c r="A35" s="6">
        <f>Målinger!A34</f>
        <v>45016</v>
      </c>
      <c r="B35">
        <v>-1</v>
      </c>
      <c r="C35">
        <v>1.5</v>
      </c>
      <c r="D35">
        <f t="shared" si="1"/>
        <v>30</v>
      </c>
      <c r="E35" s="3">
        <v>7.49</v>
      </c>
    </row>
    <row r="36" spans="1:14" x14ac:dyDescent="0.45">
      <c r="A36" s="6">
        <v>45017</v>
      </c>
      <c r="B36">
        <v>0</v>
      </c>
      <c r="C36">
        <v>2.4</v>
      </c>
      <c r="D36">
        <f t="shared" si="1"/>
        <v>48</v>
      </c>
      <c r="E36" s="33">
        <v>7.63</v>
      </c>
    </row>
    <row r="37" spans="1:14" x14ac:dyDescent="0.45">
      <c r="A37" s="6">
        <v>45018</v>
      </c>
      <c r="B37">
        <v>1</v>
      </c>
      <c r="C37">
        <v>0.5</v>
      </c>
      <c r="D37">
        <f t="shared" si="1"/>
        <v>10</v>
      </c>
      <c r="E37" s="3">
        <v>6.92</v>
      </c>
    </row>
    <row r="38" spans="1:14" x14ac:dyDescent="0.45">
      <c r="A38" s="6">
        <v>45019</v>
      </c>
      <c r="B38">
        <v>2</v>
      </c>
      <c r="C38">
        <v>2.7</v>
      </c>
      <c r="D38">
        <f t="shared" si="1"/>
        <v>54</v>
      </c>
      <c r="E38" s="33">
        <v>7.87</v>
      </c>
    </row>
    <row r="39" spans="1:14" x14ac:dyDescent="0.45">
      <c r="A39" s="6">
        <v>45020</v>
      </c>
      <c r="B39">
        <v>3</v>
      </c>
      <c r="C39">
        <v>2.5</v>
      </c>
      <c r="D39">
        <f t="shared" si="1"/>
        <v>50</v>
      </c>
      <c r="E39" s="3">
        <v>8</v>
      </c>
    </row>
    <row r="40" spans="1:14" x14ac:dyDescent="0.45">
      <c r="A40" s="6">
        <v>45021</v>
      </c>
      <c r="B40">
        <v>4</v>
      </c>
      <c r="C40">
        <v>2.2000000000000002</v>
      </c>
      <c r="D40">
        <f t="shared" ref="D40:D61" si="2">(C40*$C$2*$C$3*1000)/$C$4</f>
        <v>44</v>
      </c>
      <c r="E40" s="33">
        <v>7.9</v>
      </c>
    </row>
    <row r="41" spans="1:14" x14ac:dyDescent="0.45">
      <c r="A41" s="6">
        <v>45022</v>
      </c>
      <c r="B41">
        <v>5</v>
      </c>
      <c r="C41">
        <v>1</v>
      </c>
      <c r="D41">
        <f t="shared" si="2"/>
        <v>20</v>
      </c>
      <c r="E41" s="3">
        <v>7.15</v>
      </c>
    </row>
    <row r="42" spans="1:14" x14ac:dyDescent="0.45">
      <c r="A42" s="6">
        <v>45023</v>
      </c>
      <c r="B42">
        <v>6</v>
      </c>
      <c r="C42">
        <v>2.5</v>
      </c>
      <c r="D42">
        <f t="shared" si="2"/>
        <v>50</v>
      </c>
      <c r="E42" s="33">
        <v>7.82</v>
      </c>
    </row>
    <row r="43" spans="1:14" x14ac:dyDescent="0.45">
      <c r="A43" s="6">
        <v>45024</v>
      </c>
      <c r="B43">
        <v>7</v>
      </c>
      <c r="C43">
        <v>3.6</v>
      </c>
      <c r="D43">
        <f t="shared" si="2"/>
        <v>72.000000000000014</v>
      </c>
      <c r="E43" s="3">
        <v>8.18</v>
      </c>
    </row>
    <row r="44" spans="1:14" x14ac:dyDescent="0.45">
      <c r="A44" s="6">
        <v>45025</v>
      </c>
      <c r="B44">
        <v>8</v>
      </c>
      <c r="C44">
        <v>2.1</v>
      </c>
      <c r="D44">
        <f t="shared" si="2"/>
        <v>42</v>
      </c>
      <c r="E44" s="33">
        <v>7.7</v>
      </c>
    </row>
    <row r="45" spans="1:14" x14ac:dyDescent="0.45">
      <c r="A45" s="6">
        <v>45026</v>
      </c>
      <c r="B45">
        <v>9</v>
      </c>
      <c r="C45">
        <v>1</v>
      </c>
      <c r="D45">
        <f t="shared" si="2"/>
        <v>20</v>
      </c>
      <c r="E45" s="3">
        <v>7.11</v>
      </c>
    </row>
    <row r="46" spans="1:14" x14ac:dyDescent="0.45">
      <c r="A46" s="6">
        <v>45027</v>
      </c>
      <c r="B46">
        <v>10</v>
      </c>
      <c r="C46">
        <v>1.4</v>
      </c>
      <c r="D46">
        <f t="shared" si="2"/>
        <v>28</v>
      </c>
      <c r="E46" s="33">
        <v>7.14</v>
      </c>
    </row>
    <row r="47" spans="1:14" x14ac:dyDescent="0.45">
      <c r="A47" s="6">
        <v>45028</v>
      </c>
      <c r="B47">
        <v>11</v>
      </c>
      <c r="C47">
        <v>0.7</v>
      </c>
      <c r="D47">
        <f t="shared" si="2"/>
        <v>14</v>
      </c>
      <c r="E47" s="3">
        <v>7.05</v>
      </c>
    </row>
    <row r="48" spans="1:14" x14ac:dyDescent="0.45">
      <c r="A48" s="6">
        <v>45029</v>
      </c>
      <c r="B48">
        <v>12</v>
      </c>
      <c r="C48">
        <v>2.9</v>
      </c>
      <c r="D48">
        <f t="shared" si="2"/>
        <v>58</v>
      </c>
      <c r="E48" s="33">
        <v>8</v>
      </c>
    </row>
    <row r="49" spans="1:5" x14ac:dyDescent="0.45">
      <c r="A49" s="6">
        <v>45030</v>
      </c>
      <c r="B49">
        <v>13</v>
      </c>
      <c r="C49">
        <v>2.1</v>
      </c>
      <c r="D49">
        <f t="shared" si="2"/>
        <v>42</v>
      </c>
      <c r="E49" s="31">
        <v>7.87</v>
      </c>
    </row>
    <row r="50" spans="1:5" x14ac:dyDescent="0.45">
      <c r="A50" s="6">
        <v>45031</v>
      </c>
      <c r="B50">
        <v>14</v>
      </c>
      <c r="C50">
        <v>1.2</v>
      </c>
      <c r="D50">
        <f t="shared" si="2"/>
        <v>24</v>
      </c>
      <c r="E50" s="32">
        <v>7.28</v>
      </c>
    </row>
    <row r="51" spans="1:5" x14ac:dyDescent="0.45">
      <c r="A51" s="6">
        <v>45032</v>
      </c>
      <c r="B51">
        <v>15</v>
      </c>
      <c r="C51">
        <v>2.2000000000000002</v>
      </c>
      <c r="D51">
        <f t="shared" si="2"/>
        <v>44</v>
      </c>
      <c r="E51" s="31">
        <v>8.17</v>
      </c>
    </row>
    <row r="52" spans="1:5" x14ac:dyDescent="0.45">
      <c r="A52" s="6">
        <v>45033</v>
      </c>
      <c r="B52">
        <v>16</v>
      </c>
      <c r="C52">
        <v>1.8</v>
      </c>
      <c r="D52">
        <f t="shared" si="2"/>
        <v>36.000000000000007</v>
      </c>
      <c r="E52" s="32">
        <v>7.48</v>
      </c>
    </row>
    <row r="53" spans="1:5" x14ac:dyDescent="0.45">
      <c r="A53" s="6">
        <v>45034</v>
      </c>
      <c r="B53">
        <v>17</v>
      </c>
      <c r="C53">
        <v>2.9</v>
      </c>
      <c r="D53">
        <f t="shared" si="2"/>
        <v>58</v>
      </c>
      <c r="E53" s="31">
        <v>8.07</v>
      </c>
    </row>
    <row r="54" spans="1:5" x14ac:dyDescent="0.45">
      <c r="A54" s="6">
        <v>45035</v>
      </c>
      <c r="B54">
        <v>18</v>
      </c>
      <c r="C54">
        <v>2.1</v>
      </c>
      <c r="D54">
        <f t="shared" si="2"/>
        <v>42</v>
      </c>
      <c r="E54" s="32">
        <v>7.63</v>
      </c>
    </row>
    <row r="55" spans="1:5" x14ac:dyDescent="0.45">
      <c r="A55" s="6">
        <v>45036</v>
      </c>
      <c r="B55">
        <v>19</v>
      </c>
      <c r="C55">
        <v>1.7</v>
      </c>
      <c r="D55">
        <f t="shared" si="2"/>
        <v>34.000000000000007</v>
      </c>
      <c r="E55" s="31">
        <v>7.16</v>
      </c>
    </row>
    <row r="56" spans="1:5" x14ac:dyDescent="0.45">
      <c r="A56" s="6">
        <v>45037</v>
      </c>
      <c r="B56">
        <v>20</v>
      </c>
      <c r="C56">
        <v>1</v>
      </c>
      <c r="D56">
        <f t="shared" si="2"/>
        <v>20</v>
      </c>
      <c r="E56" s="32">
        <v>7.23</v>
      </c>
    </row>
    <row r="57" spans="1:5" x14ac:dyDescent="0.45">
      <c r="A57" s="6">
        <v>45038</v>
      </c>
      <c r="B57">
        <v>21</v>
      </c>
      <c r="C57">
        <v>1.7</v>
      </c>
      <c r="D57">
        <f t="shared" si="2"/>
        <v>34.000000000000007</v>
      </c>
      <c r="E57" s="31">
        <v>7.36</v>
      </c>
    </row>
    <row r="58" spans="1:5" x14ac:dyDescent="0.45">
      <c r="A58" s="6">
        <v>45039</v>
      </c>
      <c r="B58">
        <v>22</v>
      </c>
      <c r="C58">
        <v>3.9</v>
      </c>
      <c r="D58">
        <f t="shared" si="2"/>
        <v>78</v>
      </c>
      <c r="E58" s="32">
        <v>7.25</v>
      </c>
    </row>
    <row r="59" spans="1:5" x14ac:dyDescent="0.45">
      <c r="A59" s="6">
        <v>45040</v>
      </c>
      <c r="B59">
        <v>23</v>
      </c>
      <c r="C59">
        <v>3.4</v>
      </c>
      <c r="D59">
        <f t="shared" si="2"/>
        <v>68.000000000000014</v>
      </c>
      <c r="E59" s="31">
        <v>8.1999999999999993</v>
      </c>
    </row>
    <row r="60" spans="1:5" x14ac:dyDescent="0.45">
      <c r="A60" s="6">
        <v>45071</v>
      </c>
      <c r="B60">
        <v>24</v>
      </c>
      <c r="C60">
        <v>3.5</v>
      </c>
      <c r="D60">
        <f t="shared" si="2"/>
        <v>70.000000000000014</v>
      </c>
      <c r="E60" s="32">
        <v>8.19</v>
      </c>
    </row>
    <row r="61" spans="1:5" x14ac:dyDescent="0.45">
      <c r="A61" s="6">
        <v>45072</v>
      </c>
      <c r="B61">
        <v>25</v>
      </c>
      <c r="C61">
        <v>3.1</v>
      </c>
      <c r="D61">
        <f t="shared" si="2"/>
        <v>62.000000000000007</v>
      </c>
      <c r="E61" s="35">
        <v>8</v>
      </c>
    </row>
    <row r="62" spans="1:5" x14ac:dyDescent="0.45">
      <c r="B62">
        <v>49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B06E5-85D0-400A-BDA7-449F3C40CB92}">
  <dimension ref="A3:M54"/>
  <sheetViews>
    <sheetView topLeftCell="A16" workbookViewId="0">
      <selection activeCell="J36" sqref="J36"/>
    </sheetView>
  </sheetViews>
  <sheetFormatPr baseColWidth="10" defaultColWidth="9.1328125" defaultRowHeight="14.25" x14ac:dyDescent="0.45"/>
  <cols>
    <col min="1" max="1" width="11.86328125" bestFit="1" customWidth="1"/>
    <col min="2" max="2" width="10.46484375" bestFit="1" customWidth="1"/>
  </cols>
  <sheetData>
    <row r="3" spans="1:4" x14ac:dyDescent="0.45">
      <c r="A3" s="5" t="s">
        <v>61</v>
      </c>
      <c r="B3" s="5" t="s">
        <v>62</v>
      </c>
      <c r="C3" s="5" t="s">
        <v>63</v>
      </c>
      <c r="D3" s="5" t="s">
        <v>64</v>
      </c>
    </row>
    <row r="4" spans="1:4" x14ac:dyDescent="0.45">
      <c r="B4">
        <f>Målinger!F5</f>
        <v>2.71</v>
      </c>
      <c r="C4">
        <f>Målinger!I5*3.2857</f>
        <v>1.3569940999999999</v>
      </c>
      <c r="D4">
        <v>0</v>
      </c>
    </row>
    <row r="5" spans="1:4" x14ac:dyDescent="0.45">
      <c r="B5">
        <f>Målinger!F6</f>
        <v>0</v>
      </c>
      <c r="C5">
        <f>Målinger!I6*3.2857</f>
        <v>0</v>
      </c>
      <c r="D5">
        <v>0</v>
      </c>
    </row>
    <row r="6" spans="1:4" x14ac:dyDescent="0.45">
      <c r="B6">
        <f>Målinger!F7</f>
        <v>2.06</v>
      </c>
      <c r="C6">
        <f>Målinger!I7*3.2857</f>
        <v>2.2999899999999998</v>
      </c>
      <c r="D6">
        <v>0</v>
      </c>
    </row>
    <row r="7" spans="1:4" x14ac:dyDescent="0.45">
      <c r="B7">
        <f>Målinger!F8</f>
        <v>0.2</v>
      </c>
      <c r="C7">
        <f>Målinger!I8*3.2857</f>
        <v>2.2999899999999998</v>
      </c>
      <c r="D7">
        <v>0</v>
      </c>
    </row>
    <row r="8" spans="1:4" x14ac:dyDescent="0.45">
      <c r="B8">
        <f>Målinger!F9</f>
        <v>0</v>
      </c>
      <c r="C8">
        <f>Målinger!I9*3.2857</f>
        <v>0</v>
      </c>
      <c r="D8">
        <v>0</v>
      </c>
    </row>
    <row r="9" spans="1:4" x14ac:dyDescent="0.45">
      <c r="A9">
        <v>-22</v>
      </c>
      <c r="B9">
        <f>Målinger!F10</f>
        <v>0</v>
      </c>
      <c r="C9">
        <f>Målinger!I10*3.2857</f>
        <v>0</v>
      </c>
      <c r="D9">
        <v>0</v>
      </c>
    </row>
    <row r="10" spans="1:4" x14ac:dyDescent="0.45">
      <c r="A10">
        <v>-21</v>
      </c>
      <c r="B10">
        <f>Målinger!F11</f>
        <v>1.05</v>
      </c>
      <c r="C10">
        <f>Målinger!I11*3.2857</f>
        <v>0</v>
      </c>
      <c r="D10">
        <v>0</v>
      </c>
    </row>
    <row r="11" spans="1:4" x14ac:dyDescent="0.45">
      <c r="A11">
        <v>-20</v>
      </c>
      <c r="B11">
        <f>Målinger!F12</f>
        <v>2.25</v>
      </c>
      <c r="C11">
        <f>Målinger!I12*3.2857</f>
        <v>0</v>
      </c>
      <c r="D11">
        <v>0</v>
      </c>
    </row>
    <row r="12" spans="1:4" x14ac:dyDescent="0.45">
      <c r="A12">
        <v>-19</v>
      </c>
      <c r="B12">
        <f>Målinger!F13</f>
        <v>2.85</v>
      </c>
      <c r="C12">
        <f>Målinger!I13*3.2857</f>
        <v>0</v>
      </c>
      <c r="D12">
        <v>0</v>
      </c>
    </row>
    <row r="13" spans="1:4" x14ac:dyDescent="0.45">
      <c r="A13">
        <v>-18</v>
      </c>
      <c r="B13">
        <f>Målinger!F14</f>
        <v>3</v>
      </c>
      <c r="C13">
        <f>Målinger!I14*3.2857</f>
        <v>0</v>
      </c>
      <c r="D13">
        <v>0</v>
      </c>
    </row>
    <row r="14" spans="1:4" x14ac:dyDescent="0.45">
      <c r="A14">
        <v>-17</v>
      </c>
      <c r="B14">
        <f>Målinger!F15</f>
        <v>3.05</v>
      </c>
      <c r="C14">
        <f>Målinger!I15*3.2857</f>
        <v>0</v>
      </c>
      <c r="D14">
        <v>0</v>
      </c>
    </row>
    <row r="15" spans="1:4" x14ac:dyDescent="0.45">
      <c r="A15">
        <v>-16</v>
      </c>
      <c r="B15">
        <f>Målinger!F16</f>
        <v>3.6</v>
      </c>
      <c r="C15">
        <f>Målinger!I16*3.2857</f>
        <v>0</v>
      </c>
      <c r="D15">
        <v>0</v>
      </c>
    </row>
    <row r="16" spans="1:4" x14ac:dyDescent="0.45">
      <c r="A16">
        <v>-15</v>
      </c>
      <c r="B16">
        <f>Målinger!F17</f>
        <v>3.68</v>
      </c>
      <c r="C16">
        <f>Målinger!I17*3.2857</f>
        <v>0</v>
      </c>
      <c r="D16">
        <v>0</v>
      </c>
    </row>
    <row r="17" spans="1:4" x14ac:dyDescent="0.45">
      <c r="A17">
        <v>-14</v>
      </c>
      <c r="B17">
        <f>Målinger!F18</f>
        <v>3.65</v>
      </c>
      <c r="C17">
        <f>Målinger!I18*3.2857</f>
        <v>0</v>
      </c>
      <c r="D17">
        <v>0</v>
      </c>
    </row>
    <row r="18" spans="1:4" x14ac:dyDescent="0.45">
      <c r="A18">
        <v>-13</v>
      </c>
      <c r="B18">
        <f>Målinger!F19</f>
        <v>3.71</v>
      </c>
      <c r="C18">
        <f>Målinger!I19*3.2857</f>
        <v>1.7611352</v>
      </c>
      <c r="D18">
        <v>0</v>
      </c>
    </row>
    <row r="19" spans="1:4" x14ac:dyDescent="0.45">
      <c r="A19">
        <v>-12</v>
      </c>
      <c r="B19">
        <f>Målinger!F20</f>
        <v>3.75</v>
      </c>
      <c r="C19">
        <f>Målinger!I20*3.2857</f>
        <v>1.9418486999999998</v>
      </c>
      <c r="D19">
        <v>0</v>
      </c>
    </row>
    <row r="20" spans="1:4" x14ac:dyDescent="0.45">
      <c r="A20">
        <v>-11</v>
      </c>
      <c r="B20">
        <f>Målinger!F21</f>
        <v>3.5</v>
      </c>
      <c r="C20">
        <f>Målinger!I21*3.2857</f>
        <v>1.9615628999999999</v>
      </c>
      <c r="D20">
        <v>0</v>
      </c>
    </row>
    <row r="21" spans="1:4" x14ac:dyDescent="0.45">
      <c r="A21">
        <v>-10</v>
      </c>
      <c r="B21">
        <f>Målinger!F22</f>
        <v>3.59</v>
      </c>
      <c r="C21">
        <f>Målinger!I22*3.2857</f>
        <v>1.9714199999999997</v>
      </c>
      <c r="D21">
        <v>0</v>
      </c>
    </row>
    <row r="22" spans="1:4" x14ac:dyDescent="0.45">
      <c r="A22">
        <v>-9</v>
      </c>
      <c r="B22">
        <f>Målinger!F23</f>
        <v>3.31</v>
      </c>
      <c r="C22">
        <f>Målinger!I23*3.2857</f>
        <v>1.9188487999999997</v>
      </c>
      <c r="D22">
        <v>0</v>
      </c>
    </row>
    <row r="23" spans="1:4" x14ac:dyDescent="0.45">
      <c r="A23">
        <v>-8</v>
      </c>
      <c r="B23">
        <f>Målinger!F24</f>
        <v>3.88</v>
      </c>
      <c r="C23">
        <f>Målinger!I24*3.2857</f>
        <v>1.8991345999999998</v>
      </c>
      <c r="D23">
        <v>0</v>
      </c>
    </row>
    <row r="24" spans="1:4" x14ac:dyDescent="0.45">
      <c r="A24">
        <v>-7</v>
      </c>
      <c r="B24">
        <f>Målinger!F25</f>
        <v>3.64</v>
      </c>
      <c r="C24">
        <f>Målinger!I25*3.2857</f>
        <v>1.8301349</v>
      </c>
      <c r="D24">
        <v>0</v>
      </c>
    </row>
    <row r="25" spans="1:4" x14ac:dyDescent="0.45">
      <c r="A25">
        <v>-6</v>
      </c>
      <c r="B25">
        <f>Målinger!F26</f>
        <v>3.89</v>
      </c>
      <c r="C25">
        <f>Målinger!I26*3.2857</f>
        <v>1.8005636</v>
      </c>
      <c r="D25">
        <v>0</v>
      </c>
    </row>
    <row r="26" spans="1:4" x14ac:dyDescent="0.45">
      <c r="A26">
        <v>-5</v>
      </c>
      <c r="B26">
        <f>Målinger!F27</f>
        <v>3.77</v>
      </c>
      <c r="C26">
        <f>Målinger!I27*3.2857</f>
        <v>1.8038493</v>
      </c>
      <c r="D26">
        <v>0</v>
      </c>
    </row>
    <row r="27" spans="1:4" x14ac:dyDescent="0.45">
      <c r="A27">
        <v>-4</v>
      </c>
      <c r="B27">
        <f>Målinger!F28</f>
        <v>3.87</v>
      </c>
      <c r="C27">
        <f>Målinger!I28*3.2857</f>
        <v>1.8038493</v>
      </c>
      <c r="D27">
        <v>0</v>
      </c>
    </row>
    <row r="28" spans="1:4" x14ac:dyDescent="0.45">
      <c r="A28">
        <v>-3</v>
      </c>
      <c r="B28">
        <f>Målinger!F29</f>
        <v>3.66</v>
      </c>
      <c r="C28">
        <f>Målinger!I29*3.2857</f>
        <v>1.7217068</v>
      </c>
      <c r="D28">
        <v>0</v>
      </c>
    </row>
    <row r="29" spans="1:4" x14ac:dyDescent="0.45">
      <c r="A29">
        <v>-2</v>
      </c>
      <c r="B29">
        <f>Målinger!F30</f>
        <v>3.61</v>
      </c>
      <c r="C29">
        <f>Målinger!I30*3.2857</f>
        <v>1.7019926000000001</v>
      </c>
      <c r="D29">
        <v>0</v>
      </c>
    </row>
    <row r="30" spans="1:4" x14ac:dyDescent="0.45">
      <c r="A30">
        <v>-1</v>
      </c>
      <c r="B30">
        <f>Målinger!F31</f>
        <v>2.87</v>
      </c>
      <c r="C30">
        <f>Målinger!I31*3.2857</f>
        <v>1.6888498000000001</v>
      </c>
      <c r="D30">
        <v>0</v>
      </c>
    </row>
    <row r="31" spans="1:4" x14ac:dyDescent="0.45">
      <c r="A31">
        <v>0</v>
      </c>
      <c r="B31">
        <f>Målinger!F32</f>
        <v>3.84</v>
      </c>
      <c r="C31">
        <f>Målinger!I32*3.2857</f>
        <v>1.6099929999999998</v>
      </c>
      <c r="D31">
        <v>0</v>
      </c>
    </row>
    <row r="32" spans="1:4" x14ac:dyDescent="0.45">
      <c r="A32">
        <v>1</v>
      </c>
      <c r="B32">
        <f>Målinger!F33</f>
        <v>3.63</v>
      </c>
      <c r="C32">
        <f>Målinger!I33*3.2857</f>
        <v>1.5837073999999998</v>
      </c>
      <c r="D32">
        <v>0</v>
      </c>
    </row>
    <row r="33" spans="1:13" x14ac:dyDescent="0.45">
      <c r="A33">
        <v>2</v>
      </c>
      <c r="B33">
        <f>Målinger!F34</f>
        <v>3.38</v>
      </c>
      <c r="C33">
        <f>Målinger!I34*3.2857</f>
        <v>2.0075626999999998</v>
      </c>
      <c r="D33">
        <v>0</v>
      </c>
    </row>
    <row r="34" spans="1:13" x14ac:dyDescent="0.45">
      <c r="A34">
        <v>3</v>
      </c>
      <c r="B34">
        <f>Målinger!F35</f>
        <v>3.21</v>
      </c>
      <c r="C34">
        <f>Målinger!I35*3.2857</f>
        <v>4.2845528000000002</v>
      </c>
      <c r="D34">
        <v>0</v>
      </c>
      <c r="H34">
        <v>-11</v>
      </c>
      <c r="I34">
        <v>0</v>
      </c>
      <c r="J34">
        <v>-5</v>
      </c>
      <c r="K34">
        <v>0</v>
      </c>
      <c r="L34">
        <v>0</v>
      </c>
      <c r="M34">
        <v>0</v>
      </c>
    </row>
    <row r="35" spans="1:13" x14ac:dyDescent="0.45">
      <c r="A35">
        <v>4</v>
      </c>
      <c r="B35">
        <f>Målinger!F36</f>
        <v>1.6180000000000001</v>
      </c>
      <c r="C35">
        <f>Målinger!I36*3.2857</f>
        <v>11.223951199999998</v>
      </c>
      <c r="D35">
        <f>Målinger!M36*4.427</f>
        <v>8.4112999999999989</v>
      </c>
      <c r="H35">
        <v>-11</v>
      </c>
      <c r="I35">
        <v>4.5</v>
      </c>
      <c r="J35">
        <v>-5</v>
      </c>
      <c r="K35">
        <v>4.5</v>
      </c>
      <c r="L35">
        <v>0</v>
      </c>
      <c r="M35">
        <v>4.5</v>
      </c>
    </row>
    <row r="36" spans="1:13" x14ac:dyDescent="0.45">
      <c r="A36">
        <v>5</v>
      </c>
      <c r="B36">
        <f>Målinger!F37</f>
        <v>0.114</v>
      </c>
      <c r="C36">
        <f>Målinger!I37*3.2857</f>
        <v>22.605615999999994</v>
      </c>
      <c r="D36">
        <f>Målinger!M37*4.427</f>
        <v>14.166399999999999</v>
      </c>
    </row>
    <row r="37" spans="1:13" x14ac:dyDescent="0.45">
      <c r="A37">
        <v>6</v>
      </c>
      <c r="B37">
        <f>Målinger!F38</f>
        <v>4.5999999999999999E-2</v>
      </c>
      <c r="C37">
        <f>Målinger!I38*3.2857</f>
        <v>33.711281999999997</v>
      </c>
      <c r="D37">
        <f>Målinger!M38*4.427</f>
        <v>24.791199999999996</v>
      </c>
    </row>
    <row r="38" spans="1:13" x14ac:dyDescent="0.45">
      <c r="A38">
        <v>7</v>
      </c>
      <c r="B38">
        <f>Målinger!F39</f>
        <v>4.1000000000000002E-2</v>
      </c>
      <c r="C38">
        <f>Målinger!I39*3.2857</f>
        <v>43.502668</v>
      </c>
      <c r="D38">
        <f>Målinger!M39*4.427</f>
        <v>26.561999999999998</v>
      </c>
    </row>
    <row r="39" spans="1:13" x14ac:dyDescent="0.45">
      <c r="A39">
        <v>8</v>
      </c>
      <c r="B39">
        <f>Målinger!F40</f>
        <v>4.3999999999999997E-2</v>
      </c>
      <c r="C39">
        <f>Målinger!I40*3.2857</f>
        <v>53.543767199999998</v>
      </c>
      <c r="D39">
        <f>Målinger!M40*4.427</f>
        <v>38.51489999999999</v>
      </c>
    </row>
    <row r="40" spans="1:13" x14ac:dyDescent="0.45">
      <c r="A40">
        <v>9</v>
      </c>
      <c r="B40">
        <f>Målinger!F41</f>
        <v>3.1E-2</v>
      </c>
      <c r="C40">
        <f>Målinger!I41*3.2857</f>
        <v>45.9998</v>
      </c>
      <c r="D40">
        <f>Målinger!M41*4.427</f>
        <v>42.0565</v>
      </c>
    </row>
    <row r="41" spans="1:13" x14ac:dyDescent="0.45">
      <c r="A41">
        <v>10</v>
      </c>
      <c r="B41">
        <f>Målinger!F42</f>
        <v>3.5999999999999997E-2</v>
      </c>
      <c r="C41">
        <f>Målinger!I42*3.2857</f>
        <v>68.638272999999998</v>
      </c>
      <c r="D41">
        <f>Målinger!M42*4.427</f>
        <v>31.874399999999998</v>
      </c>
    </row>
    <row r="42" spans="1:13" x14ac:dyDescent="0.45">
      <c r="A42">
        <v>11</v>
      </c>
      <c r="B42">
        <f>Målinger!F43</f>
        <v>3.2000000000000001E-2</v>
      </c>
      <c r="C42">
        <f>Målinger!I43*3.2857</f>
        <v>85.099630000000005</v>
      </c>
      <c r="D42">
        <f>Målinger!M43*4.427</f>
        <v>41.171100000000003</v>
      </c>
    </row>
    <row r="43" spans="1:13" x14ac:dyDescent="0.45">
      <c r="A43">
        <v>12</v>
      </c>
      <c r="B43">
        <f>Målinger!F44</f>
        <v>2.8000000000000001E-2</v>
      </c>
      <c r="C43">
        <f>Målinger!I44*3.2857</f>
        <v>93.445307999999983</v>
      </c>
      <c r="D43">
        <f>Målinger!M44*4.427</f>
        <v>44.712699999999991</v>
      </c>
    </row>
    <row r="44" spans="1:13" x14ac:dyDescent="0.45">
      <c r="A44">
        <v>13</v>
      </c>
      <c r="B44">
        <f>Målinger!F45</f>
        <v>3.7999999999999999E-2</v>
      </c>
      <c r="C44">
        <f>Målinger!I45*3.2857</f>
        <v>106.94953500000001</v>
      </c>
      <c r="D44">
        <f>Målinger!M45*4.427</f>
        <v>49.582399999999993</v>
      </c>
    </row>
    <row r="45" spans="1:13" x14ac:dyDescent="0.45">
      <c r="A45">
        <v>14</v>
      </c>
      <c r="B45">
        <f>Målinger!F46</f>
        <v>0.85099999999999998</v>
      </c>
      <c r="C45">
        <f>Målinger!I46*3.2857</f>
        <v>116.149495</v>
      </c>
      <c r="D45">
        <f>Målinger!M46*4.427</f>
        <v>56.222899999999989</v>
      </c>
    </row>
    <row r="46" spans="1:13" x14ac:dyDescent="0.45">
      <c r="A46">
        <v>15</v>
      </c>
      <c r="B46">
        <f>Målinger!F47</f>
        <v>3.5999999999999997E-2</v>
      </c>
      <c r="C46">
        <f>Målinger!I47*3.2857</f>
        <v>117.529489</v>
      </c>
      <c r="D46">
        <f>Målinger!M47*4.427</f>
        <v>66.405000000000001</v>
      </c>
    </row>
    <row r="47" spans="1:13" x14ac:dyDescent="0.45">
      <c r="A47">
        <v>16</v>
      </c>
      <c r="B47">
        <f>Målinger!F48</f>
        <v>4.4999999999999998E-2</v>
      </c>
      <c r="C47">
        <f>Målinger!I48*3.2857</f>
        <v>134.31941599999999</v>
      </c>
      <c r="D47">
        <f>Målinger!M48*4.427</f>
        <v>57.550999999999995</v>
      </c>
    </row>
    <row r="48" spans="1:13" x14ac:dyDescent="0.45">
      <c r="A48">
        <v>17</v>
      </c>
      <c r="B48">
        <f>Målinger!F49</f>
        <v>4.4999999999999998E-2</v>
      </c>
      <c r="C48">
        <f>Målinger!I49*3.2857</f>
        <v>153.639332</v>
      </c>
      <c r="D48">
        <f>Målinger!M49*4.427</f>
        <v>79.243299999999991</v>
      </c>
    </row>
    <row r="49" spans="1:4" x14ac:dyDescent="0.45">
      <c r="A49">
        <v>18</v>
      </c>
      <c r="B49">
        <f>Målinger!F50</f>
        <v>0.04</v>
      </c>
      <c r="C49">
        <f>Målinger!I50*3.2857</f>
        <v>166.19070600000001</v>
      </c>
      <c r="D49">
        <f>Målinger!M50*4.427</f>
        <v>70.389299999999992</v>
      </c>
    </row>
    <row r="50" spans="1:4" x14ac:dyDescent="0.45">
      <c r="A50">
        <v>19</v>
      </c>
      <c r="B50">
        <f>Målinger!F51</f>
        <v>4.4999999999999998E-2</v>
      </c>
      <c r="C50">
        <f>Målinger!I51*3.2857</f>
        <v>173.55067400000001</v>
      </c>
      <c r="D50">
        <f>Målinger!M51*4.427</f>
        <v>73.488200000000006</v>
      </c>
    </row>
    <row r="51" spans="1:4" x14ac:dyDescent="0.45">
      <c r="A51">
        <v>43</v>
      </c>
      <c r="B51">
        <f>Målinger!F52</f>
        <v>3.5000000000000003E-2</v>
      </c>
      <c r="C51">
        <f>Målinger!I52*3.2857</f>
        <v>204.04196999999999</v>
      </c>
      <c r="D51">
        <f>Målinger!M52*4.427</f>
        <v>0</v>
      </c>
    </row>
    <row r="52" spans="1:4" x14ac:dyDescent="0.45">
      <c r="A52">
        <v>44</v>
      </c>
      <c r="B52">
        <f>Målinger!F53</f>
        <v>5.5E-2</v>
      </c>
      <c r="C52">
        <f>Målinger!I53*3.2857</f>
        <v>206.34195999999997</v>
      </c>
      <c r="D52">
        <f>Målinger!M53*4.427</f>
        <v>0</v>
      </c>
    </row>
    <row r="53" spans="1:4" x14ac:dyDescent="0.45">
      <c r="A53">
        <v>45</v>
      </c>
      <c r="B53">
        <f>Målinger!F54</f>
        <v>0.4</v>
      </c>
      <c r="C53">
        <f>Målinger!I54*3.2857</f>
        <v>174.47066999999998</v>
      </c>
      <c r="D53">
        <f>Målinger!M54*4.427</f>
        <v>0</v>
      </c>
    </row>
    <row r="54" spans="1:4" x14ac:dyDescent="0.45">
      <c r="A54">
        <v>46</v>
      </c>
      <c r="B54">
        <f>Målinger!F55</f>
        <v>1.0349999999999999</v>
      </c>
      <c r="C54">
        <f>Målinger!I55*3.2857</f>
        <v>180.08921699999999</v>
      </c>
      <c r="D54">
        <f>Målinger!M55*4.427</f>
        <v>0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548AA-CA86-40B9-8047-436131A25A4A}">
  <dimension ref="A2:D67"/>
  <sheetViews>
    <sheetView topLeftCell="A17" workbookViewId="0">
      <selection activeCell="C76" sqref="C76"/>
    </sheetView>
  </sheetViews>
  <sheetFormatPr baseColWidth="10" defaultColWidth="9" defaultRowHeight="14.25" x14ac:dyDescent="0.45"/>
  <cols>
    <col min="1" max="1" width="23" bestFit="1" customWidth="1"/>
    <col min="2" max="2" width="23" customWidth="1"/>
    <col min="3" max="3" width="22.46484375" bestFit="1" customWidth="1"/>
    <col min="4" max="4" width="18" bestFit="1" customWidth="1"/>
  </cols>
  <sheetData>
    <row r="2" spans="1:4" x14ac:dyDescent="0.45">
      <c r="A2" t="s">
        <v>65</v>
      </c>
      <c r="C2">
        <v>53.49</v>
      </c>
    </row>
    <row r="3" spans="1:4" x14ac:dyDescent="0.45">
      <c r="A3" t="s">
        <v>66</v>
      </c>
      <c r="C3">
        <f>14+3</f>
        <v>17</v>
      </c>
    </row>
    <row r="4" spans="1:4" x14ac:dyDescent="0.45">
      <c r="A4" t="s">
        <v>67</v>
      </c>
      <c r="C4">
        <v>717</v>
      </c>
    </row>
    <row r="5" spans="1:4" x14ac:dyDescent="0.45">
      <c r="A5" t="s">
        <v>68</v>
      </c>
      <c r="C5">
        <v>7</v>
      </c>
    </row>
    <row r="9" spans="1:4" x14ac:dyDescent="0.45">
      <c r="A9" t="s">
        <v>27</v>
      </c>
      <c r="C9" t="s">
        <v>69</v>
      </c>
      <c r="D9" t="s">
        <v>70</v>
      </c>
    </row>
    <row r="10" spans="1:4" x14ac:dyDescent="0.45">
      <c r="A10" s="6">
        <f>Målinger!A3</f>
        <v>44981</v>
      </c>
      <c r="B10" s="6"/>
      <c r="C10">
        <f>Målinger!F5</f>
        <v>2.71</v>
      </c>
      <c r="D10">
        <f>((($C$2/$C$3)*($C$5-C10))/1000)*$C$4</f>
        <v>9.6783232764705875</v>
      </c>
    </row>
    <row r="11" spans="1:4" x14ac:dyDescent="0.45">
      <c r="A11" s="6">
        <f>Målinger!A4</f>
        <v>44984</v>
      </c>
      <c r="B11" s="6"/>
      <c r="C11">
        <f>Målinger!F4</f>
        <v>0</v>
      </c>
      <c r="D11">
        <f t="shared" ref="D11:D31" si="0">((($C$2/$C$3)*($C$5-C11))/1000)*$C$4</f>
        <v>15.792135882352939</v>
      </c>
    </row>
    <row r="12" spans="1:4" x14ac:dyDescent="0.45">
      <c r="A12" s="6">
        <f>Målinger!A5</f>
        <v>44985</v>
      </c>
      <c r="B12" s="6"/>
      <c r="C12">
        <f>Målinger!F5</f>
        <v>2.71</v>
      </c>
      <c r="D12">
        <f t="shared" si="0"/>
        <v>9.6783232764705875</v>
      </c>
    </row>
    <row r="13" spans="1:4" x14ac:dyDescent="0.45">
      <c r="A13" s="6">
        <f>Målinger!A6</f>
        <v>44986</v>
      </c>
      <c r="B13" s="6"/>
      <c r="C13">
        <f>Målinger!F6</f>
        <v>0</v>
      </c>
      <c r="D13">
        <f t="shared" si="0"/>
        <v>15.792135882352939</v>
      </c>
    </row>
    <row r="14" spans="1:4" x14ac:dyDescent="0.45">
      <c r="A14" s="6">
        <f>Målinger!A7</f>
        <v>44987</v>
      </c>
      <c r="B14" s="6"/>
      <c r="C14">
        <f>Målinger!F7</f>
        <v>2.06</v>
      </c>
      <c r="D14">
        <f t="shared" si="0"/>
        <v>11.144735894117646</v>
      </c>
    </row>
    <row r="15" spans="1:4" x14ac:dyDescent="0.45">
      <c r="A15" s="6">
        <f>Målinger!A8</f>
        <v>44988</v>
      </c>
      <c r="B15" s="6"/>
      <c r="C15">
        <f>Målinger!F8</f>
        <v>0.2</v>
      </c>
      <c r="D15">
        <f t="shared" si="0"/>
        <v>15.340932</v>
      </c>
    </row>
    <row r="16" spans="1:4" x14ac:dyDescent="0.45">
      <c r="A16" s="6">
        <f>Målinger!A9</f>
        <v>0</v>
      </c>
      <c r="B16" s="6"/>
      <c r="C16">
        <f>Målinger!F9</f>
        <v>0</v>
      </c>
      <c r="D16">
        <f t="shared" si="0"/>
        <v>15.792135882352939</v>
      </c>
    </row>
    <row r="17" spans="1:4" x14ac:dyDescent="0.45">
      <c r="A17" s="6">
        <f>Målinger!A10</f>
        <v>44993</v>
      </c>
      <c r="B17">
        <v>-22</v>
      </c>
      <c r="C17">
        <f>Målinger!F10</f>
        <v>0</v>
      </c>
      <c r="D17">
        <f t="shared" si="0"/>
        <v>15.792135882352939</v>
      </c>
    </row>
    <row r="18" spans="1:4" x14ac:dyDescent="0.45">
      <c r="A18" s="6">
        <f>Målinger!A11</f>
        <v>44994</v>
      </c>
      <c r="B18">
        <v>-21</v>
      </c>
      <c r="C18">
        <f>Målinger!F11</f>
        <v>1.05</v>
      </c>
      <c r="D18">
        <f t="shared" si="0"/>
        <v>13.423315499999999</v>
      </c>
    </row>
    <row r="19" spans="1:4" x14ac:dyDescent="0.45">
      <c r="A19" s="6">
        <f>Målinger!A12</f>
        <v>44995</v>
      </c>
      <c r="B19">
        <v>-20</v>
      </c>
      <c r="C19">
        <f>Målinger!F12</f>
        <v>2.25</v>
      </c>
      <c r="D19">
        <f t="shared" si="0"/>
        <v>10.716092205882353</v>
      </c>
    </row>
    <row r="20" spans="1:4" x14ac:dyDescent="0.45">
      <c r="A20" s="6">
        <f>Målinger!A13</f>
        <v>44998</v>
      </c>
      <c r="B20">
        <v>-19</v>
      </c>
      <c r="C20">
        <f>Målinger!F13</f>
        <v>2.85</v>
      </c>
      <c r="D20">
        <f t="shared" si="0"/>
        <v>9.3624805588235311</v>
      </c>
    </row>
    <row r="21" spans="1:4" x14ac:dyDescent="0.45">
      <c r="A21" s="6">
        <f>Målinger!A14</f>
        <v>44999</v>
      </c>
      <c r="B21">
        <v>-18</v>
      </c>
      <c r="C21">
        <f>Målinger!F14</f>
        <v>3</v>
      </c>
      <c r="D21">
        <f t="shared" si="0"/>
        <v>9.0240776470588226</v>
      </c>
    </row>
    <row r="22" spans="1:4" x14ac:dyDescent="0.45">
      <c r="A22" s="6">
        <f>Målinger!A15</f>
        <v>45000</v>
      </c>
      <c r="B22">
        <v>-17</v>
      </c>
      <c r="C22">
        <f>Målinger!F15</f>
        <v>3.05</v>
      </c>
      <c r="D22">
        <f t="shared" si="0"/>
        <v>8.9112766764705889</v>
      </c>
    </row>
    <row r="23" spans="1:4" x14ac:dyDescent="0.45">
      <c r="A23" s="6">
        <f>Målinger!A16</f>
        <v>45001</v>
      </c>
      <c r="B23">
        <v>-16</v>
      </c>
      <c r="C23">
        <f>Målinger!F16</f>
        <v>3.6</v>
      </c>
      <c r="D23">
        <f t="shared" si="0"/>
        <v>7.6704660000000002</v>
      </c>
    </row>
    <row r="24" spans="1:4" x14ac:dyDescent="0.45">
      <c r="A24" s="6">
        <f>Målinger!A17</f>
        <v>45003</v>
      </c>
      <c r="B24">
        <v>-15</v>
      </c>
      <c r="C24">
        <f>Målinger!F17</f>
        <v>3.68</v>
      </c>
      <c r="D24">
        <f t="shared" si="0"/>
        <v>7.4899844470588244</v>
      </c>
    </row>
    <row r="25" spans="1:4" x14ac:dyDescent="0.45">
      <c r="A25" s="6">
        <f>Målinger!A18</f>
        <v>45004</v>
      </c>
      <c r="B25">
        <v>-14</v>
      </c>
      <c r="C25">
        <f>Målinger!F18</f>
        <v>3.65</v>
      </c>
      <c r="D25">
        <f t="shared" si="0"/>
        <v>7.5576650294117647</v>
      </c>
    </row>
    <row r="26" spans="1:4" x14ac:dyDescent="0.45">
      <c r="A26" s="6">
        <f>Målinger!A19</f>
        <v>45005</v>
      </c>
      <c r="B26" s="43">
        <v>-13</v>
      </c>
      <c r="C26">
        <f>Målinger!F19</f>
        <v>3.71</v>
      </c>
      <c r="D26">
        <f t="shared" si="0"/>
        <v>7.4223038647058823</v>
      </c>
    </row>
    <row r="27" spans="1:4" x14ac:dyDescent="0.45">
      <c r="A27" s="6">
        <f>Målinger!A20</f>
        <v>45006</v>
      </c>
      <c r="B27">
        <v>-12</v>
      </c>
      <c r="C27">
        <f>Målinger!F20</f>
        <v>3.75</v>
      </c>
      <c r="D27">
        <f t="shared" si="0"/>
        <v>7.3320630882352944</v>
      </c>
    </row>
    <row r="28" spans="1:4" x14ac:dyDescent="0.45">
      <c r="A28" s="6">
        <f>Målinger!A21</f>
        <v>45006</v>
      </c>
      <c r="B28">
        <v>-11</v>
      </c>
      <c r="C28">
        <f>Målinger!F21</f>
        <v>3.5</v>
      </c>
      <c r="D28">
        <f t="shared" si="0"/>
        <v>7.8960679411764696</v>
      </c>
    </row>
    <row r="29" spans="1:4" x14ac:dyDescent="0.45">
      <c r="A29" s="6">
        <f>Målinger!A22</f>
        <v>45007</v>
      </c>
      <c r="B29">
        <v>-10</v>
      </c>
      <c r="C29">
        <f>Målinger!E22</f>
        <v>3.01</v>
      </c>
      <c r="D29">
        <f t="shared" si="0"/>
        <v>9.0015174529411777</v>
      </c>
    </row>
    <row r="30" spans="1:4" x14ac:dyDescent="0.45">
      <c r="A30" s="6">
        <f>Målinger!A23</f>
        <v>45007</v>
      </c>
      <c r="B30">
        <v>-9</v>
      </c>
      <c r="C30">
        <f>Målinger!F23</f>
        <v>3.31</v>
      </c>
      <c r="D30">
        <f t="shared" si="0"/>
        <v>8.3247116294117642</v>
      </c>
    </row>
    <row r="31" spans="1:4" x14ac:dyDescent="0.45">
      <c r="A31" s="6">
        <f>Målinger!A24</f>
        <v>45008</v>
      </c>
      <c r="B31">
        <v>-8</v>
      </c>
      <c r="C31">
        <f>Målinger!F24</f>
        <v>3.88</v>
      </c>
      <c r="D31">
        <f t="shared" si="0"/>
        <v>7.038780564705883</v>
      </c>
    </row>
    <row r="32" spans="1:4" x14ac:dyDescent="0.45">
      <c r="A32" s="6">
        <f>Målinger!A25</f>
        <v>45008</v>
      </c>
      <c r="B32">
        <v>-7</v>
      </c>
      <c r="C32">
        <f>Målinger!F25</f>
        <v>3.64</v>
      </c>
      <c r="D32">
        <f>((($C$2/$C$3)*($C$5-C32))/1000)*$C$4</f>
        <v>7.5802252235294114</v>
      </c>
    </row>
    <row r="33" spans="1:4" x14ac:dyDescent="0.45">
      <c r="A33" s="6">
        <f>Målinger!A26</f>
        <v>45009</v>
      </c>
      <c r="B33">
        <v>-6</v>
      </c>
      <c r="C33">
        <f>Målinger!F26</f>
        <v>3.89</v>
      </c>
      <c r="D33">
        <f>((($C$2/$C$3)*($C$5-C33))/1000)*$C$4</f>
        <v>7.0162203705882344</v>
      </c>
    </row>
    <row r="34" spans="1:4" x14ac:dyDescent="0.45">
      <c r="A34" s="6">
        <f>Målinger!A27</f>
        <v>45009</v>
      </c>
      <c r="B34">
        <v>-5</v>
      </c>
      <c r="C34">
        <f>Målinger!F27</f>
        <v>3.77</v>
      </c>
      <c r="D34">
        <f>((($C$2/$C$3)*($C$5-C34))/1000)*$C$4</f>
        <v>7.2869427</v>
      </c>
    </row>
    <row r="35" spans="1:4" x14ac:dyDescent="0.45">
      <c r="A35" s="6">
        <f>Målinger!A28</f>
        <v>45010</v>
      </c>
      <c r="B35">
        <v>-4</v>
      </c>
      <c r="C35">
        <f>Målinger!F28</f>
        <v>3.87</v>
      </c>
      <c r="D35">
        <f t="shared" ref="D35:D60" si="1">((($C$2/$C$3)*($C$5-C35))/1000)*$C$4</f>
        <v>7.0613407588235297</v>
      </c>
    </row>
    <row r="36" spans="1:4" x14ac:dyDescent="0.45">
      <c r="A36" s="6">
        <f>Målinger!A29</f>
        <v>45011</v>
      </c>
      <c r="B36">
        <v>-3</v>
      </c>
      <c r="C36">
        <f>Målinger!F29</f>
        <v>3.66</v>
      </c>
      <c r="D36">
        <f t="shared" si="1"/>
        <v>7.535104835294117</v>
      </c>
    </row>
    <row r="37" spans="1:4" x14ac:dyDescent="0.45">
      <c r="A37" s="6">
        <f>Målinger!A30</f>
        <v>45012</v>
      </c>
      <c r="B37">
        <v>-2</v>
      </c>
      <c r="C37">
        <f>Målinger!F30</f>
        <v>3.61</v>
      </c>
      <c r="D37">
        <f t="shared" si="1"/>
        <v>7.6479058058823526</v>
      </c>
    </row>
    <row r="38" spans="1:4" x14ac:dyDescent="0.45">
      <c r="A38" s="6">
        <f>Målinger!A31</f>
        <v>45013</v>
      </c>
      <c r="B38">
        <v>-1</v>
      </c>
      <c r="C38">
        <f>Målinger!F31</f>
        <v>2.87</v>
      </c>
      <c r="D38">
        <f t="shared" si="1"/>
        <v>9.3173601705882358</v>
      </c>
    </row>
    <row r="39" spans="1:4" x14ac:dyDescent="0.45">
      <c r="A39" s="6">
        <f>Målinger!A32</f>
        <v>45014</v>
      </c>
      <c r="B39">
        <v>0</v>
      </c>
      <c r="C39">
        <f>Målinger!F32</f>
        <v>3.84</v>
      </c>
      <c r="D39">
        <f t="shared" si="1"/>
        <v>7.12902134117647</v>
      </c>
    </row>
    <row r="40" spans="1:4" x14ac:dyDescent="0.45">
      <c r="A40" s="6">
        <f>Målinger!A33</f>
        <v>45015</v>
      </c>
      <c r="B40">
        <v>1</v>
      </c>
      <c r="C40">
        <f>Målinger!F33</f>
        <v>3.63</v>
      </c>
      <c r="D40">
        <f t="shared" si="1"/>
        <v>7.6027854176470591</v>
      </c>
    </row>
    <row r="41" spans="1:4" x14ac:dyDescent="0.45">
      <c r="A41" s="6">
        <f>Målinger!A34</f>
        <v>45016</v>
      </c>
      <c r="B41">
        <v>2</v>
      </c>
      <c r="C41">
        <f>Målinger!F34</f>
        <v>3.38</v>
      </c>
      <c r="D41">
        <f t="shared" si="1"/>
        <v>8.1667902705882351</v>
      </c>
    </row>
    <row r="42" spans="1:4" x14ac:dyDescent="0.45">
      <c r="A42" s="6">
        <f>Målinger!A35</f>
        <v>45017</v>
      </c>
      <c r="B42">
        <v>3</v>
      </c>
      <c r="C42">
        <f>Målinger!F35</f>
        <v>3.21</v>
      </c>
      <c r="D42">
        <f t="shared" si="1"/>
        <v>8.5503135705882354</v>
      </c>
    </row>
    <row r="43" spans="1:4" x14ac:dyDescent="0.45">
      <c r="A43" s="6">
        <f>Målinger!A36</f>
        <v>45018</v>
      </c>
      <c r="B43" s="43">
        <v>4</v>
      </c>
      <c r="C43">
        <f>Målinger!F36</f>
        <v>1.6180000000000001</v>
      </c>
      <c r="D43">
        <f t="shared" si="1"/>
        <v>12.141896474117646</v>
      </c>
    </row>
    <row r="44" spans="1:4" x14ac:dyDescent="0.45">
      <c r="A44" s="6">
        <f>Målinger!A37</f>
        <v>45019</v>
      </c>
      <c r="B44">
        <v>5</v>
      </c>
      <c r="C44">
        <f>Målinger!F37</f>
        <v>0.114</v>
      </c>
      <c r="D44">
        <f t="shared" si="1"/>
        <v>15.534949669411764</v>
      </c>
    </row>
    <row r="45" spans="1:4" x14ac:dyDescent="0.45">
      <c r="A45" s="6">
        <f>Målinger!A38</f>
        <v>45020</v>
      </c>
      <c r="B45">
        <v>6</v>
      </c>
      <c r="C45">
        <f>Målinger!F38</f>
        <v>4.5999999999999999E-2</v>
      </c>
      <c r="D45">
        <f t="shared" si="1"/>
        <v>15.688358989411764</v>
      </c>
    </row>
    <row r="46" spans="1:4" x14ac:dyDescent="0.45">
      <c r="A46" s="6">
        <f>Målinger!A39</f>
        <v>45021</v>
      </c>
      <c r="B46">
        <v>7</v>
      </c>
      <c r="C46">
        <f>Målinger!F39</f>
        <v>4.1000000000000002E-2</v>
      </c>
      <c r="D46">
        <f t="shared" si="1"/>
        <v>15.699639086470588</v>
      </c>
    </row>
    <row r="47" spans="1:4" x14ac:dyDescent="0.45">
      <c r="A47" s="6">
        <f>Målinger!A40</f>
        <v>45022</v>
      </c>
      <c r="B47">
        <v>8</v>
      </c>
      <c r="C47">
        <f>Målinger!F40</f>
        <v>4.3999999999999997E-2</v>
      </c>
      <c r="D47">
        <f t="shared" si="1"/>
        <v>15.692871028235297</v>
      </c>
    </row>
    <row r="48" spans="1:4" x14ac:dyDescent="0.45">
      <c r="A48" s="6">
        <f>Målinger!A41</f>
        <v>45023</v>
      </c>
      <c r="B48">
        <v>9</v>
      </c>
      <c r="C48">
        <f>Målinger!F41</f>
        <v>3.1E-2</v>
      </c>
      <c r="D48">
        <f t="shared" si="1"/>
        <v>15.722199280588235</v>
      </c>
    </row>
    <row r="49" spans="1:4" x14ac:dyDescent="0.45">
      <c r="A49" s="6">
        <f>Målinger!A42</f>
        <v>45024</v>
      </c>
      <c r="B49">
        <v>10</v>
      </c>
      <c r="C49">
        <f>Målinger!F42</f>
        <v>3.5999999999999997E-2</v>
      </c>
      <c r="D49">
        <f t="shared" si="1"/>
        <v>15.710919183529413</v>
      </c>
    </row>
    <row r="50" spans="1:4" x14ac:dyDescent="0.45">
      <c r="A50" s="6">
        <f>Målinger!A43</f>
        <v>45025</v>
      </c>
      <c r="B50">
        <v>11</v>
      </c>
      <c r="C50">
        <f>Målinger!F43</f>
        <v>3.2000000000000001E-2</v>
      </c>
      <c r="D50">
        <f t="shared" si="1"/>
        <v>15.71994326117647</v>
      </c>
    </row>
    <row r="51" spans="1:4" x14ac:dyDescent="0.45">
      <c r="A51" s="6">
        <f>Målinger!A44</f>
        <v>45026</v>
      </c>
      <c r="B51">
        <v>12</v>
      </c>
      <c r="C51">
        <f>Målinger!F44</f>
        <v>2.8000000000000001E-2</v>
      </c>
      <c r="D51">
        <f t="shared" si="1"/>
        <v>15.728967338823532</v>
      </c>
    </row>
    <row r="52" spans="1:4" x14ac:dyDescent="0.45">
      <c r="A52" s="6">
        <f>Målinger!A45</f>
        <v>45027</v>
      </c>
      <c r="B52">
        <v>13</v>
      </c>
      <c r="C52">
        <f>Målinger!F45</f>
        <v>3.7999999999999999E-2</v>
      </c>
      <c r="D52">
        <f t="shared" si="1"/>
        <v>15.706407144705882</v>
      </c>
    </row>
    <row r="53" spans="1:4" x14ac:dyDescent="0.45">
      <c r="A53" s="6">
        <f>Målinger!A46</f>
        <v>45028</v>
      </c>
      <c r="B53">
        <v>14</v>
      </c>
      <c r="C53">
        <f>Målinger!F46</f>
        <v>0.85099999999999998</v>
      </c>
      <c r="D53">
        <f t="shared" si="1"/>
        <v>13.872263362941178</v>
      </c>
    </row>
    <row r="54" spans="1:4" x14ac:dyDescent="0.45">
      <c r="A54" s="6">
        <f>Målinger!A47</f>
        <v>45029</v>
      </c>
      <c r="B54">
        <v>15</v>
      </c>
      <c r="C54">
        <f>Målinger!F47</f>
        <v>3.5999999999999997E-2</v>
      </c>
      <c r="D54">
        <f t="shared" si="1"/>
        <v>15.710919183529413</v>
      </c>
    </row>
    <row r="55" spans="1:4" x14ac:dyDescent="0.45">
      <c r="A55" s="6">
        <f>Målinger!A48</f>
        <v>45030</v>
      </c>
      <c r="B55">
        <v>16</v>
      </c>
      <c r="C55">
        <f>Målinger!F48</f>
        <v>4.4999999999999998E-2</v>
      </c>
      <c r="D55">
        <f t="shared" si="1"/>
        <v>15.690615008823528</v>
      </c>
    </row>
    <row r="56" spans="1:4" x14ac:dyDescent="0.45">
      <c r="A56" s="6">
        <f>Målinger!A49</f>
        <v>45031</v>
      </c>
      <c r="B56">
        <v>17</v>
      </c>
      <c r="C56">
        <f>Målinger!F49</f>
        <v>4.4999999999999998E-2</v>
      </c>
      <c r="D56">
        <f t="shared" si="1"/>
        <v>15.690615008823528</v>
      </c>
    </row>
    <row r="57" spans="1:4" x14ac:dyDescent="0.45">
      <c r="A57" s="6">
        <f>Målinger!A50</f>
        <v>45032</v>
      </c>
      <c r="B57">
        <v>18</v>
      </c>
      <c r="C57">
        <f>Målinger!F50</f>
        <v>0.04</v>
      </c>
      <c r="D57">
        <f t="shared" si="1"/>
        <v>15.701895105882354</v>
      </c>
    </row>
    <row r="58" spans="1:4" x14ac:dyDescent="0.45">
      <c r="A58" s="6">
        <f>Målinger!A51</f>
        <v>45033</v>
      </c>
      <c r="B58">
        <v>19</v>
      </c>
      <c r="C58">
        <f>Målinger!F51</f>
        <v>4.4999999999999998E-2</v>
      </c>
      <c r="D58">
        <f t="shared" si="1"/>
        <v>15.690615008823528</v>
      </c>
    </row>
    <row r="59" spans="1:4" x14ac:dyDescent="0.45">
      <c r="A59" s="6">
        <f>Målinger!A52</f>
        <v>45034</v>
      </c>
      <c r="B59">
        <v>20</v>
      </c>
      <c r="C59">
        <f>Målinger!F52</f>
        <v>3.5000000000000003E-2</v>
      </c>
      <c r="D59">
        <f t="shared" si="1"/>
        <v>15.713175202941176</v>
      </c>
    </row>
    <row r="60" spans="1:4" x14ac:dyDescent="0.45">
      <c r="A60" s="6">
        <f>Målinger!A53</f>
        <v>45035</v>
      </c>
      <c r="B60">
        <v>21</v>
      </c>
      <c r="C60">
        <f>Målinger!F53</f>
        <v>5.5E-2</v>
      </c>
      <c r="D60">
        <f t="shared" si="1"/>
        <v>15.668054814705885</v>
      </c>
    </row>
    <row r="61" spans="1:4" x14ac:dyDescent="0.45">
      <c r="A61" s="6">
        <f>Målinger!A54</f>
        <v>45036</v>
      </c>
      <c r="B61">
        <v>22</v>
      </c>
      <c r="C61">
        <f>Målinger!F54</f>
        <v>0.4</v>
      </c>
      <c r="D61">
        <f t="shared" ref="D61:D66" si="2">((($C$2/$C$3)*($C$5-C61))/1000)*$C$4</f>
        <v>14.889728117647058</v>
      </c>
    </row>
    <row r="62" spans="1:4" x14ac:dyDescent="0.45">
      <c r="A62" s="6">
        <f>Målinger!A55</f>
        <v>45037</v>
      </c>
      <c r="B62">
        <v>46</v>
      </c>
      <c r="C62">
        <f>Målinger!F55</f>
        <v>1.0349999999999999</v>
      </c>
      <c r="D62">
        <f t="shared" si="2"/>
        <v>13.45715579117647</v>
      </c>
    </row>
    <row r="63" spans="1:4" x14ac:dyDescent="0.45">
      <c r="A63" s="6">
        <f>Målinger!A56</f>
        <v>45038</v>
      </c>
      <c r="B63">
        <v>47</v>
      </c>
      <c r="C63">
        <f>Målinger!F56</f>
        <v>1.38</v>
      </c>
      <c r="D63">
        <f t="shared" si="2"/>
        <v>12.678829094117647</v>
      </c>
    </row>
    <row r="64" spans="1:4" x14ac:dyDescent="0.45">
      <c r="A64" s="6">
        <f>Målinger!A57</f>
        <v>0</v>
      </c>
      <c r="B64">
        <v>48</v>
      </c>
      <c r="C64">
        <f>Målinger!F57</f>
        <v>0.05</v>
      </c>
      <c r="D64">
        <f t="shared" si="2"/>
        <v>15.679334911764705</v>
      </c>
    </row>
    <row r="65" spans="1:4" x14ac:dyDescent="0.45">
      <c r="A65" s="6">
        <f>Målinger!A58</f>
        <v>45040</v>
      </c>
      <c r="B65">
        <v>49</v>
      </c>
      <c r="C65">
        <f>Målinger!F58</f>
        <v>4.4999999999999998E-2</v>
      </c>
      <c r="D65">
        <f t="shared" si="2"/>
        <v>15.690615008823528</v>
      </c>
    </row>
    <row r="66" spans="1:4" x14ac:dyDescent="0.45">
      <c r="A66" s="6">
        <f>Målinger!A59</f>
        <v>45041</v>
      </c>
      <c r="B66">
        <v>50</v>
      </c>
      <c r="C66">
        <f>Målinger!F59</f>
        <v>0.05</v>
      </c>
      <c r="D66">
        <f t="shared" si="2"/>
        <v>15.679334911764705</v>
      </c>
    </row>
    <row r="67" spans="1:4" x14ac:dyDescent="0.45">
      <c r="A67" s="6">
        <f>Målinger!A60</f>
        <v>0</v>
      </c>
      <c r="B67" s="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CE771-591F-4BCE-91CE-0B4FB6A612D7}">
  <dimension ref="A1:G9"/>
  <sheetViews>
    <sheetView topLeftCell="D1" workbookViewId="0">
      <selection activeCell="N16" sqref="N16"/>
    </sheetView>
  </sheetViews>
  <sheetFormatPr baseColWidth="10" defaultColWidth="11.46484375" defaultRowHeight="14.25" x14ac:dyDescent="0.45"/>
  <sheetData>
    <row r="1" spans="1:7" x14ac:dyDescent="0.45">
      <c r="B1" s="39" t="s">
        <v>71</v>
      </c>
      <c r="C1" s="39"/>
      <c r="D1" s="39" t="s">
        <v>72</v>
      </c>
      <c r="E1" s="39"/>
      <c r="F1" s="39"/>
      <c r="G1" s="39"/>
    </row>
    <row r="2" spans="1:7" x14ac:dyDescent="0.45">
      <c r="A2" t="s">
        <v>73</v>
      </c>
      <c r="B2" t="s">
        <v>74</v>
      </c>
      <c r="C2" t="s">
        <v>75</v>
      </c>
      <c r="D2" t="s">
        <v>74</v>
      </c>
      <c r="E2" t="s">
        <v>9</v>
      </c>
    </row>
    <row r="3" spans="1:7" x14ac:dyDescent="0.45">
      <c r="A3" s="15">
        <v>0.5625</v>
      </c>
      <c r="B3">
        <f>1.53*2</f>
        <v>3.06</v>
      </c>
      <c r="C3">
        <f>1.5*2</f>
        <v>3</v>
      </c>
      <c r="D3">
        <f>0.389*20</f>
        <v>7.78</v>
      </c>
      <c r="E3">
        <f>0.384*20</f>
        <v>7.68</v>
      </c>
    </row>
    <row r="4" spans="1:7" x14ac:dyDescent="0.45">
      <c r="A4" s="15">
        <v>0.60416666666666696</v>
      </c>
      <c r="B4">
        <f>1.3*2</f>
        <v>2.6</v>
      </c>
      <c r="C4">
        <f>1.29*2</f>
        <v>2.58</v>
      </c>
      <c r="D4">
        <f>0.413*20</f>
        <v>8.26</v>
      </c>
      <c r="E4">
        <f>0.414*20</f>
        <v>8.2799999999999994</v>
      </c>
    </row>
    <row r="5" spans="1:7" x14ac:dyDescent="0.45">
      <c r="A5" s="15">
        <v>0.64583333333333304</v>
      </c>
      <c r="B5">
        <f>1.16*2</f>
        <v>2.3199999999999998</v>
      </c>
      <c r="C5">
        <f>1.15*2</f>
        <v>2.2999999999999998</v>
      </c>
      <c r="D5">
        <f>0.425*20</f>
        <v>8.5</v>
      </c>
      <c r="E5">
        <f>0.429*20</f>
        <v>8.58</v>
      </c>
    </row>
    <row r="6" spans="1:7" x14ac:dyDescent="0.45">
      <c r="A6" s="15">
        <v>0.6875</v>
      </c>
      <c r="B6">
        <f>0.99*2</f>
        <v>1.98</v>
      </c>
      <c r="C6">
        <f>0.98*2</f>
        <v>1.96</v>
      </c>
      <c r="D6">
        <f>0.436*20</f>
        <v>8.7200000000000006</v>
      </c>
      <c r="E6">
        <f>0.431*20</f>
        <v>8.6199999999999992</v>
      </c>
    </row>
    <row r="7" spans="1:7" x14ac:dyDescent="0.45">
      <c r="A7" s="15">
        <v>0.72916666666666696</v>
      </c>
      <c r="B7">
        <f>0.76*2</f>
        <v>1.52</v>
      </c>
      <c r="C7">
        <f>0.76*2</f>
        <v>1.52</v>
      </c>
      <c r="D7">
        <f>0.469*20</f>
        <v>9.379999999999999</v>
      </c>
      <c r="E7">
        <f>0.468*20</f>
        <v>9.3600000000000012</v>
      </c>
    </row>
    <row r="8" spans="1:7" x14ac:dyDescent="0.45">
      <c r="A8" s="15">
        <v>0.77083333333333304</v>
      </c>
      <c r="B8">
        <f>0.57*2</f>
        <v>1.1399999999999999</v>
      </c>
      <c r="C8">
        <f>0.61*2</f>
        <v>1.22</v>
      </c>
      <c r="D8">
        <f>0.49*20</f>
        <v>9.8000000000000007</v>
      </c>
      <c r="E8">
        <f>0.491*20</f>
        <v>9.82</v>
      </c>
    </row>
    <row r="9" spans="1:7" x14ac:dyDescent="0.45">
      <c r="A9" s="15"/>
    </row>
  </sheetData>
  <mergeCells count="3">
    <mergeCell ref="B1:C1"/>
    <mergeCell ref="D1:E1"/>
    <mergeCell ref="F1:G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0D8B9-6DA3-46ED-B124-E8DE6ADB7EF4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6721-B523-47BA-B69F-64CB727BB25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4a2d50-6850-45cd-abb0-39ae3f626823" xsi:nil="true"/>
    <lcf76f155ced4ddcb4097134ff3c332f xmlns="f8a691e2-41bb-4939-b5fe-98a7d41d038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2F2E38F16D6F428F23A35BCBC529F3" ma:contentTypeVersion="9" ma:contentTypeDescription="Opprett et nytt dokument." ma:contentTypeScope="" ma:versionID="f8e06a258df6ed304f5ea8b37f34e565">
  <xsd:schema xmlns:xsd="http://www.w3.org/2001/XMLSchema" xmlns:xs="http://www.w3.org/2001/XMLSchema" xmlns:p="http://schemas.microsoft.com/office/2006/metadata/properties" xmlns:ns2="f8a691e2-41bb-4939-b5fe-98a7d41d0388" xmlns:ns3="334a2d50-6850-45cd-abb0-39ae3f626823" targetNamespace="http://schemas.microsoft.com/office/2006/metadata/properties" ma:root="true" ma:fieldsID="c0a8742c70489d96ffca7dff18495ad4" ns2:_="" ns3:_="">
    <xsd:import namespace="f8a691e2-41bb-4939-b5fe-98a7d41d0388"/>
    <xsd:import namespace="334a2d50-6850-45cd-abb0-39ae3f6268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691e2-41bb-4939-b5fe-98a7d41d03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emerkelapper" ma:readOnly="false" ma:fieldId="{5cf76f15-5ced-4ddc-b409-7134ff3c332f}" ma:taxonomyMulti="true" ma:sspId="d5ac12ea-e064-4df2-9638-65326f4f9e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4a2d50-6850-45cd-abb0-39ae3f62682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792fc7d-7864-4cc0-bfe4-4cb8fd0a76d8}" ma:internalName="TaxCatchAll" ma:showField="CatchAllData" ma:web="334a2d50-6850-45cd-abb0-39ae3f6268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6A3BC9-1690-4F0D-B538-36FC73431B62}">
  <ds:schemaRefs>
    <ds:schemaRef ds:uri="http://schemas.openxmlformats.org/package/2006/metadata/core-properties"/>
    <ds:schemaRef ds:uri="http://purl.org/dc/elements/1.1/"/>
    <ds:schemaRef ds:uri="f8a691e2-41bb-4939-b5fe-98a7d41d0388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334a2d50-6850-45cd-abb0-39ae3f62682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C4DC83-5087-44CF-9498-BA587205AE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2912C1-C7E9-4202-984C-2E162628CA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a691e2-41bb-4939-b5fe-98a7d41d0388"/>
    <ds:schemaRef ds:uri="334a2d50-6850-45cd-abb0-39ae3f6268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21</vt:i4>
      </vt:variant>
      <vt:variant>
        <vt:lpstr>Diagrammer</vt:lpstr>
      </vt:variant>
      <vt:variant>
        <vt:i4>1</vt:i4>
      </vt:variant>
    </vt:vector>
  </HeadingPairs>
  <TitlesOfParts>
    <vt:vector size="22" baseType="lpstr">
      <vt:lpstr>Målinger</vt:lpstr>
      <vt:lpstr>Miljødata</vt:lpstr>
      <vt:lpstr>pH, alk og TDS</vt:lpstr>
      <vt:lpstr>Alkalitet</vt:lpstr>
      <vt:lpstr>Modning biofilter</vt:lpstr>
      <vt:lpstr>Ammonium </vt:lpstr>
      <vt:lpstr>3.4</vt:lpstr>
      <vt:lpstr>Ark3</vt:lpstr>
      <vt:lpstr>Ark4</vt:lpstr>
      <vt:lpstr>Ark5</vt:lpstr>
      <vt:lpstr>Ark6</vt:lpstr>
      <vt:lpstr>12.4</vt:lpstr>
      <vt:lpstr>pH-reduksjon på 1</vt:lpstr>
      <vt:lpstr>NO3,Alk,pH</vt:lpstr>
      <vt:lpstr>1 time etter tilsetning </vt:lpstr>
      <vt:lpstr>Nitritt </vt:lpstr>
      <vt:lpstr>Flow</vt:lpstr>
      <vt:lpstr>Hypotese 1</vt:lpstr>
      <vt:lpstr>Hypotese 2</vt:lpstr>
      <vt:lpstr>Ark2</vt:lpstr>
      <vt:lpstr>Ark1</vt:lpstr>
      <vt:lpstr>pH og biomedie brukt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Salomonsen</dc:creator>
  <cp:keywords/>
  <dc:description/>
  <cp:lastModifiedBy>Ingrid Salomonsen</cp:lastModifiedBy>
  <cp:revision/>
  <dcterms:created xsi:type="dcterms:W3CDTF">2023-02-06T10:54:16Z</dcterms:created>
  <dcterms:modified xsi:type="dcterms:W3CDTF">2023-05-22T10:34:51Z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0x010100C72F2E38F16D6F428F23A35BCBC529F3</vt:lpwstr>
  </property>
  <property fmtid="{D5CDD505-2E9C-101B-9397-08002B2CF9AE}" pid="3" name="MediaServiceImageTags">
    <vt:lpwstr/>
  </property>
</Properties>
</file>