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ne\OneDrive\Documents\Bacheloroppgave 2022\"/>
    </mc:Choice>
  </mc:AlternateContent>
  <xr:revisionPtr revIDLastSave="0" documentId="8_{EB70137B-0DAC-48E0-A0B9-FC342AEC8650}" xr6:coauthVersionLast="47" xr6:coauthVersionMax="47" xr10:uidLastSave="{00000000-0000-0000-0000-000000000000}"/>
  <bookViews>
    <workbookView xWindow="-110" yWindow="-110" windowWidth="19420" windowHeight="10300" firstSheet="4" activeTab="4" xr2:uid="{5EDD228E-3C56-41A8-98ED-DD4CF2DFFE24}"/>
  </bookViews>
  <sheets>
    <sheet name="Strømning" sheetId="1" r:id="rId1"/>
    <sheet name="Temperatur" sheetId="2" r:id="rId2"/>
    <sheet name="Varmeveksler" sheetId="5" r:id="rId3"/>
    <sheet name="Solstråling" sheetId="3" r:id="rId4"/>
    <sheet name="Temp. Lammaneset" sheetId="4" r:id="rId5"/>
    <sheet name="Termisk responstid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" l="1"/>
  <c r="F8" i="5"/>
  <c r="C11" i="5"/>
  <c r="F14" i="5"/>
  <c r="N17" i="5"/>
  <c r="N16" i="5"/>
  <c r="N15" i="5"/>
  <c r="N14" i="5"/>
  <c r="N13" i="5"/>
  <c r="N12" i="5"/>
  <c r="N11" i="5"/>
  <c r="N10" i="5"/>
  <c r="N9" i="5"/>
  <c r="N8" i="5"/>
  <c r="M16" i="5"/>
  <c r="M15" i="5"/>
  <c r="M14" i="5"/>
  <c r="M13" i="5"/>
  <c r="M12" i="5"/>
  <c r="M11" i="5"/>
  <c r="M10" i="5"/>
  <c r="M9" i="5"/>
  <c r="M8" i="5"/>
  <c r="M17" i="5"/>
  <c r="I7" i="6"/>
  <c r="L17" i="5"/>
  <c r="L16" i="5"/>
  <c r="L15" i="5"/>
  <c r="L14" i="5"/>
  <c r="L13" i="5"/>
  <c r="L12" i="5"/>
  <c r="L11" i="5"/>
  <c r="L10" i="5"/>
  <c r="L9" i="5"/>
  <c r="L8" i="5"/>
  <c r="I10" i="5"/>
  <c r="I9" i="5"/>
  <c r="I8" i="5"/>
  <c r="C14" i="5"/>
  <c r="C55" i="2"/>
  <c r="C37" i="2"/>
  <c r="I20" i="2"/>
  <c r="J7" i="6"/>
  <c r="F13" i="6"/>
  <c r="F22" i="2"/>
  <c r="I29" i="2"/>
  <c r="J7" i="1"/>
  <c r="G5" i="1"/>
  <c r="G7" i="1"/>
  <c r="C40" i="2"/>
  <c r="F31" i="2"/>
  <c r="C34" i="2"/>
  <c r="C46" i="2"/>
  <c r="I26" i="2" s="1"/>
  <c r="K7" i="1"/>
  <c r="F7" i="1"/>
  <c r="F6" i="1"/>
  <c r="J6" i="1"/>
  <c r="J5" i="1"/>
  <c r="M17" i="1"/>
  <c r="M13" i="1"/>
  <c r="F5" i="1"/>
  <c r="M9" i="1" s="1"/>
  <c r="I9" i="2"/>
  <c r="C31" i="2"/>
  <c r="F28" i="2"/>
  <c r="F15" i="2"/>
  <c r="F12" i="2"/>
  <c r="K14" i="1"/>
  <c r="D28" i="1"/>
  <c r="D27" i="1"/>
  <c r="G6" i="1" s="1"/>
  <c r="D33" i="1"/>
  <c r="K11" i="1" s="1"/>
  <c r="D36" i="1"/>
  <c r="I23" i="2" l="1"/>
  <c r="I16" i="2"/>
  <c r="I13" i="2" s="1"/>
  <c r="J8" i="1"/>
  <c r="K6" i="1"/>
  <c r="K5" i="1"/>
  <c r="N9" i="1"/>
  <c r="N13" i="1"/>
  <c r="N17" i="1"/>
  <c r="K10" i="2" l="1"/>
  <c r="L10" i="2" s="1"/>
  <c r="K14" i="2"/>
  <c r="L14" i="2" s="1"/>
  <c r="K8" i="1"/>
  <c r="I11" i="1" s="1"/>
</calcChain>
</file>

<file path=xl/sharedStrings.xml><?xml version="1.0" encoding="utf-8"?>
<sst xmlns="http://schemas.openxmlformats.org/spreadsheetml/2006/main" count="251" uniqueCount="169">
  <si>
    <t>Utregning strømning i rør</t>
  </si>
  <si>
    <t>Diameter rør [m]</t>
  </si>
  <si>
    <t>Tykkelse rør [mm]</t>
  </si>
  <si>
    <t>Tverrsnittsareal [m^2]</t>
  </si>
  <si>
    <t>Tapkoeffisient sum</t>
  </si>
  <si>
    <t>tap a</t>
  </si>
  <si>
    <t>tap b</t>
  </si>
  <si>
    <t>Sjekke om turbulent eller laminær strømning:</t>
  </si>
  <si>
    <t>Rør 1</t>
  </si>
  <si>
    <t>Rør 2</t>
  </si>
  <si>
    <t>Rør 3</t>
  </si>
  <si>
    <t>Sum</t>
  </si>
  <si>
    <t>Hastighet [m/s]</t>
  </si>
  <si>
    <t>Reynoldstall</t>
  </si>
  <si>
    <t>Lengde rør</t>
  </si>
  <si>
    <t>meter</t>
  </si>
  <si>
    <t xml:space="preserve">p_tap_a + p_tap_b  </t>
  </si>
  <si>
    <t>=</t>
  </si>
  <si>
    <t xml:space="preserve">𝜌g∆z </t>
  </si>
  <si>
    <t>Rør til demning</t>
  </si>
  <si>
    <t>Rør fra demning til komme</t>
  </si>
  <si>
    <t>Komme til utspylingsventil</t>
  </si>
  <si>
    <t>Volumstrøm</t>
  </si>
  <si>
    <t>m^3/s</t>
  </si>
  <si>
    <t>m^3/h</t>
  </si>
  <si>
    <t>Utspylingsventil til komme i E.osen</t>
  </si>
  <si>
    <t>Q</t>
  </si>
  <si>
    <t>E.osen til Lammaneset</t>
  </si>
  <si>
    <t>Total lengde til Lammaneset</t>
  </si>
  <si>
    <t>På land Lammaneset</t>
  </si>
  <si>
    <t>Bend (grader)</t>
  </si>
  <si>
    <t>Tapskoeffisient</t>
  </si>
  <si>
    <t>Innløp</t>
  </si>
  <si>
    <t>Innsnevring 0,5 m til 0,4 m</t>
  </si>
  <si>
    <t>Innsnevring  0,4 m til 0,28 m</t>
  </si>
  <si>
    <t>Utløp</t>
  </si>
  <si>
    <t>Tetthet vann</t>
  </si>
  <si>
    <t>kg/m^3</t>
  </si>
  <si>
    <t>𝜌</t>
  </si>
  <si>
    <t>Viskositet</t>
  </si>
  <si>
    <t>Pa*s</t>
  </si>
  <si>
    <t>μ</t>
  </si>
  <si>
    <t>Gravitasjon</t>
  </si>
  <si>
    <t>m/s^2</t>
  </si>
  <si>
    <t>g</t>
  </si>
  <si>
    <t>Høydeforskjell</t>
  </si>
  <si>
    <t>m</t>
  </si>
  <si>
    <t>∆z</t>
  </si>
  <si>
    <t>Utregning av temperatur i Basseng og rør</t>
  </si>
  <si>
    <t xml:space="preserve">Varmekapasitet </t>
  </si>
  <si>
    <t>J/(K*kg)</t>
  </si>
  <si>
    <t>Dimensjoner</t>
  </si>
  <si>
    <t>Varmeoverføring</t>
  </si>
  <si>
    <t>Temperatur</t>
  </si>
  <si>
    <t>Cp</t>
  </si>
  <si>
    <t>Lengde rør i sjø</t>
  </si>
  <si>
    <t>Varmegjennomgangstall for luft</t>
  </si>
  <si>
    <t>W/(m^2*K)</t>
  </si>
  <si>
    <t>Temperatur basseng</t>
  </si>
  <si>
    <t xml:space="preserve">Volumstrøm </t>
  </si>
  <si>
    <t xml:space="preserve">l </t>
  </si>
  <si>
    <t>h_l</t>
  </si>
  <si>
    <t>Temperatur [K]</t>
  </si>
  <si>
    <t>Temperatur [°C]</t>
  </si>
  <si>
    <t>Radius rør</t>
  </si>
  <si>
    <t>Utregnet</t>
  </si>
  <si>
    <t>Trykktap</t>
  </si>
  <si>
    <t>kg/(m*s^2)</t>
  </si>
  <si>
    <t>r_r</t>
  </si>
  <si>
    <t>Varmegjennomgangstall fra sjø til rør</t>
  </si>
  <si>
    <t>Temperatur rør</t>
  </si>
  <si>
    <t>dp</t>
  </si>
  <si>
    <t>h_r-s</t>
  </si>
  <si>
    <t xml:space="preserve">Areal rør </t>
  </si>
  <si>
    <t>m^2</t>
  </si>
  <si>
    <t>Tetthet</t>
  </si>
  <si>
    <t>A_r</t>
  </si>
  <si>
    <t>Rayleigh nummer (rør)</t>
  </si>
  <si>
    <t>-</t>
  </si>
  <si>
    <t>Ra</t>
  </si>
  <si>
    <t>Tetthet (8grader)</t>
  </si>
  <si>
    <t>Radius basseng</t>
  </si>
  <si>
    <t>𝜌_8</t>
  </si>
  <si>
    <t>r_b</t>
  </si>
  <si>
    <t>Varmegjennomgangstall fra sjø til basseng</t>
  </si>
  <si>
    <t>h_b-s</t>
  </si>
  <si>
    <t>Tetthet (24grader)</t>
  </si>
  <si>
    <t>Radius kule</t>
  </si>
  <si>
    <t>𝜌_24</t>
  </si>
  <si>
    <t xml:space="preserve">R </t>
  </si>
  <si>
    <t>Rayleigh nummer (basseng)</t>
  </si>
  <si>
    <t>Tetthet (17grader)</t>
  </si>
  <si>
    <t>Dybde basseng</t>
  </si>
  <si>
    <t>𝜌_17</t>
  </si>
  <si>
    <t>d</t>
  </si>
  <si>
    <t>Prandtl nummer</t>
  </si>
  <si>
    <t>Pr</t>
  </si>
  <si>
    <t>Hastighet vind</t>
  </si>
  <si>
    <t>m/s</t>
  </si>
  <si>
    <t>Areal bund av basseng</t>
  </si>
  <si>
    <t>v</t>
  </si>
  <si>
    <t>A_b</t>
  </si>
  <si>
    <t>Termisk diffusivitet</t>
  </si>
  <si>
    <t>m^2/s</t>
  </si>
  <si>
    <t>a</t>
  </si>
  <si>
    <t>Temperatur luft (25°C)</t>
  </si>
  <si>
    <t>K</t>
  </si>
  <si>
    <t>Areal topp basseng</t>
  </si>
  <si>
    <t>T_l</t>
  </si>
  <si>
    <t>A_t</t>
  </si>
  <si>
    <t>Temperatur elv (24°C)</t>
  </si>
  <si>
    <t>T_e</t>
  </si>
  <si>
    <t>Temperatur sjøbund (12°C)</t>
  </si>
  <si>
    <t>T_sb</t>
  </si>
  <si>
    <t>Temperatur sjø (17°C)</t>
  </si>
  <si>
    <t>T_s</t>
  </si>
  <si>
    <t>Solstråling</t>
  </si>
  <si>
    <t>W/m^2</t>
  </si>
  <si>
    <t>g0</t>
  </si>
  <si>
    <t>Ledningsevnen vann</t>
  </si>
  <si>
    <t>W//m*K)</t>
  </si>
  <si>
    <t>k</t>
  </si>
  <si>
    <t>Temperatur sjø</t>
  </si>
  <si>
    <t>T-s</t>
  </si>
  <si>
    <t>Effekt til varmeveksler</t>
  </si>
  <si>
    <t>Antall varmevekslere</t>
  </si>
  <si>
    <t>Trykkfall</t>
  </si>
  <si>
    <t>Pa</t>
  </si>
  <si>
    <t>Effekt kjøle</t>
  </si>
  <si>
    <t>KW</t>
  </si>
  <si>
    <t>Anntall</t>
  </si>
  <si>
    <t>Volum pr. 24 timer</t>
  </si>
  <si>
    <t>Temperatur inn [°C]</t>
  </si>
  <si>
    <t>Temperatur inn [K]</t>
  </si>
  <si>
    <t>Kjøleeffekt [KW]</t>
  </si>
  <si>
    <t>Effekt varmeveksler [KW]</t>
  </si>
  <si>
    <t>E_kjøle</t>
  </si>
  <si>
    <t>Temperatur inn</t>
  </si>
  <si>
    <t>Effekt varme</t>
  </si>
  <si>
    <t>T_inn</t>
  </si>
  <si>
    <t>E_varme</t>
  </si>
  <si>
    <t xml:space="preserve">Temperatur ut </t>
  </si>
  <si>
    <t>Effekt total</t>
  </si>
  <si>
    <t>T_ut</t>
  </si>
  <si>
    <t>E_effekt</t>
  </si>
  <si>
    <t>Klokkeslett</t>
  </si>
  <si>
    <t>Solstråling [W/m^2]</t>
  </si>
  <si>
    <t>Gjennomsnittstemperatur Lammaneset i Sjøen</t>
  </si>
  <si>
    <t>Sjø (Lammaneset)</t>
  </si>
  <si>
    <t>Gj.temp [°C]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</si>
  <si>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</si>
  <si>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</si>
  <si>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</si>
  <si>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</si>
  <si>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</si>
  <si>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</si>
  <si>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</si>
  <si>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</si>
  <si>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</si>
  <si>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</si>
  <si>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</si>
  <si>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</si>
  <si>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Termisk responstid</t>
  </si>
  <si>
    <t>Areal bund basseng</t>
  </si>
  <si>
    <t>s</t>
  </si>
  <si>
    <t>h</t>
  </si>
  <si>
    <t xml:space="preserve">t </t>
  </si>
  <si>
    <t>Volum Basseng</t>
  </si>
  <si>
    <t xml:space="preserve">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</si>
</sst>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E+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444444"/>
      <name val="Calibri"/>
      <charset val="1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E8D8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C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/>
      <top style="thin">
        <color rgb="FFE7E6E6"/>
      </top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/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/>
      <bottom/>
      <diagonal/>
    </border>
    <border>
      <left style="thin">
        <color rgb="FFE7E6E6"/>
      </left>
      <right/>
      <top/>
      <bottom style="thin">
        <color rgb="FFE7E6E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theme="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2" fillId="0" borderId="1" xfId="0" applyFont="1" applyBorder="1"/>
    <xf numFmtId="4" fontId="0" fillId="0" borderId="1" xfId="0" applyNumberFormat="1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0" borderId="5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2" borderId="2" xfId="0" applyFill="1" applyBorder="1"/>
    <xf numFmtId="0" fontId="0" fillId="0" borderId="12" xfId="0" applyBorder="1"/>
    <xf numFmtId="0" fontId="0" fillId="0" borderId="13" xfId="0" applyBorder="1"/>
    <xf numFmtId="0" fontId="0" fillId="4" borderId="13" xfId="0" applyFill="1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0" borderId="16" xfId="0" applyBorder="1"/>
    <xf numFmtId="0" fontId="0" fillId="6" borderId="2" xfId="0" applyFill="1" applyBorder="1"/>
    <xf numFmtId="0" fontId="0" fillId="5" borderId="1" xfId="0" applyFill="1" applyBorder="1"/>
    <xf numFmtId="0" fontId="0" fillId="0" borderId="0" xfId="0" quotePrefix="1"/>
    <xf numFmtId="0" fontId="0" fillId="3" borderId="17" xfId="0" applyFill="1" applyBorder="1"/>
    <xf numFmtId="4" fontId="0" fillId="3" borderId="17" xfId="0" applyNumberFormat="1" applyFill="1" applyBorder="1"/>
    <xf numFmtId="0" fontId="0" fillId="3" borderId="17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0" borderId="18" xfId="0" applyBorder="1"/>
    <xf numFmtId="0" fontId="0" fillId="5" borderId="18" xfId="0" applyFill="1" applyBorder="1"/>
    <xf numFmtId="0" fontId="0" fillId="5" borderId="18" xfId="0" applyFill="1" applyBorder="1" applyAlignment="1">
      <alignment wrapText="1"/>
    </xf>
    <xf numFmtId="0" fontId="0" fillId="6" borderId="19" xfId="0" applyFill="1" applyBorder="1"/>
    <xf numFmtId="0" fontId="0" fillId="7" borderId="18" xfId="0" applyFill="1" applyBorder="1"/>
    <xf numFmtId="0" fontId="3" fillId="0" borderId="5" xfId="0" applyFont="1" applyBorder="1"/>
    <xf numFmtId="0" fontId="3" fillId="3" borderId="17" xfId="0" applyFont="1" applyFill="1" applyBorder="1"/>
    <xf numFmtId="0" fontId="0" fillId="5" borderId="19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0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7" xfId="0" applyBorder="1"/>
    <xf numFmtId="20" fontId="0" fillId="0" borderId="17" xfId="0" applyNumberFormat="1" applyBorder="1"/>
    <xf numFmtId="0" fontId="0" fillId="3" borderId="22" xfId="0" applyFill="1" applyBorder="1"/>
    <xf numFmtId="0" fontId="0" fillId="3" borderId="23" xfId="0" applyFill="1" applyBorder="1"/>
    <xf numFmtId="0" fontId="0" fillId="0" borderId="24" xfId="0" applyBorder="1"/>
    <xf numFmtId="0" fontId="0" fillId="0" borderId="22" xfId="0" applyBorder="1"/>
    <xf numFmtId="0" fontId="0" fillId="0" borderId="26" xfId="0" applyBorder="1"/>
    <xf numFmtId="0" fontId="0" fillId="15" borderId="1" xfId="0" applyFill="1" applyBorder="1"/>
    <xf numFmtId="0" fontId="0" fillId="15" borderId="1" xfId="0" applyFill="1" applyBorder="1" applyAlignment="1">
      <alignment wrapText="1"/>
    </xf>
    <xf numFmtId="0" fontId="0" fillId="15" borderId="2" xfId="0" applyFill="1" applyBorder="1"/>
    <xf numFmtId="165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0" fontId="0" fillId="11" borderId="2" xfId="0" applyFill="1" applyBorder="1"/>
    <xf numFmtId="0" fontId="0" fillId="16" borderId="1" xfId="0" applyFill="1" applyBorder="1"/>
    <xf numFmtId="0" fontId="4" fillId="0" borderId="0" xfId="0" applyFont="1"/>
    <xf numFmtId="0" fontId="0" fillId="0" borderId="8" xfId="0" applyBorder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165" fontId="0" fillId="0" borderId="18" xfId="0" applyNumberFormat="1" applyBorder="1"/>
    <xf numFmtId="167" fontId="0" fillId="0" borderId="1" xfId="0" applyNumberFormat="1" applyBorder="1"/>
    <xf numFmtId="164" fontId="0" fillId="0" borderId="3" xfId="0" applyNumberFormat="1" applyBorder="1"/>
    <xf numFmtId="165" fontId="0" fillId="0" borderId="4" xfId="0" applyNumberFormat="1" applyBorder="1"/>
    <xf numFmtId="2" fontId="0" fillId="0" borderId="5" xfId="0" applyNumberFormat="1" applyBorder="1"/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0" fillId="17" borderId="27" xfId="0" applyFill="1" applyBorder="1" applyAlignment="1">
      <alignment wrapText="1"/>
    </xf>
    <xf numFmtId="0" fontId="0" fillId="17" borderId="27" xfId="0" applyFill="1" applyBorder="1"/>
    <xf numFmtId="0" fontId="0" fillId="17" borderId="1" xfId="0" applyFill="1" applyBorder="1"/>
    <xf numFmtId="0" fontId="0" fillId="17" borderId="2" xfId="0" applyFill="1" applyBorder="1"/>
    <xf numFmtId="0" fontId="0" fillId="17" borderId="18" xfId="0" applyFill="1" applyBorder="1"/>
    <xf numFmtId="0" fontId="0" fillId="17" borderId="1" xfId="0" applyFill="1" applyBorder="1" applyAlignment="1">
      <alignment wrapText="1"/>
    </xf>
    <xf numFmtId="0" fontId="0" fillId="17" borderId="28" xfId="0" applyFill="1" applyBorder="1" applyAlignment="1">
      <alignment wrapText="1"/>
    </xf>
    <xf numFmtId="0" fontId="0" fillId="0" borderId="29" xfId="0" applyBorder="1"/>
    <xf numFmtId="2" fontId="0" fillId="0" borderId="16" xfId="0" applyNumberFormat="1" applyBorder="1"/>
    <xf numFmtId="2" fontId="0" fillId="0" borderId="2" xfId="0" applyNumberFormat="1" applyBorder="1"/>
    <xf numFmtId="2" fontId="0" fillId="0" borderId="30" xfId="0" applyNumberFormat="1" applyBorder="1"/>
    <xf numFmtId="2" fontId="0" fillId="0" borderId="20" xfId="0" applyNumberFormat="1" applyBorder="1"/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20" xfId="0" applyBorder="1"/>
    <xf numFmtId="0" fontId="0" fillId="14" borderId="2" xfId="0" applyFill="1" applyBorder="1"/>
    <xf numFmtId="0" fontId="0" fillId="14" borderId="30" xfId="0" applyFill="1" applyBorder="1"/>
    <xf numFmtId="0" fontId="0" fillId="14" borderId="16" xfId="0" applyFill="1" applyBorder="1"/>
    <xf numFmtId="0" fontId="0" fillId="0" borderId="31" xfId="0" applyBorder="1"/>
    <xf numFmtId="0" fontId="0" fillId="0" borderId="32" xfId="0" applyBorder="1"/>
    <xf numFmtId="0" fontId="6" fillId="0" borderId="0" xfId="0" applyFont="1"/>
    <xf numFmtId="0" fontId="0" fillId="0" borderId="21" xfId="0" applyBorder="1"/>
    <xf numFmtId="0" fontId="0" fillId="0" borderId="30" xfId="0" applyBorder="1"/>
    <xf numFmtId="0" fontId="5" fillId="0" borderId="2" xfId="0" applyFont="1" applyBorder="1"/>
    <xf numFmtId="2" fontId="5" fillId="0" borderId="2" xfId="0" applyNumberFormat="1" applyFont="1" applyBorder="1"/>
    <xf numFmtId="0" fontId="0" fillId="2" borderId="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5" fontId="0" fillId="0" borderId="19" xfId="0" applyNumberFormat="1" applyBorder="1"/>
    <xf numFmtId="0" fontId="0" fillId="2" borderId="18" xfId="0" applyFill="1" applyBorder="1" applyAlignment="1">
      <alignment horizontal="center" wrapText="1"/>
    </xf>
    <xf numFmtId="0" fontId="0" fillId="9" borderId="2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14" borderId="18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7ED8"/>
      <color rgb="FFE1CCF0"/>
      <color rgb="FFE8D8F4"/>
      <color rgb="FFFCC0C0"/>
      <color rgb="FFFA9090"/>
      <color rgb="FFF86C6C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Effekt varmeveksler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B17ED8"/>
              </a:solidFill>
              <a:round/>
            </a:ln>
            <a:effectLst/>
          </c:spPr>
          <c:marker>
            <c:symbol val="none"/>
          </c:marker>
          <c:cat>
            <c:numRef>
              <c:f>(Varmeveksler!$K$17,Varmeveksler!$K$16,Varmeveksler!$K$15,Varmeveksler!$K$14,Varmeveksler!$K$13,Varmeveksler!$K$12,Varmeveksler!$K$11,Varmeveksler!$K$10,Varmeveksler!$K$9,Varmeveksler!$K$8)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(Varmeveksler!$N$17,Varmeveksler!$N$16,Varmeveksler!$N$15,Varmeveksler!$N$14,Varmeveksler!$N$13,Varmeveksler!$N$12,Varmeveksler!$N$11,Varmeveksler!$N$10,Varmeveksler!$N$9,Varmeveksler!$N$8)</c:f>
              <c:numCache>
                <c:formatCode>0.00</c:formatCode>
                <c:ptCount val="10"/>
                <c:pt idx="0">
                  <c:v>4.8495942857142857</c:v>
                </c:pt>
                <c:pt idx="1">
                  <c:v>237.25707428571428</c:v>
                </c:pt>
                <c:pt idx="2">
                  <c:v>469.66455428571425</c:v>
                </c:pt>
                <c:pt idx="3">
                  <c:v>702.07203428571415</c:v>
                </c:pt>
                <c:pt idx="4">
                  <c:v>934.47951428571423</c:v>
                </c:pt>
                <c:pt idx="5">
                  <c:v>1166.8869942857143</c:v>
                </c:pt>
                <c:pt idx="6">
                  <c:v>1399.2944742857142</c:v>
                </c:pt>
                <c:pt idx="7">
                  <c:v>1631.7019542857142</c:v>
                </c:pt>
                <c:pt idx="8">
                  <c:v>1864.1094342857143</c:v>
                </c:pt>
                <c:pt idx="9">
                  <c:v>2096.5169142857144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8-46B9-88DA-C51C677F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261696"/>
        <c:axId val="361270848"/>
      </c:lineChart>
      <c:catAx>
        <c:axId val="36126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Temperatur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270848"/>
        <c:crosses val="autoZero"/>
        <c:auto val="1"/>
        <c:lblAlgn val="ctr"/>
        <c:lblOffset val="100"/>
        <c:tickMarkSkip val="1"/>
        <c:noMultiLvlLbl val="0"/>
      </c:catAx>
      <c:valAx>
        <c:axId val="361270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Effekt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261696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>
          <a:softEdge rad="36830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>
      <a:softEdge rad="0"/>
    </a:effectLst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Solstråling på en varm dag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Solstråling!$B$7:$B$77</c:f>
              <c:numCache>
                <c:formatCode>0.0</c:formatCode>
                <c:ptCount val="71"/>
                <c:pt idx="0">
                  <c:v>4</c:v>
                </c:pt>
                <c:pt idx="1">
                  <c:v>5.0774999999999997</c:v>
                </c:pt>
                <c:pt idx="2">
                  <c:v>5.5085100000000002</c:v>
                </c:pt>
                <c:pt idx="3">
                  <c:v>6.0113399999999997</c:v>
                </c:pt>
                <c:pt idx="4">
                  <c:v>6.3345900000000004</c:v>
                </c:pt>
                <c:pt idx="5">
                  <c:v>6.6219299999999999</c:v>
                </c:pt>
                <c:pt idx="6">
                  <c:v>7.1606800000000002</c:v>
                </c:pt>
                <c:pt idx="7">
                  <c:v>7.3761799999999997</c:v>
                </c:pt>
                <c:pt idx="8">
                  <c:v>7.6994300000000004</c:v>
                </c:pt>
                <c:pt idx="9">
                  <c:v>7.8790199999999997</c:v>
                </c:pt>
                <c:pt idx="10">
                  <c:v>8.0945199999999993</c:v>
                </c:pt>
                <c:pt idx="11">
                  <c:v>8.5255200000000002</c:v>
                </c:pt>
                <c:pt idx="12">
                  <c:v>8.7050999999999998</c:v>
                </c:pt>
                <c:pt idx="13">
                  <c:v>9.1720199999999998</c:v>
                </c:pt>
                <c:pt idx="14">
                  <c:v>9.3516100000000009</c:v>
                </c:pt>
                <c:pt idx="15">
                  <c:v>9.6748600000000007</c:v>
                </c:pt>
                <c:pt idx="16">
                  <c:v>9.8544400000000003</c:v>
                </c:pt>
                <c:pt idx="17">
                  <c:v>10.03403</c:v>
                </c:pt>
                <c:pt idx="18">
                  <c:v>10.680529999999999</c:v>
                </c:pt>
                <c:pt idx="19">
                  <c:v>10.824199999999999</c:v>
                </c:pt>
                <c:pt idx="20">
                  <c:v>11.0397</c:v>
                </c:pt>
                <c:pt idx="21">
                  <c:v>11.18336</c:v>
                </c:pt>
                <c:pt idx="22">
                  <c:v>11.291119999999999</c:v>
                </c:pt>
                <c:pt idx="23">
                  <c:v>11.327030000000001</c:v>
                </c:pt>
                <c:pt idx="24">
                  <c:v>11.542529999999999</c:v>
                </c:pt>
                <c:pt idx="25">
                  <c:v>11.82987</c:v>
                </c:pt>
                <c:pt idx="26">
                  <c:v>12.009449999999999</c:v>
                </c:pt>
                <c:pt idx="27">
                  <c:v>12.153119999999999</c:v>
                </c:pt>
                <c:pt idx="28">
                  <c:v>12.69187</c:v>
                </c:pt>
                <c:pt idx="29">
                  <c:v>12.83554</c:v>
                </c:pt>
                <c:pt idx="30">
                  <c:v>13.01512</c:v>
                </c:pt>
                <c:pt idx="31">
                  <c:v>13.194710000000001</c:v>
                </c:pt>
                <c:pt idx="32">
                  <c:v>13.338369999999999</c:v>
                </c:pt>
                <c:pt idx="33">
                  <c:v>13.553879999999999</c:v>
                </c:pt>
                <c:pt idx="34">
                  <c:v>13.589790000000001</c:v>
                </c:pt>
                <c:pt idx="35">
                  <c:v>13.84121</c:v>
                </c:pt>
                <c:pt idx="36">
                  <c:v>14.02079</c:v>
                </c:pt>
                <c:pt idx="37">
                  <c:v>14.16446</c:v>
                </c:pt>
                <c:pt idx="38">
                  <c:v>14.344049999999999</c:v>
                </c:pt>
                <c:pt idx="39">
                  <c:v>14.667299999999999</c:v>
                </c:pt>
                <c:pt idx="40">
                  <c:v>15.02647</c:v>
                </c:pt>
                <c:pt idx="41">
                  <c:v>15.17013</c:v>
                </c:pt>
                <c:pt idx="42">
                  <c:v>15.56522</c:v>
                </c:pt>
                <c:pt idx="43">
                  <c:v>15.852550000000001</c:v>
                </c:pt>
                <c:pt idx="44">
                  <c:v>16.032139999999998</c:v>
                </c:pt>
                <c:pt idx="45">
                  <c:v>16.35539</c:v>
                </c:pt>
                <c:pt idx="46">
                  <c:v>16.534970000000001</c:v>
                </c:pt>
                <c:pt idx="47">
                  <c:v>16.714559999999999</c:v>
                </c:pt>
                <c:pt idx="48">
                  <c:v>17.00189</c:v>
                </c:pt>
                <c:pt idx="49">
                  <c:v>17.217390000000002</c:v>
                </c:pt>
                <c:pt idx="50">
                  <c:v>17.361059999999998</c:v>
                </c:pt>
                <c:pt idx="51">
                  <c:v>17.54064</c:v>
                </c:pt>
                <c:pt idx="52">
                  <c:v>17.68431</c:v>
                </c:pt>
                <c:pt idx="53">
                  <c:v>18.151230000000002</c:v>
                </c:pt>
                <c:pt idx="54">
                  <c:v>17.93573</c:v>
                </c:pt>
                <c:pt idx="55">
                  <c:v>18.689979999999998</c:v>
                </c:pt>
                <c:pt idx="56">
                  <c:v>18.86957</c:v>
                </c:pt>
                <c:pt idx="57">
                  <c:v>19.01323</c:v>
                </c:pt>
                <c:pt idx="58">
                  <c:v>19.336480000000002</c:v>
                </c:pt>
                <c:pt idx="59">
                  <c:v>19.516069999999999</c:v>
                </c:pt>
                <c:pt idx="60">
                  <c:v>19.875240000000002</c:v>
                </c:pt>
                <c:pt idx="61">
                  <c:v>20.162569999999999</c:v>
                </c:pt>
                <c:pt idx="62">
                  <c:v>20.378070000000001</c:v>
                </c:pt>
                <c:pt idx="63">
                  <c:v>20.59357</c:v>
                </c:pt>
                <c:pt idx="64">
                  <c:v>21.024570000000001</c:v>
                </c:pt>
                <c:pt idx="65">
                  <c:v>21.204160000000002</c:v>
                </c:pt>
                <c:pt idx="66">
                  <c:v>21.38374</c:v>
                </c:pt>
                <c:pt idx="67">
                  <c:v>21.81474</c:v>
                </c:pt>
                <c:pt idx="68">
                  <c:v>22.20983</c:v>
                </c:pt>
                <c:pt idx="69">
                  <c:v>22.389410000000002</c:v>
                </c:pt>
                <c:pt idx="70">
                  <c:v>23.035920000000001</c:v>
                </c:pt>
              </c:numCache>
            </c:numRef>
          </c:cat>
          <c:val>
            <c:numRef>
              <c:f>Solstråling!$C$7:$C$77</c:f>
              <c:numCache>
                <c:formatCode>0.00</c:formatCode>
                <c:ptCount val="71"/>
                <c:pt idx="0" formatCode="General">
                  <c:v>0</c:v>
                </c:pt>
                <c:pt idx="1">
                  <c:v>22.764230000000001</c:v>
                </c:pt>
                <c:pt idx="2">
                  <c:v>22.764230000000001</c:v>
                </c:pt>
                <c:pt idx="3">
                  <c:v>52.032519999999998</c:v>
                </c:pt>
                <c:pt idx="4">
                  <c:v>48.78049</c:v>
                </c:pt>
                <c:pt idx="5">
                  <c:v>65.040649999999999</c:v>
                </c:pt>
                <c:pt idx="6">
                  <c:v>162.60163</c:v>
                </c:pt>
                <c:pt idx="7">
                  <c:v>68.292680000000004</c:v>
                </c:pt>
                <c:pt idx="8">
                  <c:v>68.292680000000004</c:v>
                </c:pt>
                <c:pt idx="9">
                  <c:v>55.284550000000003</c:v>
                </c:pt>
                <c:pt idx="10">
                  <c:v>29.26829</c:v>
                </c:pt>
                <c:pt idx="11">
                  <c:v>94.308940000000007</c:v>
                </c:pt>
                <c:pt idx="12">
                  <c:v>133.33332999999999</c:v>
                </c:pt>
                <c:pt idx="13">
                  <c:v>104.06504</c:v>
                </c:pt>
                <c:pt idx="14">
                  <c:v>61.788620000000002</c:v>
                </c:pt>
                <c:pt idx="15">
                  <c:v>136.58537000000001</c:v>
                </c:pt>
                <c:pt idx="16">
                  <c:v>123.57724</c:v>
                </c:pt>
                <c:pt idx="17">
                  <c:v>97.560980000000001</c:v>
                </c:pt>
                <c:pt idx="18">
                  <c:v>182.11382</c:v>
                </c:pt>
                <c:pt idx="19">
                  <c:v>269.9187</c:v>
                </c:pt>
                <c:pt idx="20">
                  <c:v>351.21951000000001</c:v>
                </c:pt>
                <c:pt idx="21">
                  <c:v>419.51220000000001</c:v>
                </c:pt>
                <c:pt idx="22">
                  <c:v>260.1626</c:v>
                </c:pt>
                <c:pt idx="23">
                  <c:v>156.09755999999999</c:v>
                </c:pt>
                <c:pt idx="24">
                  <c:v>146.34146000000001</c:v>
                </c:pt>
                <c:pt idx="25">
                  <c:v>152.84553</c:v>
                </c:pt>
                <c:pt idx="26">
                  <c:v>120.3252</c:v>
                </c:pt>
                <c:pt idx="27">
                  <c:v>120.3252</c:v>
                </c:pt>
                <c:pt idx="28">
                  <c:v>266.66667000000001</c:v>
                </c:pt>
                <c:pt idx="29">
                  <c:v>188.61788999999999</c:v>
                </c:pt>
                <c:pt idx="30">
                  <c:v>253.65853999999999</c:v>
                </c:pt>
                <c:pt idx="31">
                  <c:v>247.15447</c:v>
                </c:pt>
                <c:pt idx="32">
                  <c:v>217.88618</c:v>
                </c:pt>
                <c:pt idx="33">
                  <c:v>302.43902000000003</c:v>
                </c:pt>
                <c:pt idx="34">
                  <c:v>383.73984000000002</c:v>
                </c:pt>
                <c:pt idx="35">
                  <c:v>1073.17073</c:v>
                </c:pt>
                <c:pt idx="36">
                  <c:v>539.8374</c:v>
                </c:pt>
                <c:pt idx="37">
                  <c:v>487.80488000000003</c:v>
                </c:pt>
                <c:pt idx="38">
                  <c:v>650.40650000000005</c:v>
                </c:pt>
                <c:pt idx="39">
                  <c:v>331.70731999999998</c:v>
                </c:pt>
                <c:pt idx="40">
                  <c:v>1017.88618</c:v>
                </c:pt>
                <c:pt idx="41">
                  <c:v>1017.88618</c:v>
                </c:pt>
                <c:pt idx="42">
                  <c:v>351.21951000000001</c:v>
                </c:pt>
                <c:pt idx="43">
                  <c:v>230.89430999999999</c:v>
                </c:pt>
                <c:pt idx="44">
                  <c:v>243.90244000000001</c:v>
                </c:pt>
                <c:pt idx="45">
                  <c:v>214.63415000000001</c:v>
                </c:pt>
                <c:pt idx="46">
                  <c:v>130.0813</c:v>
                </c:pt>
                <c:pt idx="47">
                  <c:v>136.58537000000001</c:v>
                </c:pt>
                <c:pt idx="48">
                  <c:v>256.91057000000001</c:v>
                </c:pt>
                <c:pt idx="49">
                  <c:v>263.41462999999999</c:v>
                </c:pt>
                <c:pt idx="50">
                  <c:v>120.3252</c:v>
                </c:pt>
                <c:pt idx="51">
                  <c:v>159.34959000000001</c:v>
                </c:pt>
                <c:pt idx="52">
                  <c:v>211.38211000000001</c:v>
                </c:pt>
                <c:pt idx="53">
                  <c:v>126.82926999999999</c:v>
                </c:pt>
                <c:pt idx="54">
                  <c:v>146.34146000000001</c:v>
                </c:pt>
                <c:pt idx="55">
                  <c:v>269.9187</c:v>
                </c:pt>
                <c:pt idx="56">
                  <c:v>243.90244000000001</c:v>
                </c:pt>
                <c:pt idx="57">
                  <c:v>136.58537000000001</c:v>
                </c:pt>
                <c:pt idx="58">
                  <c:v>126.82926999999999</c:v>
                </c:pt>
                <c:pt idx="59">
                  <c:v>178.86179000000001</c:v>
                </c:pt>
                <c:pt idx="60">
                  <c:v>126.82926999999999</c:v>
                </c:pt>
                <c:pt idx="61">
                  <c:v>123.57724</c:v>
                </c:pt>
                <c:pt idx="62">
                  <c:v>123.57724</c:v>
                </c:pt>
                <c:pt idx="63">
                  <c:v>71.544719999999998</c:v>
                </c:pt>
                <c:pt idx="64">
                  <c:v>29.26829</c:v>
                </c:pt>
                <c:pt idx="65">
                  <c:v>29.26829</c:v>
                </c:pt>
                <c:pt idx="66">
                  <c:v>19.5122</c:v>
                </c:pt>
                <c:pt idx="67">
                  <c:v>26.016259999999999</c:v>
                </c:pt>
                <c:pt idx="68">
                  <c:v>22.764230000000001</c:v>
                </c:pt>
                <c:pt idx="69">
                  <c:v>9.7561</c:v>
                </c:pt>
                <c:pt idx="7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5-4DF9-9DD9-AEDD2C1E1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656128"/>
        <c:axId val="531654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Solstråling!$B$7:$B$77</c15:sqref>
                        </c15:formulaRef>
                      </c:ext>
                    </c:extLst>
                    <c:numCache>
                      <c:formatCode>0.0</c:formatCode>
                      <c:ptCount val="71"/>
                      <c:pt idx="0">
                        <c:v>4</c:v>
                      </c:pt>
                      <c:pt idx="1">
                        <c:v>5.0774999999999997</c:v>
                      </c:pt>
                      <c:pt idx="2">
                        <c:v>5.5085100000000002</c:v>
                      </c:pt>
                      <c:pt idx="3">
                        <c:v>6.0113399999999997</c:v>
                      </c:pt>
                      <c:pt idx="4">
                        <c:v>6.3345900000000004</c:v>
                      </c:pt>
                      <c:pt idx="5">
                        <c:v>6.6219299999999999</c:v>
                      </c:pt>
                      <c:pt idx="6">
                        <c:v>7.1606800000000002</c:v>
                      </c:pt>
                      <c:pt idx="7">
                        <c:v>7.3761799999999997</c:v>
                      </c:pt>
                      <c:pt idx="8">
                        <c:v>7.6994300000000004</c:v>
                      </c:pt>
                      <c:pt idx="9">
                        <c:v>7.8790199999999997</c:v>
                      </c:pt>
                      <c:pt idx="10">
                        <c:v>8.0945199999999993</c:v>
                      </c:pt>
                      <c:pt idx="11">
                        <c:v>8.5255200000000002</c:v>
                      </c:pt>
                      <c:pt idx="12">
                        <c:v>8.7050999999999998</c:v>
                      </c:pt>
                      <c:pt idx="13">
                        <c:v>9.1720199999999998</c:v>
                      </c:pt>
                      <c:pt idx="14">
                        <c:v>9.3516100000000009</c:v>
                      </c:pt>
                      <c:pt idx="15">
                        <c:v>9.6748600000000007</c:v>
                      </c:pt>
                      <c:pt idx="16">
                        <c:v>9.8544400000000003</c:v>
                      </c:pt>
                      <c:pt idx="17">
                        <c:v>10.03403</c:v>
                      </c:pt>
                      <c:pt idx="18">
                        <c:v>10.680529999999999</c:v>
                      </c:pt>
                      <c:pt idx="19">
                        <c:v>10.824199999999999</c:v>
                      </c:pt>
                      <c:pt idx="20">
                        <c:v>11.0397</c:v>
                      </c:pt>
                      <c:pt idx="21">
                        <c:v>11.18336</c:v>
                      </c:pt>
                      <c:pt idx="22">
                        <c:v>11.291119999999999</c:v>
                      </c:pt>
                      <c:pt idx="23">
                        <c:v>11.327030000000001</c:v>
                      </c:pt>
                      <c:pt idx="24">
                        <c:v>11.542529999999999</c:v>
                      </c:pt>
                      <c:pt idx="25">
                        <c:v>11.82987</c:v>
                      </c:pt>
                      <c:pt idx="26">
                        <c:v>12.009449999999999</c:v>
                      </c:pt>
                      <c:pt idx="27">
                        <c:v>12.153119999999999</c:v>
                      </c:pt>
                      <c:pt idx="28">
                        <c:v>12.69187</c:v>
                      </c:pt>
                      <c:pt idx="29">
                        <c:v>12.83554</c:v>
                      </c:pt>
                      <c:pt idx="30">
                        <c:v>13.01512</c:v>
                      </c:pt>
                      <c:pt idx="31">
                        <c:v>13.194710000000001</c:v>
                      </c:pt>
                      <c:pt idx="32">
                        <c:v>13.338369999999999</c:v>
                      </c:pt>
                      <c:pt idx="33">
                        <c:v>13.553879999999999</c:v>
                      </c:pt>
                      <c:pt idx="34">
                        <c:v>13.589790000000001</c:v>
                      </c:pt>
                      <c:pt idx="35">
                        <c:v>13.84121</c:v>
                      </c:pt>
                      <c:pt idx="36">
                        <c:v>14.02079</c:v>
                      </c:pt>
                      <c:pt idx="37">
                        <c:v>14.16446</c:v>
                      </c:pt>
                      <c:pt idx="38">
                        <c:v>14.344049999999999</c:v>
                      </c:pt>
                      <c:pt idx="39">
                        <c:v>14.667299999999999</c:v>
                      </c:pt>
                      <c:pt idx="40">
                        <c:v>15.02647</c:v>
                      </c:pt>
                      <c:pt idx="41">
                        <c:v>15.17013</c:v>
                      </c:pt>
                      <c:pt idx="42">
                        <c:v>15.56522</c:v>
                      </c:pt>
                      <c:pt idx="43">
                        <c:v>15.852550000000001</c:v>
                      </c:pt>
                      <c:pt idx="44">
                        <c:v>16.032139999999998</c:v>
                      </c:pt>
                      <c:pt idx="45">
                        <c:v>16.35539</c:v>
                      </c:pt>
                      <c:pt idx="46">
                        <c:v>16.534970000000001</c:v>
                      </c:pt>
                      <c:pt idx="47">
                        <c:v>16.714559999999999</c:v>
                      </c:pt>
                      <c:pt idx="48">
                        <c:v>17.00189</c:v>
                      </c:pt>
                      <c:pt idx="49">
                        <c:v>17.217390000000002</c:v>
                      </c:pt>
                      <c:pt idx="50">
                        <c:v>17.361059999999998</c:v>
                      </c:pt>
                      <c:pt idx="51">
                        <c:v>17.54064</c:v>
                      </c:pt>
                      <c:pt idx="52">
                        <c:v>17.68431</c:v>
                      </c:pt>
                      <c:pt idx="53">
                        <c:v>18.151230000000002</c:v>
                      </c:pt>
                      <c:pt idx="54">
                        <c:v>17.93573</c:v>
                      </c:pt>
                      <c:pt idx="55">
                        <c:v>18.689979999999998</c:v>
                      </c:pt>
                      <c:pt idx="56">
                        <c:v>18.86957</c:v>
                      </c:pt>
                      <c:pt idx="57">
                        <c:v>19.01323</c:v>
                      </c:pt>
                      <c:pt idx="58">
                        <c:v>19.336480000000002</c:v>
                      </c:pt>
                      <c:pt idx="59">
                        <c:v>19.516069999999999</c:v>
                      </c:pt>
                      <c:pt idx="60">
                        <c:v>19.875240000000002</c:v>
                      </c:pt>
                      <c:pt idx="61">
                        <c:v>20.162569999999999</c:v>
                      </c:pt>
                      <c:pt idx="62">
                        <c:v>20.378070000000001</c:v>
                      </c:pt>
                      <c:pt idx="63">
                        <c:v>20.59357</c:v>
                      </c:pt>
                      <c:pt idx="64">
                        <c:v>21.024570000000001</c:v>
                      </c:pt>
                      <c:pt idx="65">
                        <c:v>21.204160000000002</c:v>
                      </c:pt>
                      <c:pt idx="66">
                        <c:v>21.38374</c:v>
                      </c:pt>
                      <c:pt idx="67">
                        <c:v>21.81474</c:v>
                      </c:pt>
                      <c:pt idx="68">
                        <c:v>22.20983</c:v>
                      </c:pt>
                      <c:pt idx="69">
                        <c:v>22.389410000000002</c:v>
                      </c:pt>
                      <c:pt idx="70">
                        <c:v>23.035920000000001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Solstråling!$B$7:$B$77</c15:sqref>
                        </c15:formulaRef>
                      </c:ext>
                    </c:extLst>
                    <c:numCache>
                      <c:formatCode>0.0</c:formatCode>
                      <c:ptCount val="71"/>
                      <c:pt idx="0">
                        <c:v>4</c:v>
                      </c:pt>
                      <c:pt idx="1">
                        <c:v>5.0774999999999997</c:v>
                      </c:pt>
                      <c:pt idx="2">
                        <c:v>5.5085100000000002</c:v>
                      </c:pt>
                      <c:pt idx="3">
                        <c:v>6.0113399999999997</c:v>
                      </c:pt>
                      <c:pt idx="4">
                        <c:v>6.3345900000000004</c:v>
                      </c:pt>
                      <c:pt idx="5">
                        <c:v>6.6219299999999999</c:v>
                      </c:pt>
                      <c:pt idx="6">
                        <c:v>7.1606800000000002</c:v>
                      </c:pt>
                      <c:pt idx="7">
                        <c:v>7.3761799999999997</c:v>
                      </c:pt>
                      <c:pt idx="8">
                        <c:v>7.6994300000000004</c:v>
                      </c:pt>
                      <c:pt idx="9">
                        <c:v>7.8790199999999997</c:v>
                      </c:pt>
                      <c:pt idx="10">
                        <c:v>8.0945199999999993</c:v>
                      </c:pt>
                      <c:pt idx="11">
                        <c:v>8.5255200000000002</c:v>
                      </c:pt>
                      <c:pt idx="12">
                        <c:v>8.7050999999999998</c:v>
                      </c:pt>
                      <c:pt idx="13">
                        <c:v>9.1720199999999998</c:v>
                      </c:pt>
                      <c:pt idx="14">
                        <c:v>9.3516100000000009</c:v>
                      </c:pt>
                      <c:pt idx="15">
                        <c:v>9.6748600000000007</c:v>
                      </c:pt>
                      <c:pt idx="16">
                        <c:v>9.8544400000000003</c:v>
                      </c:pt>
                      <c:pt idx="17">
                        <c:v>10.03403</c:v>
                      </c:pt>
                      <c:pt idx="18">
                        <c:v>10.680529999999999</c:v>
                      </c:pt>
                      <c:pt idx="19">
                        <c:v>10.824199999999999</c:v>
                      </c:pt>
                      <c:pt idx="20">
                        <c:v>11.0397</c:v>
                      </c:pt>
                      <c:pt idx="21">
                        <c:v>11.18336</c:v>
                      </c:pt>
                      <c:pt idx="22">
                        <c:v>11.291119999999999</c:v>
                      </c:pt>
                      <c:pt idx="23">
                        <c:v>11.327030000000001</c:v>
                      </c:pt>
                      <c:pt idx="24">
                        <c:v>11.542529999999999</c:v>
                      </c:pt>
                      <c:pt idx="25">
                        <c:v>11.82987</c:v>
                      </c:pt>
                      <c:pt idx="26">
                        <c:v>12.009449999999999</c:v>
                      </c:pt>
                      <c:pt idx="27">
                        <c:v>12.153119999999999</c:v>
                      </c:pt>
                      <c:pt idx="28">
                        <c:v>12.69187</c:v>
                      </c:pt>
                      <c:pt idx="29">
                        <c:v>12.83554</c:v>
                      </c:pt>
                      <c:pt idx="30">
                        <c:v>13.01512</c:v>
                      </c:pt>
                      <c:pt idx="31">
                        <c:v>13.194710000000001</c:v>
                      </c:pt>
                      <c:pt idx="32">
                        <c:v>13.338369999999999</c:v>
                      </c:pt>
                      <c:pt idx="33">
                        <c:v>13.553879999999999</c:v>
                      </c:pt>
                      <c:pt idx="34">
                        <c:v>13.589790000000001</c:v>
                      </c:pt>
                      <c:pt idx="35">
                        <c:v>13.84121</c:v>
                      </c:pt>
                      <c:pt idx="36">
                        <c:v>14.02079</c:v>
                      </c:pt>
                      <c:pt idx="37">
                        <c:v>14.16446</c:v>
                      </c:pt>
                      <c:pt idx="38">
                        <c:v>14.344049999999999</c:v>
                      </c:pt>
                      <c:pt idx="39">
                        <c:v>14.667299999999999</c:v>
                      </c:pt>
                      <c:pt idx="40">
                        <c:v>15.02647</c:v>
                      </c:pt>
                      <c:pt idx="41">
                        <c:v>15.17013</c:v>
                      </c:pt>
                      <c:pt idx="42">
                        <c:v>15.56522</c:v>
                      </c:pt>
                      <c:pt idx="43">
                        <c:v>15.852550000000001</c:v>
                      </c:pt>
                      <c:pt idx="44">
                        <c:v>16.032139999999998</c:v>
                      </c:pt>
                      <c:pt idx="45">
                        <c:v>16.35539</c:v>
                      </c:pt>
                      <c:pt idx="46">
                        <c:v>16.534970000000001</c:v>
                      </c:pt>
                      <c:pt idx="47">
                        <c:v>16.714559999999999</c:v>
                      </c:pt>
                      <c:pt idx="48">
                        <c:v>17.00189</c:v>
                      </c:pt>
                      <c:pt idx="49">
                        <c:v>17.217390000000002</c:v>
                      </c:pt>
                      <c:pt idx="50">
                        <c:v>17.361059999999998</c:v>
                      </c:pt>
                      <c:pt idx="51">
                        <c:v>17.54064</c:v>
                      </c:pt>
                      <c:pt idx="52">
                        <c:v>17.68431</c:v>
                      </c:pt>
                      <c:pt idx="53">
                        <c:v>18.151230000000002</c:v>
                      </c:pt>
                      <c:pt idx="54">
                        <c:v>17.93573</c:v>
                      </c:pt>
                      <c:pt idx="55">
                        <c:v>18.689979999999998</c:v>
                      </c:pt>
                      <c:pt idx="56">
                        <c:v>18.86957</c:v>
                      </c:pt>
                      <c:pt idx="57">
                        <c:v>19.01323</c:v>
                      </c:pt>
                      <c:pt idx="58">
                        <c:v>19.336480000000002</c:v>
                      </c:pt>
                      <c:pt idx="59">
                        <c:v>19.516069999999999</c:v>
                      </c:pt>
                      <c:pt idx="60">
                        <c:v>19.875240000000002</c:v>
                      </c:pt>
                      <c:pt idx="61">
                        <c:v>20.162569999999999</c:v>
                      </c:pt>
                      <c:pt idx="62">
                        <c:v>20.378070000000001</c:v>
                      </c:pt>
                      <c:pt idx="63">
                        <c:v>20.59357</c:v>
                      </c:pt>
                      <c:pt idx="64">
                        <c:v>21.024570000000001</c:v>
                      </c:pt>
                      <c:pt idx="65">
                        <c:v>21.204160000000002</c:v>
                      </c:pt>
                      <c:pt idx="66">
                        <c:v>21.38374</c:v>
                      </c:pt>
                      <c:pt idx="67">
                        <c:v>21.81474</c:v>
                      </c:pt>
                      <c:pt idx="68">
                        <c:v>22.20983</c:v>
                      </c:pt>
                      <c:pt idx="69">
                        <c:v>22.389410000000002</c:v>
                      </c:pt>
                      <c:pt idx="70">
                        <c:v>23.035920000000001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CE5-4DF9-9DD9-AEDD2C1E1307}"/>
                  </c:ext>
                </c:extLst>
              </c15:ser>
            </c15:filteredLineSeries>
          </c:ext>
        </c:extLst>
      </c:lineChart>
      <c:catAx>
        <c:axId val="53165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Klokkeslett</a:t>
                </a:r>
              </a:p>
            </c:rich>
          </c:tx>
          <c:layout>
            <c:manualLayout>
              <c:xMode val="edge"/>
              <c:yMode val="edge"/>
              <c:x val="0.48970013123359568"/>
              <c:y val="0.88851778944298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654464"/>
        <c:crosses val="autoZero"/>
        <c:auto val="1"/>
        <c:lblAlgn val="ctr"/>
        <c:lblOffset val="100"/>
        <c:noMultiLvlLbl val="0"/>
      </c:catAx>
      <c:valAx>
        <c:axId val="5316544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Solstråling [W/m^2]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628827646544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65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Gjennomsnittstemperatur i sjø (Lammaneset)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'Temp. Lammaneset'!$B$8:$B$19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'Temp. Lammaneset'!$D$8:$D$19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14</c:v>
                </c:pt>
                <c:pt idx="9">
                  <c:v>12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8-4C3A-B7C4-354CDB3B0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14832"/>
        <c:axId val="531513168"/>
      </c:lineChart>
      <c:catAx>
        <c:axId val="53151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Måned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513168"/>
        <c:crosses val="autoZero"/>
        <c:auto val="1"/>
        <c:lblAlgn val="ctr"/>
        <c:lblOffset val="100"/>
        <c:noMultiLvlLbl val="0"/>
      </c:catAx>
      <c:valAx>
        <c:axId val="531513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Temperatur [</a:t>
                </a:r>
                <a:r>
                  <a:rPr lang="nb-NO" sz="1000" b="0" i="0" u="none" strike="noStrike" baseline="0">
                    <a:effectLst/>
                  </a:rPr>
                  <a:t>°C]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1514832"/>
        <c:crosses val="autoZero"/>
        <c:crossBetween val="between"/>
      </c:valAx>
      <c:spPr>
        <a:noFill/>
        <a:ln>
          <a:solidFill>
            <a:schemeClr val="bg2">
              <a:lumMod val="9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625475</xdr:colOff>
      <xdr:row>12</xdr:row>
      <xdr:rowOff>120650</xdr:rowOff>
    </xdr:from>
    <xdr:ext cx="65" cy="172227"/>
    <xdr:sp macro="" textlink="">
      <xdr:nvSpPr>
        <xdr:cNvPr id="3" name="TekstSylinder 1">
          <a:extLst>
            <a:ext uri="{FF2B5EF4-FFF2-40B4-BE49-F238E27FC236}">
              <a16:creationId xmlns:a16="http://schemas.microsoft.com/office/drawing/2014/main" id="{56A87DD1-ECEB-472D-B7B6-5D68F27FC57C}"/>
            </a:ext>
          </a:extLst>
        </xdr:cNvPr>
        <xdr:cNvSpPr txBox="1"/>
      </xdr:nvSpPr>
      <xdr:spPr>
        <a:xfrm>
          <a:off x="5413375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7</xdr:col>
      <xdr:colOff>815975</xdr:colOff>
      <xdr:row>7</xdr:row>
      <xdr:rowOff>120650</xdr:rowOff>
    </xdr:from>
    <xdr:ext cx="65" cy="172227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EEECA88-6985-44F0-A0A3-21B402C1E83D}"/>
            </a:ext>
          </a:extLst>
        </xdr:cNvPr>
        <xdr:cNvSpPr txBox="1"/>
      </xdr:nvSpPr>
      <xdr:spPr>
        <a:xfrm>
          <a:off x="10467975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6</xdr:row>
      <xdr:rowOff>19050</xdr:rowOff>
    </xdr:from>
    <xdr:to>
      <xdr:col>20</xdr:col>
      <xdr:colOff>638175</xdr:colOff>
      <xdr:row>21</xdr:row>
      <xdr:rowOff>0</xdr:rowOff>
    </xdr:to>
    <xdr:graphicFrame macro="">
      <xdr:nvGraphicFramePr>
        <xdr:cNvPr id="11" name="Diagram 2">
          <a:extLst>
            <a:ext uri="{FF2B5EF4-FFF2-40B4-BE49-F238E27FC236}">
              <a16:creationId xmlns:a16="http://schemas.microsoft.com/office/drawing/2014/main" id="{32FA75DB-5965-4B6F-925C-EBBAFCDA2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6</xdr:row>
      <xdr:rowOff>19050</xdr:rowOff>
    </xdr:from>
    <xdr:to>
      <xdr:col>9</xdr:col>
      <xdr:colOff>587375</xdr:colOff>
      <xdr:row>21</xdr:row>
      <xdr:rowOff>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4A23E8A2-6E47-4EE5-9D28-F5A7B2694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746125</xdr:colOff>
      <xdr:row>5</xdr:row>
      <xdr:rowOff>12700</xdr:rowOff>
    </xdr:from>
    <xdr:to>
      <xdr:col>10</xdr:col>
      <xdr:colOff>746125</xdr:colOff>
      <xdr:row>18</xdr:row>
      <xdr:rowOff>171450</xdr:rowOff>
    </xdr:to>
    <xdr:graphicFrame macro="">
      <xdr:nvGraphicFramePr>
        <xdr:cNvPr id="34" name="Diagram 2">
          <a:extLst>
            <a:ext uri="{FF2B5EF4-FFF2-40B4-BE49-F238E27FC236}">
              <a16:creationId xmlns:a16="http://schemas.microsoft.com/office/drawing/2014/main" id="{360A191C-A08D-4ED2-8783-76DCBF08B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6BAB-000D-42DF-9036-0E21E03137E3}">
  <sheetPr>
    <tabColor theme="9" tint="0.39997558519241921"/>
  </sheetPr>
  <dimension ref="A1:O55"/>
  <sheetViews>
    <sheetView topLeftCell="F1" workbookViewId="0">
      <selection activeCell="M8" sqref="M8"/>
    </sheetView>
  </sheetViews>
  <sheetFormatPr baseColWidth="10" defaultColWidth="11.453125" defaultRowHeight="14.5" x14ac:dyDescent="0.35"/>
  <cols>
    <col min="1" max="1" width="9" customWidth="1"/>
    <col min="2" max="2" width="9.7265625" customWidth="1"/>
    <col min="3" max="3" width="29.7265625" bestFit="1" customWidth="1"/>
    <col min="4" max="4" width="14.81640625" bestFit="1" customWidth="1"/>
    <col min="5" max="5" width="15.81640625" bestFit="1" customWidth="1"/>
    <col min="6" max="6" width="19.26953125" bestFit="1" customWidth="1"/>
    <col min="7" max="7" width="16.7265625" bestFit="1" customWidth="1"/>
    <col min="8" max="8" width="13.1796875" customWidth="1"/>
    <col min="9" max="9" width="17.453125" bestFit="1" customWidth="1"/>
    <col min="10" max="10" width="11.1796875" bestFit="1" customWidth="1"/>
    <col min="11" max="11" width="9.7265625" bestFit="1" customWidth="1"/>
    <col min="12" max="12" width="17.453125" bestFit="1" customWidth="1"/>
    <col min="13" max="13" width="13.54296875" bestFit="1" customWidth="1"/>
    <col min="14" max="14" width="13.54296875" customWidth="1"/>
  </cols>
  <sheetData>
    <row r="1" spans="1:14" x14ac:dyDescent="0.35">
      <c r="A1" s="108" t="s">
        <v>0</v>
      </c>
      <c r="B1" s="108"/>
      <c r="C1" s="108"/>
    </row>
    <row r="2" spans="1:14" x14ac:dyDescent="0.35">
      <c r="A2" s="108"/>
      <c r="B2" s="108"/>
      <c r="C2" s="108"/>
      <c r="D2" s="65"/>
    </row>
    <row r="4" spans="1:14" x14ac:dyDescent="0.35">
      <c r="C4" s="2"/>
      <c r="D4" s="2" t="s">
        <v>1</v>
      </c>
      <c r="E4" s="2" t="s">
        <v>2</v>
      </c>
      <c r="F4" s="8" t="s">
        <v>3</v>
      </c>
      <c r="G4" s="23" t="s">
        <v>4</v>
      </c>
      <c r="H4" s="26"/>
      <c r="I4" s="2"/>
      <c r="J4" s="74" t="s">
        <v>5</v>
      </c>
      <c r="K4" s="7" t="s">
        <v>6</v>
      </c>
      <c r="M4" s="105" t="s">
        <v>7</v>
      </c>
      <c r="N4" s="105"/>
    </row>
    <row r="5" spans="1:14" x14ac:dyDescent="0.35">
      <c r="C5" s="2" t="s">
        <v>8</v>
      </c>
      <c r="D5" s="1">
        <v>0.43</v>
      </c>
      <c r="E5" s="1">
        <v>70</v>
      </c>
      <c r="F5" s="71">
        <f>(3.14*D5^2)/4</f>
        <v>0.14514649999999998</v>
      </c>
      <c r="G5" s="6">
        <f>D26+D24</f>
        <v>1.1000000000000001</v>
      </c>
      <c r="H5" s="25"/>
      <c r="I5" s="8" t="s">
        <v>8</v>
      </c>
      <c r="J5" s="61">
        <f>(0.316*(D36^0.25)/(D33*D5)^0.25)*(D13/D5)*D33*1/2*(1/F5)^1.75</f>
        <v>44141.727226750467</v>
      </c>
      <c r="K5" s="5">
        <f>G5*D33*1/2*(1/F5)^2</f>
        <v>26106.554232487008</v>
      </c>
      <c r="M5" s="105"/>
      <c r="N5" s="105"/>
    </row>
    <row r="6" spans="1:14" x14ac:dyDescent="0.35">
      <c r="C6" s="2" t="s">
        <v>9</v>
      </c>
      <c r="D6" s="1">
        <v>0.33</v>
      </c>
      <c r="E6" s="1">
        <v>70</v>
      </c>
      <c r="F6" s="71">
        <f>(3.14*D6^2)/4</f>
        <v>8.5486500000000007E-2</v>
      </c>
      <c r="G6" s="68">
        <f>D22+D22+D24+D24+D27</f>
        <v>3.2055164954029198</v>
      </c>
      <c r="H6" s="25"/>
      <c r="I6" s="8" t="s">
        <v>9</v>
      </c>
      <c r="J6" s="61">
        <f>(0.316*(D36^0.25)/(D33*D6)^0.25)*(D14/D6)*D33*1/2*(1/F6)^1.75</f>
        <v>650349.25894838164</v>
      </c>
      <c r="K6" s="5">
        <f>G6*D33*1/2*(1/F6)^2</f>
        <v>219317.32865279185</v>
      </c>
    </row>
    <row r="7" spans="1:14" x14ac:dyDescent="0.35">
      <c r="C7" s="2" t="s">
        <v>10</v>
      </c>
      <c r="D7" s="1">
        <v>0.2482</v>
      </c>
      <c r="E7" s="1">
        <v>31.8</v>
      </c>
      <c r="F7" s="71">
        <f>(3.14*D7^2)/4</f>
        <v>4.8358543400000002E-2</v>
      </c>
      <c r="G7" s="68">
        <f>D28+D24+D24+D24+D24+D24+D23+D23+D25+D25+D23+D24+D21+D25+D29</f>
        <v>6.3171568411386589</v>
      </c>
      <c r="H7" s="25"/>
      <c r="I7" s="2" t="s">
        <v>10</v>
      </c>
      <c r="J7" s="73">
        <f>(0.316*(D36^0.25)/(D33*D7)^0.25)*((D15+D17)/D7)*D33*1/2*(1/(2*F7))^1.75</f>
        <v>2576383.7584934374</v>
      </c>
      <c r="K7" s="5">
        <f>G7*D33*1/2*(1/(2*F7))^2</f>
        <v>337664.38067627774</v>
      </c>
      <c r="M7" s="106" t="s">
        <v>8</v>
      </c>
      <c r="N7" s="107"/>
    </row>
    <row r="8" spans="1:14" x14ac:dyDescent="0.35">
      <c r="D8" s="19"/>
      <c r="H8" s="14"/>
      <c r="I8" s="2" t="s">
        <v>11</v>
      </c>
      <c r="J8" s="5">
        <f>J5+J6+J7</f>
        <v>3270874.7446685694</v>
      </c>
      <c r="K8" s="5">
        <f>SUM(K5:K7)</f>
        <v>583088.26356155658</v>
      </c>
      <c r="M8" s="102" t="s">
        <v>12</v>
      </c>
      <c r="N8" s="103" t="s">
        <v>13</v>
      </c>
    </row>
    <row r="9" spans="1:14" x14ac:dyDescent="0.35">
      <c r="D9" s="17"/>
      <c r="E9" s="15"/>
      <c r="F9" s="21"/>
      <c r="G9" s="21"/>
      <c r="H9" s="18"/>
      <c r="M9" s="104">
        <f>J14/F5</f>
        <v>1.4688607717030726</v>
      </c>
      <c r="N9" s="69">
        <f>(D33*M9*D5)/D36</f>
        <v>631610.13183232129</v>
      </c>
    </row>
    <row r="10" spans="1:14" x14ac:dyDescent="0.35">
      <c r="B10" s="66"/>
      <c r="C10" s="2" t="s">
        <v>14</v>
      </c>
      <c r="D10" s="29" t="s">
        <v>15</v>
      </c>
      <c r="F10" s="16"/>
      <c r="G10" s="16"/>
      <c r="H10" s="22"/>
      <c r="I10" s="2" t="s">
        <v>16</v>
      </c>
      <c r="J10" s="7" t="s">
        <v>17</v>
      </c>
      <c r="K10" s="7" t="s">
        <v>18</v>
      </c>
    </row>
    <row r="11" spans="1:14" x14ac:dyDescent="0.35">
      <c r="B11" s="27"/>
      <c r="C11" s="1" t="s">
        <v>19</v>
      </c>
      <c r="D11" s="30">
        <v>20</v>
      </c>
      <c r="F11" s="16"/>
      <c r="G11" s="16"/>
      <c r="H11" s="22"/>
      <c r="I11" s="1">
        <f>J14^2*K8+J14^1.75*J8</f>
        <v>245300.91004126542</v>
      </c>
      <c r="J11" s="1"/>
      <c r="K11" s="1">
        <f>D33*D39*D42</f>
        <v>245250</v>
      </c>
      <c r="M11" s="107" t="s">
        <v>9</v>
      </c>
      <c r="N11" s="107"/>
    </row>
    <row r="12" spans="1:14" x14ac:dyDescent="0.35">
      <c r="B12" s="28"/>
      <c r="C12" s="1" t="s">
        <v>20</v>
      </c>
      <c r="D12" s="30">
        <v>22</v>
      </c>
      <c r="F12" s="16"/>
      <c r="G12" s="16"/>
      <c r="H12" s="22"/>
      <c r="I12" s="20"/>
      <c r="M12" s="76" t="s">
        <v>12</v>
      </c>
      <c r="N12" s="76" t="s">
        <v>13</v>
      </c>
    </row>
    <row r="13" spans="1:14" x14ac:dyDescent="0.35">
      <c r="C13" s="13" t="s">
        <v>21</v>
      </c>
      <c r="D13" s="6">
        <v>105</v>
      </c>
      <c r="E13" s="24"/>
      <c r="F13" s="16"/>
      <c r="G13" s="16"/>
      <c r="H13" s="21"/>
      <c r="I13" s="2" t="s">
        <v>22</v>
      </c>
      <c r="J13" s="2" t="s">
        <v>23</v>
      </c>
      <c r="K13" s="2" t="s">
        <v>24</v>
      </c>
      <c r="M13" s="69">
        <f>J14/F6</f>
        <v>2.4939610347832697</v>
      </c>
      <c r="N13" s="69">
        <f>(D33*M13*D6)/D36</f>
        <v>823007.14147847891</v>
      </c>
    </row>
    <row r="14" spans="1:14" x14ac:dyDescent="0.35">
      <c r="C14" s="1" t="s">
        <v>25</v>
      </c>
      <c r="D14" s="9">
        <v>440</v>
      </c>
      <c r="F14" s="21"/>
      <c r="G14" s="21"/>
      <c r="H14" s="21"/>
      <c r="I14" s="1" t="s">
        <v>26</v>
      </c>
      <c r="J14" s="1">
        <v>0.2132</v>
      </c>
      <c r="K14" s="1">
        <f>J14*3600/2</f>
        <v>383.76</v>
      </c>
    </row>
    <row r="15" spans="1:14" x14ac:dyDescent="0.35">
      <c r="C15" s="10" t="s">
        <v>27</v>
      </c>
      <c r="D15" s="10">
        <v>1413</v>
      </c>
      <c r="H15" s="21"/>
      <c r="M15" s="107" t="s">
        <v>10</v>
      </c>
      <c r="N15" s="107"/>
    </row>
    <row r="16" spans="1:14" x14ac:dyDescent="0.35">
      <c r="C16" s="10" t="s">
        <v>28</v>
      </c>
      <c r="D16" s="10">
        <v>2000</v>
      </c>
      <c r="M16" s="75" t="s">
        <v>12</v>
      </c>
      <c r="N16" s="75" t="s">
        <v>13</v>
      </c>
    </row>
    <row r="17" spans="3:14" ht="14.5" customHeight="1" x14ac:dyDescent="0.35">
      <c r="C17" s="1" t="s">
        <v>29</v>
      </c>
      <c r="D17" s="1">
        <v>102.25700000000001</v>
      </c>
      <c r="M17" s="69">
        <f>J14/F7</f>
        <v>4.40873494134234</v>
      </c>
      <c r="N17" s="38">
        <f>(D33*M17*D7)/D36</f>
        <v>1094248.0124411688</v>
      </c>
    </row>
    <row r="18" spans="3:14" ht="14.5" customHeight="1" x14ac:dyDescent="0.35">
      <c r="C18" s="1"/>
      <c r="D18" s="1"/>
    </row>
    <row r="20" spans="3:14" ht="14.5" customHeight="1" x14ac:dyDescent="0.35">
      <c r="C20" s="2" t="s">
        <v>30</v>
      </c>
      <c r="D20" s="2" t="s">
        <v>31</v>
      </c>
    </row>
    <row r="21" spans="3:14" ht="14.5" customHeight="1" x14ac:dyDescent="0.35">
      <c r="C21" s="11">
        <v>180</v>
      </c>
      <c r="D21" s="1">
        <v>1.5</v>
      </c>
    </row>
    <row r="22" spans="3:14" ht="14.5" customHeight="1" x14ac:dyDescent="0.35">
      <c r="C22" s="11">
        <v>90</v>
      </c>
      <c r="D22" s="1">
        <v>1.2</v>
      </c>
    </row>
    <row r="23" spans="3:14" ht="14.5" customHeight="1" x14ac:dyDescent="0.35">
      <c r="C23" s="11">
        <v>60</v>
      </c>
      <c r="D23" s="1">
        <v>0.5</v>
      </c>
    </row>
    <row r="24" spans="3:14" ht="14.5" customHeight="1" x14ac:dyDescent="0.35">
      <c r="C24" s="12">
        <v>45</v>
      </c>
      <c r="D24" s="10">
        <v>0.3</v>
      </c>
    </row>
    <row r="25" spans="3:14" ht="14.5" customHeight="1" x14ac:dyDescent="0.35">
      <c r="C25" s="12">
        <v>30</v>
      </c>
      <c r="D25" s="10">
        <v>0.1</v>
      </c>
    </row>
    <row r="26" spans="3:14" ht="14.5" customHeight="1" x14ac:dyDescent="0.35">
      <c r="C26" s="1" t="s">
        <v>32</v>
      </c>
      <c r="D26" s="1">
        <v>0.8</v>
      </c>
    </row>
    <row r="27" spans="3:14" ht="14.5" customHeight="1" x14ac:dyDescent="0.35">
      <c r="C27" s="10" t="s">
        <v>33</v>
      </c>
      <c r="D27" s="72">
        <f>1/2*(1-(D6/D5)^2)</f>
        <v>0.2055164954029205</v>
      </c>
    </row>
    <row r="28" spans="3:14" ht="14.5" customHeight="1" x14ac:dyDescent="0.35">
      <c r="C28" s="1" t="s">
        <v>34</v>
      </c>
      <c r="D28" s="60">
        <f>1/2*(1-(D7/D6)^2)</f>
        <v>0.21715684113865935</v>
      </c>
    </row>
    <row r="29" spans="3:14" ht="14.5" customHeight="1" x14ac:dyDescent="0.35">
      <c r="C29" s="1" t="s">
        <v>35</v>
      </c>
      <c r="D29" s="1">
        <v>1</v>
      </c>
    </row>
    <row r="30" spans="3:14" ht="14.5" customHeight="1" x14ac:dyDescent="0.35"/>
    <row r="32" spans="3:14" x14ac:dyDescent="0.35">
      <c r="C32" s="2" t="s">
        <v>36</v>
      </c>
      <c r="D32" s="2" t="s">
        <v>37</v>
      </c>
    </row>
    <row r="33" spans="3:15" x14ac:dyDescent="0.35">
      <c r="C33" s="4" t="s">
        <v>38</v>
      </c>
      <c r="D33" s="1">
        <f>1*10^3</f>
        <v>1000</v>
      </c>
    </row>
    <row r="35" spans="3:15" x14ac:dyDescent="0.35">
      <c r="C35" s="2" t="s">
        <v>39</v>
      </c>
      <c r="D35" s="2" t="s">
        <v>40</v>
      </c>
    </row>
    <row r="36" spans="3:15" x14ac:dyDescent="0.35">
      <c r="C36" s="3" t="s">
        <v>41</v>
      </c>
      <c r="D36" s="1">
        <f>1*10^(-3)</f>
        <v>1E-3</v>
      </c>
    </row>
    <row r="38" spans="3:15" x14ac:dyDescent="0.35">
      <c r="C38" s="2" t="s">
        <v>42</v>
      </c>
      <c r="D38" s="2" t="s">
        <v>43</v>
      </c>
    </row>
    <row r="39" spans="3:15" x14ac:dyDescent="0.35">
      <c r="C39" s="1" t="s">
        <v>44</v>
      </c>
      <c r="D39" s="1">
        <v>9.81</v>
      </c>
    </row>
    <row r="41" spans="3:15" x14ac:dyDescent="0.35">
      <c r="C41" s="42" t="s">
        <v>45</v>
      </c>
      <c r="D41" s="42" t="s">
        <v>46</v>
      </c>
    </row>
    <row r="42" spans="3:15" x14ac:dyDescent="0.35">
      <c r="C42" s="43" t="s">
        <v>47</v>
      </c>
      <c r="D42" s="9">
        <v>25</v>
      </c>
    </row>
    <row r="44" spans="3:15" x14ac:dyDescent="0.35">
      <c r="H44" s="34"/>
      <c r="I44" s="34"/>
      <c r="J44" s="34"/>
      <c r="K44" s="34"/>
      <c r="L44" s="34"/>
      <c r="M44" s="34"/>
      <c r="N44" s="34"/>
      <c r="O44" s="34"/>
    </row>
    <row r="45" spans="3:15" x14ac:dyDescent="0.35">
      <c r="H45" s="34"/>
      <c r="I45" s="34"/>
      <c r="J45" s="34"/>
      <c r="K45" s="34"/>
      <c r="L45" s="34"/>
      <c r="M45" s="34"/>
      <c r="N45" s="34"/>
      <c r="O45" s="34"/>
    </row>
    <row r="46" spans="3:15" x14ac:dyDescent="0.35">
      <c r="C46" s="34"/>
      <c r="D46" s="34"/>
      <c r="E46" s="34"/>
      <c r="H46" s="34"/>
      <c r="I46" s="35"/>
      <c r="J46" s="34"/>
      <c r="K46" s="34"/>
      <c r="L46" s="34"/>
      <c r="M46" s="34"/>
      <c r="N46" s="34"/>
      <c r="O46" s="34"/>
    </row>
    <row r="47" spans="3:15" x14ac:dyDescent="0.35">
      <c r="C47" s="34"/>
      <c r="D47" s="34"/>
      <c r="E47" s="34"/>
      <c r="H47" s="34"/>
      <c r="I47" s="35"/>
      <c r="J47" s="34"/>
      <c r="K47" s="34"/>
      <c r="L47" s="34"/>
      <c r="M47" s="34"/>
      <c r="N47" s="34"/>
      <c r="O47" s="34"/>
    </row>
    <row r="48" spans="3:15" x14ac:dyDescent="0.35">
      <c r="H48" s="34"/>
      <c r="I48" s="34"/>
      <c r="J48" s="34"/>
      <c r="K48" s="34"/>
      <c r="L48" s="34"/>
      <c r="M48" s="34"/>
      <c r="N48" s="34"/>
      <c r="O48" s="34"/>
    </row>
    <row r="49" spans="3:15" x14ac:dyDescent="0.35">
      <c r="C49" s="44"/>
      <c r="D49" s="34"/>
      <c r="E49" s="34"/>
      <c r="H49" s="34"/>
      <c r="I49" s="34"/>
      <c r="J49" s="34"/>
      <c r="K49" s="34"/>
      <c r="L49" s="34"/>
      <c r="M49" s="34"/>
      <c r="N49" s="34"/>
      <c r="O49" s="34"/>
    </row>
    <row r="50" spans="3:15" x14ac:dyDescent="0.35">
      <c r="C50" s="44"/>
      <c r="D50" s="34"/>
      <c r="E50" s="34"/>
      <c r="H50" s="34"/>
      <c r="I50" s="35"/>
      <c r="J50" s="34"/>
      <c r="K50" s="34"/>
      <c r="L50" s="34"/>
      <c r="M50" s="34"/>
      <c r="N50" s="34"/>
      <c r="O50" s="34"/>
    </row>
    <row r="51" spans="3:15" x14ac:dyDescent="0.35">
      <c r="H51" s="34"/>
      <c r="I51" s="34"/>
      <c r="J51" s="34"/>
      <c r="K51" s="34"/>
      <c r="L51" s="34"/>
      <c r="M51" s="34"/>
      <c r="N51" s="34"/>
      <c r="O51" s="34"/>
    </row>
    <row r="52" spans="3:15" x14ac:dyDescent="0.35">
      <c r="H52" s="34"/>
      <c r="I52" s="34"/>
      <c r="J52" s="34"/>
      <c r="K52" s="34"/>
      <c r="L52" s="36"/>
      <c r="M52" s="36"/>
      <c r="N52" s="34"/>
      <c r="O52" s="34"/>
    </row>
    <row r="53" spans="3:15" x14ac:dyDescent="0.35">
      <c r="H53" s="34"/>
      <c r="I53" s="34"/>
      <c r="J53" s="34"/>
      <c r="K53" s="34"/>
      <c r="L53" s="34"/>
      <c r="M53" s="34"/>
      <c r="N53" s="34"/>
      <c r="O53" s="34"/>
    </row>
    <row r="54" spans="3:15" x14ac:dyDescent="0.35">
      <c r="H54" s="34"/>
      <c r="I54" s="34"/>
      <c r="J54" s="34"/>
      <c r="K54" s="34"/>
      <c r="L54" s="34"/>
      <c r="M54" s="34"/>
      <c r="N54" s="34"/>
      <c r="O54" s="34"/>
    </row>
    <row r="55" spans="3:15" x14ac:dyDescent="0.35">
      <c r="H55" s="34"/>
      <c r="I55" s="34"/>
      <c r="J55" s="34"/>
      <c r="K55" s="34"/>
      <c r="L55" s="34"/>
      <c r="M55" s="34"/>
      <c r="N55" s="34"/>
      <c r="O55" s="34"/>
    </row>
  </sheetData>
  <mergeCells count="5">
    <mergeCell ref="M4:N5"/>
    <mergeCell ref="M7:N7"/>
    <mergeCell ref="M11:N11"/>
    <mergeCell ref="M15:N15"/>
    <mergeCell ref="A1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262CD-EBBE-402B-8B36-BDDF9C1D838F}">
  <sheetPr>
    <tabColor theme="5" tint="0.39997558519241921"/>
  </sheetPr>
  <dimension ref="A1:S79"/>
  <sheetViews>
    <sheetView topLeftCell="G9" zoomScaleNormal="100" workbookViewId="0">
      <selection activeCell="L9" sqref="L9"/>
    </sheetView>
  </sheetViews>
  <sheetFormatPr baseColWidth="10" defaultColWidth="11.453125" defaultRowHeight="14.5" x14ac:dyDescent="0.35"/>
  <cols>
    <col min="1" max="1" width="14.54296875" customWidth="1"/>
    <col min="2" max="2" width="23.54296875" bestFit="1" customWidth="1"/>
    <col min="3" max="3" width="10.1796875" bestFit="1" customWidth="1"/>
    <col min="4" max="4" width="7.453125" bestFit="1" customWidth="1"/>
    <col min="5" max="5" width="14.54296875" bestFit="1" customWidth="1"/>
    <col min="6" max="6" width="17.54296875" customWidth="1"/>
    <col min="7" max="7" width="8.81640625" customWidth="1"/>
    <col min="8" max="8" width="24" bestFit="1" customWidth="1"/>
    <col min="9" max="9" width="11.81640625" bestFit="1" customWidth="1"/>
    <col min="11" max="12" width="20.7265625" bestFit="1" customWidth="1"/>
    <col min="13" max="14" width="16.7265625" bestFit="1" customWidth="1"/>
    <col min="15" max="15" width="19.81640625" bestFit="1" customWidth="1"/>
    <col min="16" max="16" width="17.54296875" bestFit="1" customWidth="1"/>
  </cols>
  <sheetData>
    <row r="1" spans="1:19" x14ac:dyDescent="0.35">
      <c r="A1" s="112" t="s">
        <v>48</v>
      </c>
      <c r="B1" s="112"/>
      <c r="C1" s="112"/>
      <c r="D1" s="112"/>
    </row>
    <row r="2" spans="1:19" x14ac:dyDescent="0.35">
      <c r="A2" s="112"/>
      <c r="B2" s="112"/>
      <c r="C2" s="112"/>
      <c r="D2" s="112"/>
      <c r="M2" s="34"/>
      <c r="N2" s="34"/>
      <c r="O2" s="34"/>
    </row>
    <row r="3" spans="1:19" x14ac:dyDescent="0.35">
      <c r="D3" s="52"/>
      <c r="M3" s="51"/>
      <c r="N3" s="50"/>
      <c r="O3" s="34"/>
    </row>
    <row r="4" spans="1:19" x14ac:dyDescent="0.35">
      <c r="D4" s="34"/>
      <c r="M4" s="51"/>
      <c r="N4" s="50"/>
      <c r="O4" s="50"/>
    </row>
    <row r="5" spans="1:19" x14ac:dyDescent="0.35">
      <c r="D5" s="34"/>
      <c r="M5" s="51"/>
      <c r="N5" s="50"/>
      <c r="O5" s="50"/>
    </row>
    <row r="6" spans="1:19" x14ac:dyDescent="0.35">
      <c r="B6" s="31" t="s">
        <v>49</v>
      </c>
      <c r="C6" s="31" t="s">
        <v>50</v>
      </c>
      <c r="D6" s="34"/>
      <c r="E6" s="117" t="s">
        <v>51</v>
      </c>
      <c r="F6" s="118"/>
      <c r="H6" s="115" t="s">
        <v>52</v>
      </c>
      <c r="I6" s="116"/>
      <c r="K6" s="109" t="s">
        <v>53</v>
      </c>
      <c r="L6" s="110"/>
      <c r="M6" s="51"/>
      <c r="N6" s="50"/>
      <c r="O6" s="50"/>
    </row>
    <row r="7" spans="1:19" x14ac:dyDescent="0.35">
      <c r="B7" s="6" t="s">
        <v>54</v>
      </c>
      <c r="C7" s="6">
        <v>4183</v>
      </c>
      <c r="D7" s="34"/>
      <c r="M7" s="51"/>
      <c r="N7" s="50"/>
      <c r="O7" s="50"/>
      <c r="R7" s="34"/>
      <c r="S7" s="34"/>
    </row>
    <row r="8" spans="1:19" ht="29" x14ac:dyDescent="0.35">
      <c r="D8" s="34"/>
      <c r="E8" s="37" t="s">
        <v>55</v>
      </c>
      <c r="F8" s="32" t="s">
        <v>46</v>
      </c>
      <c r="H8" s="40" t="s">
        <v>56</v>
      </c>
      <c r="I8" s="39" t="s">
        <v>57</v>
      </c>
      <c r="K8" s="119" t="s">
        <v>58</v>
      </c>
      <c r="L8" s="120"/>
      <c r="M8" s="51"/>
      <c r="N8" s="50"/>
      <c r="O8" s="50"/>
      <c r="R8" s="34"/>
      <c r="S8" s="34"/>
    </row>
    <row r="9" spans="1:19" x14ac:dyDescent="0.35">
      <c r="B9" s="31" t="s">
        <v>59</v>
      </c>
      <c r="C9" s="31" t="s">
        <v>23</v>
      </c>
      <c r="D9" s="34"/>
      <c r="E9" s="1" t="s">
        <v>60</v>
      </c>
      <c r="F9" s="1">
        <v>1413</v>
      </c>
      <c r="H9" s="38" t="s">
        <v>61</v>
      </c>
      <c r="I9" s="38">
        <f>5.5+3.3*C28</f>
        <v>12.1</v>
      </c>
      <c r="K9" s="48" t="s">
        <v>62</v>
      </c>
      <c r="L9" s="48" t="s">
        <v>63</v>
      </c>
      <c r="M9" s="51"/>
      <c r="N9" s="50"/>
      <c r="O9" s="50"/>
      <c r="R9" s="34"/>
      <c r="S9" s="34"/>
    </row>
    <row r="10" spans="1:19" x14ac:dyDescent="0.35">
      <c r="B10" s="6" t="s">
        <v>26</v>
      </c>
      <c r="C10" s="1">
        <v>0.2132</v>
      </c>
      <c r="D10" s="34"/>
      <c r="H10" s="34"/>
      <c r="I10" s="34"/>
      <c r="K10" s="68">
        <f>(C13*C10+C43*F31-I13*F15*(0.5*C34-C37)+I20*F28*C40+I9*F31*C31+C34*C16*C10*C7)/(C16*C7*C10+0.5*I13*F15+I20*F28+I9*F31)</f>
        <v>291.66128845898055</v>
      </c>
      <c r="L10" s="68">
        <f>(K10-273.15)</f>
        <v>18.511288458980573</v>
      </c>
      <c r="M10" s="51"/>
      <c r="N10" s="50"/>
      <c r="O10" s="50"/>
      <c r="R10" s="34"/>
      <c r="S10" s="34"/>
    </row>
    <row r="11" spans="1:19" x14ac:dyDescent="0.35">
      <c r="D11" s="34"/>
      <c r="E11" s="31" t="s">
        <v>64</v>
      </c>
      <c r="F11" s="31" t="s">
        <v>46</v>
      </c>
      <c r="H11" s="113" t="s">
        <v>65</v>
      </c>
      <c r="I11" s="114"/>
      <c r="M11" s="51"/>
      <c r="N11" s="50"/>
      <c r="O11" s="50"/>
      <c r="R11" s="34"/>
      <c r="S11" s="34"/>
    </row>
    <row r="12" spans="1:19" ht="29" x14ac:dyDescent="0.35">
      <c r="B12" s="31" t="s">
        <v>66</v>
      </c>
      <c r="C12" s="31" t="s">
        <v>67</v>
      </c>
      <c r="D12" s="34"/>
      <c r="E12" s="6" t="s">
        <v>68</v>
      </c>
      <c r="F12" s="6">
        <f>0.2482/2</f>
        <v>0.1241</v>
      </c>
      <c r="H12" s="46" t="s">
        <v>69</v>
      </c>
      <c r="I12" s="47" t="s">
        <v>57</v>
      </c>
      <c r="K12" s="113" t="s">
        <v>70</v>
      </c>
      <c r="L12" s="114"/>
      <c r="M12" s="51"/>
      <c r="N12" s="50"/>
      <c r="O12" s="50"/>
      <c r="R12" s="34"/>
      <c r="S12" s="34"/>
    </row>
    <row r="13" spans="1:19" x14ac:dyDescent="0.35">
      <c r="B13" s="6" t="s">
        <v>71</v>
      </c>
      <c r="C13" s="1">
        <v>245250</v>
      </c>
      <c r="D13" s="34"/>
      <c r="H13" s="6" t="s">
        <v>72</v>
      </c>
      <c r="I13" s="68">
        <f>C52/(2*F12)*(0.6+(0.387*I16^(1/6))/(1+(0.559/I26)^(9/16))^(8/27))^2</f>
        <v>556.2109618940608</v>
      </c>
      <c r="K13" s="32" t="s">
        <v>62</v>
      </c>
      <c r="L13" s="32" t="s">
        <v>63</v>
      </c>
      <c r="M13" s="51"/>
      <c r="N13" s="50"/>
      <c r="O13" s="50"/>
      <c r="R13" s="34"/>
      <c r="S13" s="34"/>
    </row>
    <row r="14" spans="1:19" x14ac:dyDescent="0.35">
      <c r="D14" s="34"/>
      <c r="E14" s="31" t="s">
        <v>73</v>
      </c>
      <c r="F14" s="31" t="s">
        <v>74</v>
      </c>
      <c r="K14" s="60">
        <f>(C13*C10+C7*C16*C10*C34-F15*I13*(0.5*C34-C37))/(C7*C10*C16+F15*I13*0.5)</f>
        <v>291.05867947600308</v>
      </c>
      <c r="L14" s="60">
        <f>K14-273.15</f>
        <v>17.908679476003101</v>
      </c>
      <c r="M14" s="51"/>
      <c r="N14" s="50"/>
      <c r="O14" s="50"/>
      <c r="R14" s="34"/>
      <c r="S14" s="34"/>
    </row>
    <row r="15" spans="1:19" x14ac:dyDescent="0.35">
      <c r="B15" s="32" t="s">
        <v>75</v>
      </c>
      <c r="C15" s="32" t="s">
        <v>37</v>
      </c>
      <c r="D15" s="34"/>
      <c r="E15" s="6" t="s">
        <v>76</v>
      </c>
      <c r="F15" s="68">
        <f>2*3.14*F12*F9</f>
        <v>1101.2187240000001</v>
      </c>
      <c r="H15" s="32" t="s">
        <v>77</v>
      </c>
      <c r="I15" s="32" t="s">
        <v>78</v>
      </c>
      <c r="M15" s="51"/>
      <c r="N15" s="50"/>
      <c r="O15" s="50"/>
      <c r="R15" s="34"/>
      <c r="S15" s="34"/>
    </row>
    <row r="16" spans="1:19" x14ac:dyDescent="0.35">
      <c r="B16" s="1" t="s">
        <v>38</v>
      </c>
      <c r="C16" s="1">
        <v>1000</v>
      </c>
      <c r="D16" s="34"/>
      <c r="H16" s="1" t="s">
        <v>79</v>
      </c>
      <c r="I16" s="1">
        <f>((C19-C22)*(F12+F12)^3*C49)/(C46*I29)</f>
        <v>4182837032.7762585</v>
      </c>
      <c r="M16" s="51"/>
      <c r="N16" s="50"/>
      <c r="O16" s="50"/>
      <c r="R16" s="34"/>
      <c r="S16" s="34"/>
    </row>
    <row r="17" spans="2:19" x14ac:dyDescent="0.35">
      <c r="M17" s="51"/>
      <c r="N17" s="50"/>
      <c r="O17" s="50"/>
      <c r="R17" s="34"/>
      <c r="S17" s="34"/>
    </row>
    <row r="18" spans="2:19" x14ac:dyDescent="0.35">
      <c r="B18" s="32" t="s">
        <v>80</v>
      </c>
      <c r="C18" s="32" t="s">
        <v>37</v>
      </c>
      <c r="E18" s="39" t="s">
        <v>81</v>
      </c>
      <c r="F18" s="39" t="s">
        <v>46</v>
      </c>
      <c r="H18" s="113" t="s">
        <v>65</v>
      </c>
      <c r="I18" s="114"/>
      <c r="M18" s="51"/>
      <c r="N18" s="50"/>
      <c r="O18" s="50"/>
      <c r="R18" s="34"/>
      <c r="S18" s="34"/>
    </row>
    <row r="19" spans="2:19" ht="29" x14ac:dyDescent="0.35">
      <c r="B19" s="1" t="s">
        <v>82</v>
      </c>
      <c r="C19" s="1">
        <v>1000</v>
      </c>
      <c r="E19" s="38" t="s">
        <v>83</v>
      </c>
      <c r="F19" s="38">
        <v>25</v>
      </c>
      <c r="H19" s="45" t="s">
        <v>84</v>
      </c>
      <c r="I19" s="41" t="s">
        <v>57</v>
      </c>
      <c r="M19" s="51"/>
      <c r="N19" s="50"/>
      <c r="O19" s="50"/>
      <c r="R19" s="34"/>
      <c r="S19" s="34"/>
    </row>
    <row r="20" spans="2:19" x14ac:dyDescent="0.35">
      <c r="H20" s="38" t="s">
        <v>85</v>
      </c>
      <c r="I20" s="69">
        <f>C52/(2*F19)*(0.6+(0.387*I23^(1/6))/(1+(0.559/I26)^(9/16))^(8/27))^2</f>
        <v>113.27388731969161</v>
      </c>
      <c r="M20" s="51"/>
      <c r="N20" s="50"/>
      <c r="O20" s="50"/>
      <c r="R20" s="34"/>
      <c r="S20" s="34"/>
    </row>
    <row r="21" spans="2:19" x14ac:dyDescent="0.35">
      <c r="B21" s="32" t="s">
        <v>86</v>
      </c>
      <c r="C21" s="32" t="s">
        <v>37</v>
      </c>
      <c r="E21" s="39" t="s">
        <v>87</v>
      </c>
      <c r="F21" s="39" t="s">
        <v>46</v>
      </c>
      <c r="M21" s="50"/>
      <c r="N21" s="50"/>
      <c r="O21" s="50"/>
      <c r="R21" s="34"/>
      <c r="S21" s="34"/>
    </row>
    <row r="22" spans="2:19" x14ac:dyDescent="0.35">
      <c r="B22" s="1" t="s">
        <v>88</v>
      </c>
      <c r="C22" s="1">
        <v>996</v>
      </c>
      <c r="E22" s="38" t="s">
        <v>89</v>
      </c>
      <c r="F22" s="69">
        <f>(F19^2+F25^2)/(2*F25)</f>
        <v>32.041666666666664</v>
      </c>
      <c r="H22" s="32" t="s">
        <v>90</v>
      </c>
      <c r="I22" s="32" t="s">
        <v>78</v>
      </c>
      <c r="R22" s="34"/>
      <c r="S22" s="34"/>
    </row>
    <row r="23" spans="2:19" x14ac:dyDescent="0.35">
      <c r="H23" s="1" t="s">
        <v>79</v>
      </c>
      <c r="I23" s="70">
        <f>((C25-C22)*F25^3*C49)/(C46*I29)</f>
        <v>354544387200000.06</v>
      </c>
      <c r="R23" s="34"/>
      <c r="S23" s="34"/>
    </row>
    <row r="24" spans="2:19" x14ac:dyDescent="0.35">
      <c r="B24" s="32" t="s">
        <v>91</v>
      </c>
      <c r="C24" s="32" t="s">
        <v>37</v>
      </c>
      <c r="E24" s="39" t="s">
        <v>92</v>
      </c>
      <c r="F24" s="39" t="s">
        <v>46</v>
      </c>
      <c r="R24" s="34"/>
      <c r="S24" s="34"/>
    </row>
    <row r="25" spans="2:19" x14ac:dyDescent="0.35">
      <c r="B25" s="1" t="s">
        <v>93</v>
      </c>
      <c r="C25" s="1">
        <v>999</v>
      </c>
      <c r="E25" s="38" t="s">
        <v>94</v>
      </c>
      <c r="F25" s="38">
        <v>12</v>
      </c>
      <c r="H25" s="32" t="s">
        <v>95</v>
      </c>
      <c r="I25" s="32" t="s">
        <v>78</v>
      </c>
      <c r="R25" s="34"/>
      <c r="S25" s="34"/>
    </row>
    <row r="26" spans="2:19" x14ac:dyDescent="0.35">
      <c r="H26" s="1" t="s">
        <v>96</v>
      </c>
      <c r="I26" s="60">
        <f>C7*C46/C52</f>
        <v>6.9716666666666667</v>
      </c>
      <c r="R26" s="34"/>
      <c r="S26" s="34"/>
    </row>
    <row r="27" spans="2:19" ht="29" x14ac:dyDescent="0.35">
      <c r="B27" s="39" t="s">
        <v>97</v>
      </c>
      <c r="C27" s="39" t="s">
        <v>98</v>
      </c>
      <c r="E27" s="40" t="s">
        <v>99</v>
      </c>
      <c r="F27" s="39" t="s">
        <v>74</v>
      </c>
      <c r="R27" s="34"/>
      <c r="S27" s="34"/>
    </row>
    <row r="28" spans="2:19" x14ac:dyDescent="0.35">
      <c r="B28" s="38" t="s">
        <v>100</v>
      </c>
      <c r="C28" s="38">
        <v>2</v>
      </c>
      <c r="E28" s="38" t="s">
        <v>101</v>
      </c>
      <c r="F28" s="38">
        <f>2*3.14*F22*F25</f>
        <v>2414.66</v>
      </c>
      <c r="H28" s="32" t="s">
        <v>102</v>
      </c>
      <c r="I28" s="32" t="s">
        <v>103</v>
      </c>
      <c r="R28" s="34"/>
      <c r="S28" s="34"/>
    </row>
    <row r="29" spans="2:19" x14ac:dyDescent="0.35">
      <c r="H29" s="1" t="s">
        <v>104</v>
      </c>
      <c r="I29" s="70">
        <f>C52/(C19*C7)</f>
        <v>1.4343772412144393E-7</v>
      </c>
      <c r="R29" s="34"/>
      <c r="S29" s="34"/>
    </row>
    <row r="30" spans="2:19" ht="29" x14ac:dyDescent="0.35">
      <c r="B30" s="39" t="s">
        <v>105</v>
      </c>
      <c r="C30" s="39" t="s">
        <v>106</v>
      </c>
      <c r="E30" s="40" t="s">
        <v>107</v>
      </c>
      <c r="F30" s="39" t="s">
        <v>74</v>
      </c>
      <c r="R30" s="34"/>
      <c r="S30" s="34"/>
    </row>
    <row r="31" spans="2:19" x14ac:dyDescent="0.35">
      <c r="B31" s="38" t="s">
        <v>108</v>
      </c>
      <c r="C31" s="38">
        <f>25+273.15</f>
        <v>298.14999999999998</v>
      </c>
      <c r="E31" s="38" t="s">
        <v>109</v>
      </c>
      <c r="F31" s="38">
        <f>3.14*F19^2</f>
        <v>1962.5</v>
      </c>
      <c r="R31" s="34"/>
      <c r="S31" s="34"/>
    </row>
    <row r="32" spans="2:19" x14ac:dyDescent="0.35">
      <c r="R32" s="34"/>
      <c r="S32" s="34"/>
    </row>
    <row r="33" spans="2:19" x14ac:dyDescent="0.35">
      <c r="B33" s="39" t="s">
        <v>110</v>
      </c>
      <c r="C33" s="39" t="s">
        <v>106</v>
      </c>
      <c r="R33" s="34"/>
      <c r="S33" s="34"/>
    </row>
    <row r="34" spans="2:19" x14ac:dyDescent="0.35">
      <c r="B34" s="38" t="s">
        <v>111</v>
      </c>
      <c r="C34" s="38">
        <f>24+273.15</f>
        <v>297.14999999999998</v>
      </c>
      <c r="R34" s="34"/>
      <c r="S34" s="34"/>
    </row>
    <row r="35" spans="2:19" x14ac:dyDescent="0.35">
      <c r="R35" s="34"/>
      <c r="S35" s="34"/>
    </row>
    <row r="36" spans="2:19" x14ac:dyDescent="0.35">
      <c r="B36" s="39" t="s">
        <v>112</v>
      </c>
      <c r="C36" s="39" t="s">
        <v>106</v>
      </c>
      <c r="N36" s="111"/>
      <c r="O36" s="111"/>
      <c r="R36" s="34"/>
      <c r="S36" s="34"/>
    </row>
    <row r="37" spans="2:19" x14ac:dyDescent="0.35">
      <c r="B37" s="38" t="s">
        <v>113</v>
      </c>
      <c r="C37" s="38">
        <f>12+273.15</f>
        <v>285.14999999999998</v>
      </c>
      <c r="N37" s="34"/>
      <c r="O37" s="34"/>
      <c r="R37" s="34"/>
      <c r="S37" s="34"/>
    </row>
    <row r="38" spans="2:19" x14ac:dyDescent="0.35">
      <c r="N38" s="34"/>
      <c r="O38" s="34"/>
      <c r="R38" s="34"/>
      <c r="S38" s="34"/>
    </row>
    <row r="39" spans="2:19" x14ac:dyDescent="0.35">
      <c r="B39" s="39" t="s">
        <v>114</v>
      </c>
      <c r="C39" s="39" t="s">
        <v>106</v>
      </c>
      <c r="N39" s="34"/>
      <c r="O39" s="34"/>
      <c r="R39" s="34"/>
      <c r="S39" s="34"/>
    </row>
    <row r="40" spans="2:19" x14ac:dyDescent="0.35">
      <c r="B40" s="38" t="s">
        <v>115</v>
      </c>
      <c r="C40" s="38">
        <f>17+273.15</f>
        <v>290.14999999999998</v>
      </c>
      <c r="N40" s="34"/>
      <c r="O40" s="34"/>
      <c r="R40" s="34"/>
      <c r="S40" s="34"/>
    </row>
    <row r="41" spans="2:19" x14ac:dyDescent="0.35">
      <c r="N41" s="34"/>
      <c r="O41" s="34"/>
      <c r="R41" s="34"/>
      <c r="S41" s="34"/>
    </row>
    <row r="42" spans="2:19" x14ac:dyDescent="0.35">
      <c r="B42" s="39" t="s">
        <v>116</v>
      </c>
      <c r="C42" s="39" t="s">
        <v>117</v>
      </c>
      <c r="N42" s="34"/>
      <c r="O42" s="34"/>
      <c r="R42" s="34"/>
      <c r="S42" s="34"/>
    </row>
    <row r="43" spans="2:19" x14ac:dyDescent="0.35">
      <c r="B43" s="38" t="s">
        <v>118</v>
      </c>
      <c r="C43" s="38">
        <v>500</v>
      </c>
      <c r="G43" s="33"/>
      <c r="N43" s="34"/>
      <c r="O43" s="34"/>
      <c r="R43" s="34"/>
      <c r="S43" s="34"/>
    </row>
    <row r="44" spans="2:19" x14ac:dyDescent="0.35">
      <c r="N44" s="34"/>
      <c r="O44" s="34"/>
      <c r="R44" s="34"/>
      <c r="S44" s="34"/>
    </row>
    <row r="45" spans="2:19" x14ac:dyDescent="0.35">
      <c r="B45" s="32" t="s">
        <v>39</v>
      </c>
      <c r="C45" s="32" t="s">
        <v>40</v>
      </c>
      <c r="L45" s="50"/>
      <c r="M45" s="54"/>
      <c r="N45" s="34"/>
      <c r="O45" s="34"/>
      <c r="R45" s="34"/>
      <c r="S45" s="34"/>
    </row>
    <row r="46" spans="2:19" x14ac:dyDescent="0.35">
      <c r="B46" s="3" t="s">
        <v>41</v>
      </c>
      <c r="C46" s="1">
        <f>1*10^(-3)</f>
        <v>1E-3</v>
      </c>
      <c r="L46" s="50"/>
      <c r="M46" s="54"/>
      <c r="N46" s="34"/>
      <c r="O46" s="34"/>
      <c r="R46" s="34"/>
      <c r="S46" s="34"/>
    </row>
    <row r="47" spans="2:19" x14ac:dyDescent="0.35">
      <c r="L47" s="50"/>
      <c r="M47" s="54"/>
      <c r="N47" s="34"/>
      <c r="O47" s="34"/>
      <c r="P47" s="56"/>
      <c r="R47" s="34"/>
      <c r="S47" s="34"/>
    </row>
    <row r="48" spans="2:19" x14ac:dyDescent="0.35">
      <c r="B48" s="32" t="s">
        <v>42</v>
      </c>
      <c r="C48" s="32" t="s">
        <v>43</v>
      </c>
      <c r="N48" s="34"/>
      <c r="O48" s="34"/>
      <c r="R48" s="34"/>
      <c r="S48" s="34"/>
    </row>
    <row r="49" spans="2:19" x14ac:dyDescent="0.35">
      <c r="B49" s="1" t="s">
        <v>44</v>
      </c>
      <c r="C49" s="1">
        <v>9.81</v>
      </c>
      <c r="R49" s="34"/>
      <c r="S49" s="34"/>
    </row>
    <row r="50" spans="2:19" x14ac:dyDescent="0.35">
      <c r="R50" s="34"/>
      <c r="S50" s="34"/>
    </row>
    <row r="51" spans="2:19" x14ac:dyDescent="0.35">
      <c r="B51" s="32" t="s">
        <v>119</v>
      </c>
      <c r="C51" s="32" t="s">
        <v>120</v>
      </c>
      <c r="R51" s="34"/>
      <c r="S51" s="34"/>
    </row>
    <row r="52" spans="2:19" x14ac:dyDescent="0.35">
      <c r="B52" s="1" t="s">
        <v>121</v>
      </c>
      <c r="C52" s="1">
        <v>0.6</v>
      </c>
      <c r="R52" s="34"/>
      <c r="S52" s="34"/>
    </row>
    <row r="53" spans="2:19" x14ac:dyDescent="0.35">
      <c r="R53" s="34"/>
      <c r="S53" s="34"/>
    </row>
    <row r="54" spans="2:19" x14ac:dyDescent="0.35">
      <c r="B54" s="32" t="s">
        <v>122</v>
      </c>
      <c r="C54" s="32" t="s">
        <v>106</v>
      </c>
      <c r="R54" s="34"/>
      <c r="S54" s="34"/>
    </row>
    <row r="55" spans="2:19" ht="14.5" customHeight="1" x14ac:dyDescent="0.35">
      <c r="B55" s="1" t="s">
        <v>123</v>
      </c>
      <c r="C55" s="1">
        <f>12+273.15</f>
        <v>285.14999999999998</v>
      </c>
      <c r="R55" s="34"/>
      <c r="S55" s="34"/>
    </row>
    <row r="56" spans="2:19" x14ac:dyDescent="0.35">
      <c r="R56" s="34"/>
      <c r="S56" s="34"/>
    </row>
    <row r="57" spans="2:19" x14ac:dyDescent="0.35">
      <c r="R57" s="34"/>
      <c r="S57" s="34"/>
    </row>
    <row r="58" spans="2:19" x14ac:dyDescent="0.35">
      <c r="R58" s="34"/>
      <c r="S58" s="34"/>
    </row>
    <row r="59" spans="2:19" x14ac:dyDescent="0.35">
      <c r="R59" s="34"/>
      <c r="S59" s="34"/>
    </row>
    <row r="60" spans="2:19" x14ac:dyDescent="0.35">
      <c r="R60" s="34"/>
      <c r="S60" s="34"/>
    </row>
    <row r="61" spans="2:19" x14ac:dyDescent="0.35">
      <c r="R61" s="34"/>
      <c r="S61" s="34"/>
    </row>
    <row r="62" spans="2:19" x14ac:dyDescent="0.35">
      <c r="R62" s="34"/>
      <c r="S62" s="34"/>
    </row>
    <row r="63" spans="2:19" x14ac:dyDescent="0.35">
      <c r="R63" s="34"/>
      <c r="S63" s="34"/>
    </row>
    <row r="64" spans="2:19" x14ac:dyDescent="0.35">
      <c r="R64" s="34"/>
      <c r="S64" s="34"/>
    </row>
    <row r="65" spans="18:19" x14ac:dyDescent="0.35">
      <c r="R65" s="34"/>
      <c r="S65" s="34"/>
    </row>
    <row r="66" spans="18:19" x14ac:dyDescent="0.35">
      <c r="R66" s="34"/>
      <c r="S66" s="34"/>
    </row>
    <row r="67" spans="18:19" x14ac:dyDescent="0.35">
      <c r="R67" s="34"/>
      <c r="S67" s="34"/>
    </row>
    <row r="68" spans="18:19" x14ac:dyDescent="0.35">
      <c r="R68" s="34"/>
      <c r="S68" s="34"/>
    </row>
    <row r="69" spans="18:19" x14ac:dyDescent="0.35">
      <c r="R69" s="34"/>
      <c r="S69" s="34"/>
    </row>
    <row r="70" spans="18:19" x14ac:dyDescent="0.35">
      <c r="R70" s="34"/>
      <c r="S70" s="34"/>
    </row>
    <row r="71" spans="18:19" x14ac:dyDescent="0.35">
      <c r="R71" s="34"/>
      <c r="S71" s="34"/>
    </row>
    <row r="72" spans="18:19" x14ac:dyDescent="0.35">
      <c r="R72" s="34"/>
      <c r="S72" s="34"/>
    </row>
    <row r="73" spans="18:19" x14ac:dyDescent="0.35">
      <c r="R73" s="34"/>
      <c r="S73" s="34"/>
    </row>
    <row r="74" spans="18:19" x14ac:dyDescent="0.35">
      <c r="R74" s="34"/>
      <c r="S74" s="34"/>
    </row>
    <row r="75" spans="18:19" x14ac:dyDescent="0.35">
      <c r="R75" s="34"/>
      <c r="S75" s="34"/>
    </row>
    <row r="76" spans="18:19" x14ac:dyDescent="0.35">
      <c r="R76" s="34"/>
      <c r="S76" s="34"/>
    </row>
    <row r="77" spans="18:19" x14ac:dyDescent="0.35">
      <c r="R77" s="34"/>
      <c r="S77" s="34"/>
    </row>
    <row r="78" spans="18:19" x14ac:dyDescent="0.35">
      <c r="R78" s="34"/>
      <c r="S78" s="34"/>
    </row>
    <row r="79" spans="18:19" x14ac:dyDescent="0.35">
      <c r="R79" s="34"/>
      <c r="S79" s="34"/>
    </row>
  </sheetData>
  <mergeCells count="9">
    <mergeCell ref="K6:L6"/>
    <mergeCell ref="N36:O36"/>
    <mergeCell ref="A1:D2"/>
    <mergeCell ref="H11:I11"/>
    <mergeCell ref="H18:I18"/>
    <mergeCell ref="H6:I6"/>
    <mergeCell ref="E6:F6"/>
    <mergeCell ref="K8:L8"/>
    <mergeCell ref="K12:L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EE2D-3914-4357-A421-9A53B6F3E760}">
  <sheetPr>
    <tabColor rgb="FFCDACE6"/>
  </sheetPr>
  <dimension ref="A1:N23"/>
  <sheetViews>
    <sheetView topLeftCell="O1" zoomScaleNormal="100" workbookViewId="0">
      <selection activeCell="V6" sqref="V6"/>
    </sheetView>
  </sheetViews>
  <sheetFormatPr baseColWidth="10" defaultColWidth="11.453125" defaultRowHeight="14.5" x14ac:dyDescent="0.35"/>
  <cols>
    <col min="2" max="2" width="16.7265625" bestFit="1" customWidth="1"/>
    <col min="5" max="5" width="11.453125" bestFit="1" customWidth="1"/>
    <col min="9" max="9" width="17.81640625" bestFit="1" customWidth="1"/>
    <col min="11" max="12" width="18" bestFit="1" customWidth="1"/>
    <col min="13" max="13" width="20.1796875" bestFit="1" customWidth="1"/>
    <col min="14" max="14" width="28.453125" bestFit="1" customWidth="1"/>
  </cols>
  <sheetData>
    <row r="1" spans="1:14" x14ac:dyDescent="0.35">
      <c r="A1" s="121" t="s">
        <v>124</v>
      </c>
      <c r="B1" s="121"/>
      <c r="C1" s="121"/>
      <c r="D1" s="121"/>
    </row>
    <row r="2" spans="1:14" x14ac:dyDescent="0.35">
      <c r="A2" s="121"/>
      <c r="B2" s="121"/>
      <c r="C2" s="121"/>
      <c r="D2" s="121"/>
    </row>
    <row r="3" spans="1:14" x14ac:dyDescent="0.35">
      <c r="A3" s="121"/>
      <c r="B3" s="121"/>
      <c r="C3" s="121"/>
      <c r="D3" s="121"/>
    </row>
    <row r="5" spans="1:14" x14ac:dyDescent="0.35">
      <c r="B5" s="50"/>
      <c r="C5" s="50"/>
      <c r="H5" s="122" t="s">
        <v>125</v>
      </c>
      <c r="I5" s="122"/>
    </row>
    <row r="7" spans="1:14" x14ac:dyDescent="0.35">
      <c r="B7" s="57" t="s">
        <v>126</v>
      </c>
      <c r="C7" s="57" t="s">
        <v>127</v>
      </c>
      <c r="E7" s="57" t="s">
        <v>128</v>
      </c>
      <c r="F7" s="57" t="s">
        <v>129</v>
      </c>
      <c r="H7" s="90" t="s">
        <v>130</v>
      </c>
      <c r="I7" s="89" t="s">
        <v>131</v>
      </c>
      <c r="K7" s="92" t="s">
        <v>132</v>
      </c>
      <c r="L7" s="94" t="s">
        <v>133</v>
      </c>
      <c r="M7" s="93" t="s">
        <v>134</v>
      </c>
      <c r="N7" s="92" t="s">
        <v>135</v>
      </c>
    </row>
    <row r="8" spans="1:14" x14ac:dyDescent="0.35">
      <c r="B8" s="49" t="s">
        <v>71</v>
      </c>
      <c r="C8" s="1">
        <v>61100</v>
      </c>
      <c r="E8" s="1" t="s">
        <v>136</v>
      </c>
      <c r="F8" s="61">
        <f>C23*C20*C17*(C11-C14)/1000</f>
        <v>1836.0190919999945</v>
      </c>
      <c r="H8" s="1">
        <v>1</v>
      </c>
      <c r="I8" s="91">
        <f>H8*C17*24*3600</f>
        <v>4800.384</v>
      </c>
      <c r="K8" s="6">
        <v>19</v>
      </c>
      <c r="L8" s="95">
        <f>19+273.15</f>
        <v>292.14999999999998</v>
      </c>
      <c r="M8" s="100">
        <f>C23*C20*C17*(L8-C14)</f>
        <v>2091667.3199999998</v>
      </c>
      <c r="N8" s="85">
        <f>F11+M8/1000</f>
        <v>2096.5169142857144</v>
      </c>
    </row>
    <row r="9" spans="1:14" x14ac:dyDescent="0.35">
      <c r="B9" s="53"/>
      <c r="H9" s="1">
        <v>2</v>
      </c>
      <c r="I9" s="1">
        <f>H9*C17*24*3600</f>
        <v>9600.768</v>
      </c>
      <c r="K9" s="6">
        <v>18</v>
      </c>
      <c r="L9" s="30">
        <f>18+273.15</f>
        <v>291.14999999999998</v>
      </c>
      <c r="M9" s="97">
        <f>C23*C20*C17*(L9-C14)</f>
        <v>1859259.8399999999</v>
      </c>
      <c r="N9" s="87">
        <f>F11+M9/1000</f>
        <v>1864.1094342857143</v>
      </c>
    </row>
    <row r="10" spans="1:14" x14ac:dyDescent="0.35">
      <c r="B10" s="57" t="s">
        <v>137</v>
      </c>
      <c r="C10" s="57" t="s">
        <v>106</v>
      </c>
      <c r="E10" s="57" t="s">
        <v>138</v>
      </c>
      <c r="F10" s="57" t="s">
        <v>129</v>
      </c>
      <c r="H10" s="1">
        <v>3</v>
      </c>
      <c r="I10" s="1">
        <f>H10*C17*24*3600</f>
        <v>14401.152000000002</v>
      </c>
      <c r="K10" s="6">
        <v>17</v>
      </c>
      <c r="L10" s="30">
        <f>17+273.15</f>
        <v>290.14999999999998</v>
      </c>
      <c r="M10" s="98">
        <f>C23*C20*C17*(L10-C14)</f>
        <v>1626852.3599999999</v>
      </c>
      <c r="N10" s="101">
        <f>F11+M10/1000</f>
        <v>1631.7019542857142</v>
      </c>
    </row>
    <row r="11" spans="1:14" x14ac:dyDescent="0.35">
      <c r="B11" s="1" t="s">
        <v>139</v>
      </c>
      <c r="C11" s="1">
        <f>17.9+273.15</f>
        <v>291.04999999999995</v>
      </c>
      <c r="E11" s="1" t="s">
        <v>140</v>
      </c>
      <c r="F11" s="61">
        <f>((C17*C8)/0.7)/1000</f>
        <v>4.8495942857142857</v>
      </c>
      <c r="K11" s="6">
        <v>16</v>
      </c>
      <c r="L11" s="30">
        <f>16+273.15</f>
        <v>289.14999999999998</v>
      </c>
      <c r="M11" s="6">
        <f>C23*C20*C17*(L11-C14)</f>
        <v>1394444.88</v>
      </c>
      <c r="N11" s="88">
        <f>F11+M11/1000</f>
        <v>1399.2944742857142</v>
      </c>
    </row>
    <row r="12" spans="1:14" x14ac:dyDescent="0.35">
      <c r="K12" s="6">
        <v>15</v>
      </c>
      <c r="L12" s="30">
        <f>15+273.15</f>
        <v>288.14999999999998</v>
      </c>
      <c r="M12" s="6">
        <f>C23*C20*C17*(L12-C14)</f>
        <v>1162037.3999999999</v>
      </c>
      <c r="N12" s="86">
        <f>F11+M12/1000</f>
        <v>1166.8869942857143</v>
      </c>
    </row>
    <row r="13" spans="1:14" x14ac:dyDescent="0.35">
      <c r="B13" s="58" t="s">
        <v>141</v>
      </c>
      <c r="C13" s="57" t="s">
        <v>106</v>
      </c>
      <c r="E13" s="57" t="s">
        <v>142</v>
      </c>
      <c r="F13" s="57" t="s">
        <v>129</v>
      </c>
      <c r="K13" s="6">
        <v>14</v>
      </c>
      <c r="L13" s="30">
        <f>14+273.15</f>
        <v>287.14999999999998</v>
      </c>
      <c r="M13" s="6">
        <f>C23*C20*C17*(L13-C14)</f>
        <v>929629.91999999993</v>
      </c>
      <c r="N13" s="86">
        <f>F11+M13/1000</f>
        <v>934.47951428571423</v>
      </c>
    </row>
    <row r="14" spans="1:14" x14ac:dyDescent="0.35">
      <c r="B14" s="1" t="s">
        <v>143</v>
      </c>
      <c r="C14" s="1">
        <f>10+273.15</f>
        <v>283.14999999999998</v>
      </c>
      <c r="E14" s="1" t="s">
        <v>144</v>
      </c>
      <c r="F14" s="61">
        <f>F8+F11</f>
        <v>1840.8686862857089</v>
      </c>
      <c r="K14" s="6">
        <v>13</v>
      </c>
      <c r="L14" s="30">
        <f>13+273.15</f>
        <v>286.14999999999998</v>
      </c>
      <c r="M14" s="97">
        <f>C23*C20*C17*(L14-C14)</f>
        <v>697222.44</v>
      </c>
      <c r="N14" s="86">
        <f>F11+M14/1000</f>
        <v>702.07203428571415</v>
      </c>
    </row>
    <row r="15" spans="1:14" x14ac:dyDescent="0.35">
      <c r="B15" s="55"/>
      <c r="K15" s="6">
        <v>12</v>
      </c>
      <c r="L15" s="30">
        <f>12+273.15</f>
        <v>285.14999999999998</v>
      </c>
      <c r="M15" s="6">
        <f>C23*C20*C17*(L15-C14)</f>
        <v>464814.95999999996</v>
      </c>
      <c r="N15" s="86">
        <f>F11+M15/1000</f>
        <v>469.66455428571425</v>
      </c>
    </row>
    <row r="16" spans="1:14" x14ac:dyDescent="0.35">
      <c r="B16" s="59" t="s">
        <v>22</v>
      </c>
      <c r="C16" s="59" t="s">
        <v>23</v>
      </c>
      <c r="K16" s="6">
        <v>11</v>
      </c>
      <c r="L16" s="96">
        <f>11+273.15</f>
        <v>284.14999999999998</v>
      </c>
      <c r="M16" s="99">
        <f>C23*C20*C17*(L16-C14)</f>
        <v>232407.47999999998</v>
      </c>
      <c r="N16" s="87">
        <f>F11+M16/1000</f>
        <v>237.25707428571428</v>
      </c>
    </row>
    <row r="17" spans="2:14" x14ac:dyDescent="0.35">
      <c r="B17" s="6" t="s">
        <v>26</v>
      </c>
      <c r="C17" s="67">
        <v>5.5559999999999998E-2</v>
      </c>
      <c r="K17" s="6">
        <v>10</v>
      </c>
      <c r="L17" s="30">
        <f>10+273.15</f>
        <v>283.14999999999998</v>
      </c>
      <c r="M17" s="6">
        <f>C23*C20*C17*(L17-C14)</f>
        <v>0</v>
      </c>
      <c r="N17" s="86">
        <f>F11+M17/1000</f>
        <v>4.8495942857142857</v>
      </c>
    </row>
    <row r="19" spans="2:14" x14ac:dyDescent="0.35">
      <c r="B19" s="59" t="s">
        <v>49</v>
      </c>
      <c r="C19" s="59" t="s">
        <v>50</v>
      </c>
    </row>
    <row r="20" spans="2:14" x14ac:dyDescent="0.35">
      <c r="B20" s="6" t="s">
        <v>54</v>
      </c>
      <c r="C20" s="6">
        <v>4183</v>
      </c>
    </row>
    <row r="22" spans="2:14" x14ac:dyDescent="0.35">
      <c r="B22" s="57" t="s">
        <v>75</v>
      </c>
      <c r="C22" s="57" t="s">
        <v>37</v>
      </c>
    </row>
    <row r="23" spans="2:14" x14ac:dyDescent="0.35">
      <c r="B23" s="1" t="s">
        <v>38</v>
      </c>
      <c r="C23" s="1">
        <v>1000</v>
      </c>
    </row>
  </sheetData>
  <mergeCells count="2">
    <mergeCell ref="A1:D3"/>
    <mergeCell ref="H5:I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2EEA-A380-4E6B-B828-C1BE550069EC}">
  <sheetPr>
    <tabColor theme="4" tint="0.39997558519241921"/>
  </sheetPr>
  <dimension ref="A1:D77"/>
  <sheetViews>
    <sheetView topLeftCell="A4" workbookViewId="0">
      <selection activeCell="M8" sqref="M8"/>
    </sheetView>
  </sheetViews>
  <sheetFormatPr baseColWidth="10" defaultColWidth="11.453125" defaultRowHeight="14.5" x14ac:dyDescent="0.35"/>
  <cols>
    <col min="3" max="3" width="17.453125" bestFit="1" customWidth="1"/>
  </cols>
  <sheetData>
    <row r="1" spans="1:4" x14ac:dyDescent="0.35">
      <c r="A1" s="123" t="s">
        <v>116</v>
      </c>
      <c r="B1" s="123"/>
      <c r="C1" s="123"/>
      <c r="D1" s="123"/>
    </row>
    <row r="2" spans="1:4" x14ac:dyDescent="0.35">
      <c r="A2" s="123"/>
      <c r="B2" s="123"/>
      <c r="C2" s="123"/>
      <c r="D2" s="123"/>
    </row>
    <row r="3" spans="1:4" x14ac:dyDescent="0.35">
      <c r="A3" s="123"/>
      <c r="B3" s="123"/>
      <c r="C3" s="123"/>
      <c r="D3" s="123"/>
    </row>
    <row r="6" spans="1:4" x14ac:dyDescent="0.35">
      <c r="B6" s="64" t="s">
        <v>145</v>
      </c>
      <c r="C6" s="64" t="s">
        <v>146</v>
      </c>
    </row>
    <row r="7" spans="1:4" x14ac:dyDescent="0.35">
      <c r="B7" s="62">
        <v>4</v>
      </c>
      <c r="C7" s="1">
        <v>0</v>
      </c>
    </row>
    <row r="8" spans="1:4" x14ac:dyDescent="0.35">
      <c r="B8" s="62">
        <v>5.0774999999999997</v>
      </c>
      <c r="C8" s="61">
        <v>22.764230000000001</v>
      </c>
    </row>
    <row r="9" spans="1:4" x14ac:dyDescent="0.35">
      <c r="B9" s="62">
        <v>5.5085100000000002</v>
      </c>
      <c r="C9" s="61">
        <v>22.764230000000001</v>
      </c>
    </row>
    <row r="10" spans="1:4" x14ac:dyDescent="0.35">
      <c r="B10" s="62">
        <v>6.0113399999999997</v>
      </c>
      <c r="C10" s="61">
        <v>52.032519999999998</v>
      </c>
    </row>
    <row r="11" spans="1:4" x14ac:dyDescent="0.35">
      <c r="B11" s="62">
        <v>6.3345900000000004</v>
      </c>
      <c r="C11" s="61">
        <v>48.78049</v>
      </c>
    </row>
    <row r="12" spans="1:4" x14ac:dyDescent="0.35">
      <c r="B12" s="62">
        <v>6.6219299999999999</v>
      </c>
      <c r="C12" s="61">
        <v>65.040649999999999</v>
      </c>
    </row>
    <row r="13" spans="1:4" x14ac:dyDescent="0.35">
      <c r="B13" s="62">
        <v>7.1606800000000002</v>
      </c>
      <c r="C13" s="61">
        <v>162.60163</v>
      </c>
    </row>
    <row r="14" spans="1:4" x14ac:dyDescent="0.35">
      <c r="B14" s="62">
        <v>7.3761799999999997</v>
      </c>
      <c r="C14" s="61">
        <v>68.292680000000004</v>
      </c>
    </row>
    <row r="15" spans="1:4" x14ac:dyDescent="0.35">
      <c r="B15" s="62">
        <v>7.6994300000000004</v>
      </c>
      <c r="C15" s="61">
        <v>68.292680000000004</v>
      </c>
    </row>
    <row r="16" spans="1:4" x14ac:dyDescent="0.35">
      <c r="B16" s="62">
        <v>7.8790199999999997</v>
      </c>
      <c r="C16" s="61">
        <v>55.284550000000003</v>
      </c>
    </row>
    <row r="17" spans="2:3" x14ac:dyDescent="0.35">
      <c r="B17" s="62">
        <v>8.0945199999999993</v>
      </c>
      <c r="C17" s="61">
        <v>29.26829</v>
      </c>
    </row>
    <row r="18" spans="2:3" x14ac:dyDescent="0.35">
      <c r="B18" s="62">
        <v>8.5255200000000002</v>
      </c>
      <c r="C18" s="61">
        <v>94.308940000000007</v>
      </c>
    </row>
    <row r="19" spans="2:3" x14ac:dyDescent="0.35">
      <c r="B19" s="62">
        <v>8.7050999999999998</v>
      </c>
      <c r="C19" s="61">
        <v>133.33332999999999</v>
      </c>
    </row>
    <row r="20" spans="2:3" x14ac:dyDescent="0.35">
      <c r="B20" s="62">
        <v>9.1720199999999998</v>
      </c>
      <c r="C20" s="61">
        <v>104.06504</v>
      </c>
    </row>
    <row r="21" spans="2:3" x14ac:dyDescent="0.35">
      <c r="B21" s="62">
        <v>9.3516100000000009</v>
      </c>
      <c r="C21" s="61">
        <v>61.788620000000002</v>
      </c>
    </row>
    <row r="22" spans="2:3" x14ac:dyDescent="0.35">
      <c r="B22" s="62">
        <v>9.6748600000000007</v>
      </c>
      <c r="C22" s="61">
        <v>136.58537000000001</v>
      </c>
    </row>
    <row r="23" spans="2:3" x14ac:dyDescent="0.35">
      <c r="B23" s="62">
        <v>9.8544400000000003</v>
      </c>
      <c r="C23" s="61">
        <v>123.57724</v>
      </c>
    </row>
    <row r="24" spans="2:3" x14ac:dyDescent="0.35">
      <c r="B24" s="62">
        <v>10.03403</v>
      </c>
      <c r="C24" s="61">
        <v>97.560980000000001</v>
      </c>
    </row>
    <row r="25" spans="2:3" x14ac:dyDescent="0.35">
      <c r="B25" s="62">
        <v>10.680529999999999</v>
      </c>
      <c r="C25" s="61">
        <v>182.11382</v>
      </c>
    </row>
    <row r="26" spans="2:3" x14ac:dyDescent="0.35">
      <c r="B26" s="62">
        <v>10.824199999999999</v>
      </c>
      <c r="C26" s="61">
        <v>269.9187</v>
      </c>
    </row>
    <row r="27" spans="2:3" x14ac:dyDescent="0.35">
      <c r="B27" s="62">
        <v>11.0397</v>
      </c>
      <c r="C27" s="61">
        <v>351.21951000000001</v>
      </c>
    </row>
    <row r="28" spans="2:3" x14ac:dyDescent="0.35">
      <c r="B28" s="62">
        <v>11.18336</v>
      </c>
      <c r="C28" s="61">
        <v>419.51220000000001</v>
      </c>
    </row>
    <row r="29" spans="2:3" x14ac:dyDescent="0.35">
      <c r="B29" s="62">
        <v>11.291119999999999</v>
      </c>
      <c r="C29" s="61">
        <v>260.1626</v>
      </c>
    </row>
    <row r="30" spans="2:3" x14ac:dyDescent="0.35">
      <c r="B30" s="62">
        <v>11.327030000000001</v>
      </c>
      <c r="C30" s="61">
        <v>156.09755999999999</v>
      </c>
    </row>
    <row r="31" spans="2:3" x14ac:dyDescent="0.35">
      <c r="B31" s="62">
        <v>11.542529999999999</v>
      </c>
      <c r="C31" s="61">
        <v>146.34146000000001</v>
      </c>
    </row>
    <row r="32" spans="2:3" x14ac:dyDescent="0.35">
      <c r="B32" s="62">
        <v>11.82987</v>
      </c>
      <c r="C32" s="61">
        <v>152.84553</v>
      </c>
    </row>
    <row r="33" spans="2:3" x14ac:dyDescent="0.35">
      <c r="B33" s="62">
        <v>12.009449999999999</v>
      </c>
      <c r="C33" s="61">
        <v>120.3252</v>
      </c>
    </row>
    <row r="34" spans="2:3" x14ac:dyDescent="0.35">
      <c r="B34" s="62">
        <v>12.153119999999999</v>
      </c>
      <c r="C34" s="61">
        <v>120.3252</v>
      </c>
    </row>
    <row r="35" spans="2:3" x14ac:dyDescent="0.35">
      <c r="B35" s="62">
        <v>12.69187</v>
      </c>
      <c r="C35" s="61">
        <v>266.66667000000001</v>
      </c>
    </row>
    <row r="36" spans="2:3" x14ac:dyDescent="0.35">
      <c r="B36" s="62">
        <v>12.83554</v>
      </c>
      <c r="C36" s="61">
        <v>188.61788999999999</v>
      </c>
    </row>
    <row r="37" spans="2:3" x14ac:dyDescent="0.35">
      <c r="B37" s="62">
        <v>13.01512</v>
      </c>
      <c r="C37" s="61">
        <v>253.65853999999999</v>
      </c>
    </row>
    <row r="38" spans="2:3" x14ac:dyDescent="0.35">
      <c r="B38" s="62">
        <v>13.194710000000001</v>
      </c>
      <c r="C38" s="61">
        <v>247.15447</v>
      </c>
    </row>
    <row r="39" spans="2:3" x14ac:dyDescent="0.35">
      <c r="B39" s="62">
        <v>13.338369999999999</v>
      </c>
      <c r="C39" s="61">
        <v>217.88618</v>
      </c>
    </row>
    <row r="40" spans="2:3" x14ac:dyDescent="0.35">
      <c r="B40" s="62">
        <v>13.553879999999999</v>
      </c>
      <c r="C40" s="61">
        <v>302.43902000000003</v>
      </c>
    </row>
    <row r="41" spans="2:3" x14ac:dyDescent="0.35">
      <c r="B41" s="62">
        <v>13.589790000000001</v>
      </c>
      <c r="C41" s="61">
        <v>383.73984000000002</v>
      </c>
    </row>
    <row r="42" spans="2:3" x14ac:dyDescent="0.35">
      <c r="B42" s="62">
        <v>13.84121</v>
      </c>
      <c r="C42" s="61">
        <v>1073.17073</v>
      </c>
    </row>
    <row r="43" spans="2:3" x14ac:dyDescent="0.35">
      <c r="B43" s="62">
        <v>14.02079</v>
      </c>
      <c r="C43" s="61">
        <v>539.8374</v>
      </c>
    </row>
    <row r="44" spans="2:3" x14ac:dyDescent="0.35">
      <c r="B44" s="62">
        <v>14.16446</v>
      </c>
      <c r="C44" s="61">
        <v>487.80488000000003</v>
      </c>
    </row>
    <row r="45" spans="2:3" x14ac:dyDescent="0.35">
      <c r="B45" s="62">
        <v>14.344049999999999</v>
      </c>
      <c r="C45" s="61">
        <v>650.40650000000005</v>
      </c>
    </row>
    <row r="46" spans="2:3" x14ac:dyDescent="0.35">
      <c r="B46" s="62">
        <v>14.667299999999999</v>
      </c>
      <c r="C46" s="61">
        <v>331.70731999999998</v>
      </c>
    </row>
    <row r="47" spans="2:3" x14ac:dyDescent="0.35">
      <c r="B47" s="62">
        <v>15.02647</v>
      </c>
      <c r="C47" s="61">
        <v>1017.88618</v>
      </c>
    </row>
    <row r="48" spans="2:3" x14ac:dyDescent="0.35">
      <c r="B48" s="62">
        <v>15.17013</v>
      </c>
      <c r="C48" s="61">
        <v>1017.88618</v>
      </c>
    </row>
    <row r="49" spans="2:3" x14ac:dyDescent="0.35">
      <c r="B49" s="62">
        <v>15.56522</v>
      </c>
      <c r="C49" s="61">
        <v>351.21951000000001</v>
      </c>
    </row>
    <row r="50" spans="2:3" x14ac:dyDescent="0.35">
      <c r="B50" s="62">
        <v>15.852550000000001</v>
      </c>
      <c r="C50" s="61">
        <v>230.89430999999999</v>
      </c>
    </row>
    <row r="51" spans="2:3" x14ac:dyDescent="0.35">
      <c r="B51" s="62">
        <v>16.032139999999998</v>
      </c>
      <c r="C51" s="61">
        <v>243.90244000000001</v>
      </c>
    </row>
    <row r="52" spans="2:3" x14ac:dyDescent="0.35">
      <c r="B52" s="62">
        <v>16.35539</v>
      </c>
      <c r="C52" s="61">
        <v>214.63415000000001</v>
      </c>
    </row>
    <row r="53" spans="2:3" x14ac:dyDescent="0.35">
      <c r="B53" s="62">
        <v>16.534970000000001</v>
      </c>
      <c r="C53" s="61">
        <v>130.0813</v>
      </c>
    </row>
    <row r="54" spans="2:3" x14ac:dyDescent="0.35">
      <c r="B54" s="62">
        <v>16.714559999999999</v>
      </c>
      <c r="C54" s="61">
        <v>136.58537000000001</v>
      </c>
    </row>
    <row r="55" spans="2:3" x14ac:dyDescent="0.35">
      <c r="B55" s="62">
        <v>17.00189</v>
      </c>
      <c r="C55" s="61">
        <v>256.91057000000001</v>
      </c>
    </row>
    <row r="56" spans="2:3" x14ac:dyDescent="0.35">
      <c r="B56" s="62">
        <v>17.217390000000002</v>
      </c>
      <c r="C56" s="61">
        <v>263.41462999999999</v>
      </c>
    </row>
    <row r="57" spans="2:3" x14ac:dyDescent="0.35">
      <c r="B57" s="62">
        <v>17.361059999999998</v>
      </c>
      <c r="C57" s="61">
        <v>120.3252</v>
      </c>
    </row>
    <row r="58" spans="2:3" x14ac:dyDescent="0.35">
      <c r="B58" s="62">
        <v>17.54064</v>
      </c>
      <c r="C58" s="61">
        <v>159.34959000000001</v>
      </c>
    </row>
    <row r="59" spans="2:3" x14ac:dyDescent="0.35">
      <c r="B59" s="62">
        <v>17.68431</v>
      </c>
      <c r="C59" s="61">
        <v>211.38211000000001</v>
      </c>
    </row>
    <row r="60" spans="2:3" x14ac:dyDescent="0.35">
      <c r="B60" s="62">
        <v>18.151230000000002</v>
      </c>
      <c r="C60" s="61">
        <v>126.82926999999999</v>
      </c>
    </row>
    <row r="61" spans="2:3" x14ac:dyDescent="0.35">
      <c r="B61" s="62">
        <v>17.93573</v>
      </c>
      <c r="C61" s="61">
        <v>146.34146000000001</v>
      </c>
    </row>
    <row r="62" spans="2:3" x14ac:dyDescent="0.35">
      <c r="B62" s="62">
        <v>18.689979999999998</v>
      </c>
      <c r="C62" s="61">
        <v>269.9187</v>
      </c>
    </row>
    <row r="63" spans="2:3" x14ac:dyDescent="0.35">
      <c r="B63" s="62">
        <v>18.86957</v>
      </c>
      <c r="C63" s="61">
        <v>243.90244000000001</v>
      </c>
    </row>
    <row r="64" spans="2:3" x14ac:dyDescent="0.35">
      <c r="B64" s="62">
        <v>19.01323</v>
      </c>
      <c r="C64" s="61">
        <v>136.58537000000001</v>
      </c>
    </row>
    <row r="65" spans="2:3" x14ac:dyDescent="0.35">
      <c r="B65" s="62">
        <v>19.336480000000002</v>
      </c>
      <c r="C65" s="61">
        <v>126.82926999999999</v>
      </c>
    </row>
    <row r="66" spans="2:3" x14ac:dyDescent="0.35">
      <c r="B66" s="62">
        <v>19.516069999999999</v>
      </c>
      <c r="C66" s="61">
        <v>178.86179000000001</v>
      </c>
    </row>
    <row r="67" spans="2:3" x14ac:dyDescent="0.35">
      <c r="B67" s="62">
        <v>19.875240000000002</v>
      </c>
      <c r="C67" s="61">
        <v>126.82926999999999</v>
      </c>
    </row>
    <row r="68" spans="2:3" x14ac:dyDescent="0.35">
      <c r="B68" s="62">
        <v>20.162569999999999</v>
      </c>
      <c r="C68" s="61">
        <v>123.57724</v>
      </c>
    </row>
    <row r="69" spans="2:3" x14ac:dyDescent="0.35">
      <c r="B69" s="62">
        <v>20.378070000000001</v>
      </c>
      <c r="C69" s="61">
        <v>123.57724</v>
      </c>
    </row>
    <row r="70" spans="2:3" x14ac:dyDescent="0.35">
      <c r="B70" s="62">
        <v>20.59357</v>
      </c>
      <c r="C70" s="61">
        <v>71.544719999999998</v>
      </c>
    </row>
    <row r="71" spans="2:3" x14ac:dyDescent="0.35">
      <c r="B71" s="62">
        <v>21.024570000000001</v>
      </c>
      <c r="C71" s="61">
        <v>29.26829</v>
      </c>
    </row>
    <row r="72" spans="2:3" x14ac:dyDescent="0.35">
      <c r="B72" s="62">
        <v>21.204160000000002</v>
      </c>
      <c r="C72" s="61">
        <v>29.26829</v>
      </c>
    </row>
    <row r="73" spans="2:3" x14ac:dyDescent="0.35">
      <c r="B73" s="62">
        <v>21.38374</v>
      </c>
      <c r="C73" s="61">
        <v>19.5122</v>
      </c>
    </row>
    <row r="74" spans="2:3" x14ac:dyDescent="0.35">
      <c r="B74" s="62">
        <v>21.81474</v>
      </c>
      <c r="C74" s="61">
        <v>26.016259999999999</v>
      </c>
    </row>
    <row r="75" spans="2:3" x14ac:dyDescent="0.35">
      <c r="B75" s="62">
        <v>22.20983</v>
      </c>
      <c r="C75" s="61">
        <v>22.764230000000001</v>
      </c>
    </row>
    <row r="76" spans="2:3" x14ac:dyDescent="0.35">
      <c r="B76" s="62">
        <v>22.389410000000002</v>
      </c>
      <c r="C76" s="61">
        <v>9.7561</v>
      </c>
    </row>
    <row r="77" spans="2:3" x14ac:dyDescent="0.35">
      <c r="B77" s="62">
        <v>23.035920000000001</v>
      </c>
      <c r="C77" s="1">
        <v>0</v>
      </c>
    </row>
  </sheetData>
  <mergeCells count="1">
    <mergeCell ref="A1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6AC6-C93A-4505-8D42-7759A011B158}">
  <sheetPr>
    <tabColor theme="7" tint="0.39997558519241921"/>
  </sheetPr>
  <dimension ref="A1:E19"/>
  <sheetViews>
    <sheetView tabSelected="1" topLeftCell="D1" workbookViewId="0">
      <selection activeCell="L4" sqref="L4"/>
    </sheetView>
  </sheetViews>
  <sheetFormatPr baseColWidth="10" defaultColWidth="11.453125" defaultRowHeight="14.5" x14ac:dyDescent="0.35"/>
  <cols>
    <col min="3" max="3" width="7.1796875" customWidth="1"/>
    <col min="4" max="4" width="10.81640625" bestFit="1" customWidth="1"/>
    <col min="5" max="5" width="7.54296875" customWidth="1"/>
  </cols>
  <sheetData>
    <row r="1" spans="1:5" x14ac:dyDescent="0.35">
      <c r="A1" s="124" t="s">
        <v>147</v>
      </c>
      <c r="B1" s="124"/>
      <c r="C1" s="124"/>
      <c r="D1" s="124"/>
      <c r="E1" s="124"/>
    </row>
    <row r="2" spans="1:5" x14ac:dyDescent="0.35">
      <c r="A2" s="124"/>
      <c r="B2" s="124"/>
      <c r="C2" s="124"/>
      <c r="D2" s="124"/>
      <c r="E2" s="124"/>
    </row>
    <row r="3" spans="1:5" x14ac:dyDescent="0.35">
      <c r="A3" s="124"/>
      <c r="B3" s="124"/>
      <c r="C3" s="124"/>
      <c r="D3" s="124"/>
      <c r="E3" s="124"/>
    </row>
    <row r="6" spans="1:5" x14ac:dyDescent="0.35">
      <c r="B6" s="125" t="s">
        <v>148</v>
      </c>
      <c r="C6" s="126"/>
      <c r="D6" s="63" t="s">
        <v>149</v>
      </c>
    </row>
    <row r="7" spans="1:5" x14ac:dyDescent="0.35">
      <c r="B7" s="6"/>
      <c r="C7" s="6"/>
      <c r="D7" s="6"/>
    </row>
    <row r="8" spans="1:5" x14ac:dyDescent="0.35">
      <c r="B8" s="6" t="s">
        <v>150</v>
      </c>
      <c r="C8" s="6"/>
      <c r="D8" s="6">
        <v>6</v>
      </c>
    </row>
    <row r="9" spans="1:5" x14ac:dyDescent="0.35">
      <c r="B9" s="6" t="s">
        <v>151</v>
      </c>
      <c r="C9" s="6"/>
      <c r="D9" s="6">
        <v>6</v>
      </c>
    </row>
    <row r="10" spans="1:5" x14ac:dyDescent="0.35">
      <c r="B10" s="6" t="s">
        <v>152</v>
      </c>
      <c r="C10" s="6"/>
      <c r="D10" s="6">
        <v>5</v>
      </c>
    </row>
    <row r="11" spans="1:5" x14ac:dyDescent="0.35">
      <c r="B11" s="6" t="s">
        <v>153</v>
      </c>
      <c r="C11" s="6"/>
      <c r="D11" s="6">
        <v>6</v>
      </c>
    </row>
    <row r="12" spans="1:5" x14ac:dyDescent="0.35">
      <c r="B12" s="6" t="s">
        <v>154</v>
      </c>
      <c r="C12" s="6"/>
      <c r="D12" s="6">
        <v>10</v>
      </c>
    </row>
    <row r="13" spans="1:5" x14ac:dyDescent="0.35">
      <c r="B13" s="6" t="s">
        <v>155</v>
      </c>
      <c r="C13" s="6"/>
      <c r="D13" s="6">
        <v>13</v>
      </c>
    </row>
    <row r="14" spans="1:5" x14ac:dyDescent="0.35">
      <c r="B14" s="6" t="s">
        <v>156</v>
      </c>
      <c r="C14" s="6"/>
      <c r="D14" s="6">
        <v>15</v>
      </c>
    </row>
    <row r="15" spans="1:5" x14ac:dyDescent="0.35">
      <c r="B15" s="6" t="s">
        <v>157</v>
      </c>
      <c r="C15" s="6"/>
      <c r="D15" s="6">
        <v>17</v>
      </c>
    </row>
    <row r="16" spans="1:5" x14ac:dyDescent="0.35">
      <c r="B16" s="6" t="s">
        <v>158</v>
      </c>
      <c r="C16" s="6"/>
      <c r="D16" s="6">
        <v>14</v>
      </c>
    </row>
    <row r="17" spans="2:4" x14ac:dyDescent="0.35">
      <c r="B17" s="6" t="s">
        <v>159</v>
      </c>
      <c r="C17" s="6"/>
      <c r="D17" s="6">
        <v>12</v>
      </c>
    </row>
    <row r="18" spans="2:4" x14ac:dyDescent="0.35">
      <c r="B18" s="6" t="s">
        <v>160</v>
      </c>
      <c r="C18" s="6"/>
      <c r="D18" s="6">
        <v>10</v>
      </c>
    </row>
    <row r="19" spans="2:4" x14ac:dyDescent="0.35">
      <c r="B19" s="6" t="s">
        <v>161</v>
      </c>
      <c r="C19" s="6"/>
      <c r="D19" s="6">
        <v>7</v>
      </c>
    </row>
  </sheetData>
  <mergeCells count="2">
    <mergeCell ref="A1:E3"/>
    <mergeCell ref="B6:C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D9E8F-6051-4AA1-B97E-8F0C1267149C}">
  <sheetPr>
    <tabColor rgb="FFFCC0C0"/>
  </sheetPr>
  <dimension ref="A1:J22"/>
  <sheetViews>
    <sheetView topLeftCell="A10" workbookViewId="0">
      <selection activeCell="I7" sqref="I7"/>
    </sheetView>
  </sheetViews>
  <sheetFormatPr baseColWidth="10" defaultColWidth="11.453125" defaultRowHeight="14.5" x14ac:dyDescent="0.35"/>
  <cols>
    <col min="2" max="2" width="23.26953125" customWidth="1"/>
    <col min="5" max="5" width="13.54296875" bestFit="1" customWidth="1"/>
    <col min="8" max="8" width="16.7265625" bestFit="1" customWidth="1"/>
  </cols>
  <sheetData>
    <row r="1" spans="1:10" x14ac:dyDescent="0.35">
      <c r="A1" s="127" t="s">
        <v>162</v>
      </c>
      <c r="B1" s="127"/>
      <c r="C1" s="127"/>
    </row>
    <row r="2" spans="1:10" x14ac:dyDescent="0.35">
      <c r="A2" s="127"/>
      <c r="B2" s="127"/>
      <c r="C2" s="127"/>
    </row>
    <row r="3" spans="1:10" x14ac:dyDescent="0.35">
      <c r="A3" s="127"/>
      <c r="B3" s="127"/>
      <c r="C3" s="127"/>
    </row>
    <row r="6" spans="1:10" x14ac:dyDescent="0.35">
      <c r="B6" s="77" t="s">
        <v>163</v>
      </c>
      <c r="C6" s="78" t="s">
        <v>74</v>
      </c>
      <c r="E6" s="81" t="s">
        <v>81</v>
      </c>
      <c r="F6" s="81" t="s">
        <v>46</v>
      </c>
      <c r="H6" s="79" t="s">
        <v>162</v>
      </c>
      <c r="I6" s="79" t="s">
        <v>164</v>
      </c>
      <c r="J6" s="79" t="s">
        <v>165</v>
      </c>
    </row>
    <row r="7" spans="1:10" x14ac:dyDescent="0.35">
      <c r="B7" s="1" t="s">
        <v>101</v>
      </c>
      <c r="C7" s="1">
        <v>2414.66</v>
      </c>
      <c r="E7" s="38" t="s">
        <v>83</v>
      </c>
      <c r="F7" s="38">
        <v>25</v>
      </c>
      <c r="H7" s="1" t="s">
        <v>166</v>
      </c>
      <c r="I7" s="1">
        <f>(C13*F13*C16)/(C19*C7+C10*C22)</f>
        <v>178418.89981733006</v>
      </c>
      <c r="J7" s="61">
        <f>I7/3600</f>
        <v>49.560805504813906</v>
      </c>
    </row>
    <row r="9" spans="1:10" x14ac:dyDescent="0.35">
      <c r="B9" s="83" t="s">
        <v>107</v>
      </c>
      <c r="C9" s="79" t="s">
        <v>74</v>
      </c>
      <c r="D9" s="56"/>
      <c r="E9" s="81" t="s">
        <v>92</v>
      </c>
      <c r="F9" s="81" t="s">
        <v>46</v>
      </c>
    </row>
    <row r="10" spans="1:10" x14ac:dyDescent="0.35">
      <c r="B10" s="13" t="s">
        <v>109</v>
      </c>
      <c r="C10" s="1">
        <v>1962.5</v>
      </c>
      <c r="D10" s="84"/>
      <c r="E10" s="38" t="s">
        <v>94</v>
      </c>
      <c r="F10" s="38">
        <v>12</v>
      </c>
    </row>
    <row r="12" spans="1:10" x14ac:dyDescent="0.35">
      <c r="B12" s="79" t="s">
        <v>75</v>
      </c>
      <c r="C12" s="79" t="s">
        <v>37</v>
      </c>
      <c r="E12" s="79" t="s">
        <v>167</v>
      </c>
      <c r="F12" s="79" t="s">
        <v>74</v>
      </c>
    </row>
    <row r="13" spans="1:10" x14ac:dyDescent="0.35">
      <c r="B13" s="1" t="s">
        <v>38</v>
      </c>
      <c r="C13" s="1">
        <v>1000</v>
      </c>
      <c r="E13" s="1" t="s">
        <v>168</v>
      </c>
      <c r="F13" s="1">
        <f>(3.14*F10)/6*(3*F7^2+F10^2)</f>
        <v>12679.32</v>
      </c>
    </row>
    <row r="15" spans="1:10" x14ac:dyDescent="0.35">
      <c r="B15" s="80" t="s">
        <v>49</v>
      </c>
      <c r="C15" s="80" t="s">
        <v>50</v>
      </c>
    </row>
    <row r="16" spans="1:10" x14ac:dyDescent="0.35">
      <c r="B16" s="6" t="s">
        <v>54</v>
      </c>
      <c r="C16" s="6">
        <v>4183</v>
      </c>
    </row>
    <row r="18" spans="2:3" ht="29" x14ac:dyDescent="0.35">
      <c r="B18" s="82" t="s">
        <v>84</v>
      </c>
      <c r="C18" s="79" t="s">
        <v>57</v>
      </c>
    </row>
    <row r="19" spans="2:3" x14ac:dyDescent="0.35">
      <c r="B19" s="1" t="s">
        <v>85</v>
      </c>
      <c r="C19" s="1">
        <v>113.274</v>
      </c>
    </row>
    <row r="21" spans="2:3" ht="29" x14ac:dyDescent="0.35">
      <c r="B21" s="77" t="s">
        <v>56</v>
      </c>
      <c r="C21" s="78" t="s">
        <v>57</v>
      </c>
    </row>
    <row r="22" spans="2:3" x14ac:dyDescent="0.35">
      <c r="B22" s="1" t="s">
        <v>61</v>
      </c>
      <c r="C22" s="1">
        <v>12.1</v>
      </c>
    </row>
  </sheetData>
  <mergeCells count="1">
    <mergeCell ref="A1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7F63D151BF9C429258934FFEDC8679" ma:contentTypeVersion="4" ma:contentTypeDescription="Opprett et nytt dokument." ma:contentTypeScope="" ma:versionID="9e565e13353c52b84f2ad57689990f1f">
  <xsd:schema xmlns:xsd="http://www.w3.org/2001/XMLSchema" xmlns:xs="http://www.w3.org/2001/XMLSchema" xmlns:p="http://schemas.microsoft.com/office/2006/metadata/properties" xmlns:ns2="16d691eb-e772-44f8-a343-2f29fa38a962" targetNamespace="http://schemas.microsoft.com/office/2006/metadata/properties" ma:root="true" ma:fieldsID="0938bfa1e3908c87e305e8b42bc0d733" ns2:_="">
    <xsd:import namespace="16d691eb-e772-44f8-a343-2f29fa38a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691eb-e772-44f8-a343-2f29fa38a9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81F64-DCC7-476B-A632-9A5E25CBD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C9979-4E5E-4B24-8E4D-D61C53952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d691eb-e772-44f8-a343-2f29fa38a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46A860-8585-44DC-9515-07017D37B3AC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6d691eb-e772-44f8-a343-2f29fa38a962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Strømning</vt:lpstr>
      <vt:lpstr>Temperatur</vt:lpstr>
      <vt:lpstr>Varmeveksler</vt:lpstr>
      <vt:lpstr>Solstråling</vt:lpstr>
      <vt:lpstr>Temp. Lammaneset</vt:lpstr>
      <vt:lpstr>Termisk responstid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Gabrielsen</dc:creator>
  <cp:keywords/>
  <dc:description/>
  <cp:lastModifiedBy>Stine Halleraker</cp:lastModifiedBy>
  <cp:revision/>
  <dcterms:created xsi:type="dcterms:W3CDTF">2022-03-01T09:02:12Z</dcterms:created>
  <dcterms:modified xsi:type="dcterms:W3CDTF">2022-05-27T10:49:50Z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0x0101009D7F63D151BF9C429258934FFEDC8679</vt:lpwstr>
  </property>
</Properties>
</file>