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47468\Documents\Bacheloroppgave\"/>
    </mc:Choice>
  </mc:AlternateContent>
  <xr:revisionPtr revIDLastSave="0" documentId="8_{9A46CB2B-E54E-45E6-8C48-DA68B8268045}" xr6:coauthVersionLast="47" xr6:coauthVersionMax="47" xr10:uidLastSave="{00000000-0000-0000-0000-000000000000}"/>
  <bookViews>
    <workbookView xWindow="-108" yWindow="-108" windowWidth="23256" windowHeight="12456" firstSheet="4" activeTab="6" xr2:uid="{00000000-000D-0000-FFFF-FFFF00000000}"/>
  </bookViews>
  <sheets>
    <sheet name="Info" sheetId="1" r:id="rId1"/>
    <sheet name="Fuel" sheetId="21" r:id="rId2"/>
    <sheet name="Boat size" sheetId="7" r:id="rId3"/>
    <sheet name="Boat 1" sheetId="8" r:id="rId4"/>
    <sheet name="Boat 1 case" sheetId="20" r:id="rId5"/>
    <sheet name="Goldfish X9 EXPLORER" sheetId="17" r:id="rId6"/>
    <sheet name="SKARSVÅG 799" sheetId="18" r:id="rId7"/>
    <sheet name="_56F9DC9755BA473782653E2940F9" sheetId="2" state="veryHidden" r:id="rId8"/>
    <sheet name="Tank" sheetId="16" r:id="rId9"/>
    <sheet name="Suppliers" sheetId="13" r:id="rId10"/>
    <sheet name="HTPEM leverandør" sheetId="14" r:id="rId11"/>
    <sheet name="CH3OH - Metanol" sheetId="12" r:id="rId12"/>
  </sheets>
  <definedNames>
    <definedName name="_56F9DC9755BA473782653E2940F9FormId">"lXkdCjS3KU2LkLqaB1vdbWX7gDwgVylBsdErxbPaD1BUQjE2OE45WE1WS1FCTjdOVFRYSzlIUVhKNiQlQCN0PWcu"</definedName>
    <definedName name="_56F9DC9755BA473782653E2940F9ResponseSheet">"Form1"</definedName>
    <definedName name="_56F9DC9755BA473782653E2940F9SourceDocId">"{a2acc67a-af4a-4bb7-9552-a93950184afb}"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8" l="1"/>
  <c r="D23" i="8"/>
  <c r="D24" i="8" s="1"/>
  <c r="D26" i="8" s="1"/>
  <c r="C13" i="21"/>
  <c r="C12" i="21"/>
  <c r="C11" i="21"/>
  <c r="C10" i="21"/>
  <c r="C9" i="21"/>
  <c r="C8" i="21"/>
  <c r="C7" i="21"/>
  <c r="C6" i="21"/>
  <c r="K44" i="21"/>
  <c r="L44" i="21"/>
  <c r="M44" i="21"/>
  <c r="J44" i="21"/>
  <c r="N44" i="21" s="1"/>
  <c r="C45" i="21"/>
  <c r="D45" i="21"/>
  <c r="E45" i="21"/>
  <c r="B45" i="21"/>
  <c r="F45" i="21" s="1"/>
  <c r="D37" i="1"/>
  <c r="C37" i="1"/>
  <c r="B37" i="1"/>
  <c r="E37" i="1"/>
  <c r="H20" i="20"/>
  <c r="H15" i="8"/>
  <c r="I15" i="8" s="1"/>
  <c r="J15" i="8" s="1"/>
  <c r="B10" i="16"/>
  <c r="G40" i="17"/>
  <c r="P34" i="8"/>
  <c r="P32" i="8"/>
  <c r="B11" i="12"/>
  <c r="I11" i="12"/>
  <c r="D51" i="20"/>
  <c r="E51" i="20" s="1"/>
  <c r="H26" i="14"/>
  <c r="H28" i="14" s="1"/>
  <c r="D47" i="18"/>
  <c r="N39" i="20"/>
  <c r="N37" i="20"/>
  <c r="N31" i="20"/>
  <c r="N29" i="20"/>
  <c r="I22" i="20"/>
  <c r="H15" i="20"/>
  <c r="D45" i="8"/>
  <c r="F50" i="8" s="1"/>
  <c r="G51" i="8"/>
  <c r="G53" i="8"/>
  <c r="H6" i="8"/>
  <c r="K8" i="8" s="1"/>
  <c r="D52" i="20"/>
  <c r="E52" i="20" s="1"/>
  <c r="H23" i="17"/>
  <c r="I23" i="17" s="1"/>
  <c r="H22" i="17"/>
  <c r="I22" i="17" s="1"/>
  <c r="H22" i="18"/>
  <c r="I22" i="18" s="1"/>
  <c r="H23" i="18"/>
  <c r="I23" i="18" s="1"/>
  <c r="H54" i="20"/>
  <c r="I54" i="20" s="1"/>
  <c r="J54" i="20" s="1"/>
  <c r="K54" i="20" s="1"/>
  <c r="H55" i="20"/>
  <c r="I55" i="20" s="1"/>
  <c r="J55" i="20" s="1"/>
  <c r="K55" i="20" s="1"/>
  <c r="G41" i="18"/>
  <c r="Q43" i="20"/>
  <c r="Q41" i="20"/>
  <c r="Q39" i="20"/>
  <c r="Q37" i="20"/>
  <c r="Q35" i="20"/>
  <c r="Q33" i="20"/>
  <c r="Q31" i="20"/>
  <c r="Q29" i="20"/>
  <c r="P43" i="20"/>
  <c r="P41" i="20"/>
  <c r="P39" i="20"/>
  <c r="P37" i="20"/>
  <c r="P35" i="20"/>
  <c r="P33" i="20"/>
  <c r="P31" i="20"/>
  <c r="P29" i="20"/>
  <c r="C45" i="20"/>
  <c r="C46" i="20" s="1"/>
  <c r="N43" i="20"/>
  <c r="N41" i="20"/>
  <c r="N35" i="20"/>
  <c r="N33" i="20"/>
  <c r="K22" i="20"/>
  <c r="J20" i="20"/>
  <c r="H22" i="20"/>
  <c r="H23" i="20" s="1"/>
  <c r="J15" i="20"/>
  <c r="C26" i="20"/>
  <c r="C27" i="20" s="1"/>
  <c r="C29" i="20" s="1"/>
  <c r="C25" i="20"/>
  <c r="C10" i="16"/>
  <c r="G14" i="7"/>
  <c r="H14" i="7"/>
  <c r="F14" i="7"/>
  <c r="L8" i="17"/>
  <c r="D40" i="17" s="1"/>
  <c r="D44" i="17" s="1"/>
  <c r="D45" i="17" s="1"/>
  <c r="E5" i="1"/>
  <c r="F5" i="1"/>
  <c r="D5" i="1"/>
  <c r="D11" i="18"/>
  <c r="K8" i="18"/>
  <c r="K6" i="16"/>
  <c r="J6" i="16"/>
  <c r="G40" i="8"/>
  <c r="G41" i="8"/>
  <c r="H41" i="8" s="1"/>
  <c r="I41" i="8" s="1"/>
  <c r="J41" i="8" s="1"/>
  <c r="H40" i="8"/>
  <c r="I40" i="8" s="1"/>
  <c r="J40" i="8" s="1"/>
  <c r="G41" i="17"/>
  <c r="H40" i="17"/>
  <c r="I40" i="17" s="1"/>
  <c r="J40" i="17" s="1"/>
  <c r="H41" i="18"/>
  <c r="I41" i="18" s="1"/>
  <c r="J41" i="18" s="1"/>
  <c r="G40" i="18"/>
  <c r="H40" i="18" s="1"/>
  <c r="I40" i="18" s="1"/>
  <c r="J40" i="18" s="1"/>
  <c r="B6" i="12"/>
  <c r="B11" i="16"/>
  <c r="G52" i="17"/>
  <c r="G55" i="18"/>
  <c r="G53" i="18"/>
  <c r="G55" i="17"/>
  <c r="G53" i="17"/>
  <c r="G52" i="18"/>
  <c r="H52" i="18"/>
  <c r="G54" i="18"/>
  <c r="H54" i="18"/>
  <c r="D45" i="18"/>
  <c r="D22" i="18"/>
  <c r="D23" i="18"/>
  <c r="D24" i="18"/>
  <c r="D26" i="18" s="1"/>
  <c r="G15" i="18"/>
  <c r="H15" i="18"/>
  <c r="I15" i="18"/>
  <c r="G16" i="18"/>
  <c r="E10" i="18"/>
  <c r="E11" i="18" s="1"/>
  <c r="F10" i="18"/>
  <c r="F11" i="18" s="1"/>
  <c r="G54" i="17"/>
  <c r="D23" i="17"/>
  <c r="D24" i="17" s="1"/>
  <c r="D22" i="17"/>
  <c r="G16" i="17"/>
  <c r="H15" i="17"/>
  <c r="I15" i="17" s="1"/>
  <c r="G15" i="17"/>
  <c r="F10" i="17"/>
  <c r="E10" i="17"/>
  <c r="E16" i="16"/>
  <c r="G52" i="8"/>
  <c r="G50" i="8"/>
  <c r="F10" i="8"/>
  <c r="E10" i="8"/>
  <c r="H11" i="12"/>
  <c r="D20" i="16"/>
  <c r="G20" i="16" s="1"/>
  <c r="D19" i="16"/>
  <c r="G19" i="16" s="1"/>
  <c r="D18" i="16"/>
  <c r="G18" i="16" s="1"/>
  <c r="D17" i="16"/>
  <c r="G17" i="16" s="1"/>
  <c r="D16" i="16"/>
  <c r="F7" i="16"/>
  <c r="F8" i="16"/>
  <c r="C9" i="16"/>
  <c r="B9" i="16"/>
  <c r="O10" i="13"/>
  <c r="D16" i="14"/>
  <c r="G16" i="14" s="1"/>
  <c r="G15" i="14"/>
  <c r="C15" i="14"/>
  <c r="C16" i="14" s="1"/>
  <c r="G13" i="14"/>
  <c r="G18" i="13"/>
  <c r="K18" i="13"/>
  <c r="G11" i="13"/>
  <c r="D22" i="8"/>
  <c r="G22" i="8"/>
  <c r="K14" i="13"/>
  <c r="K17" i="13"/>
  <c r="K16" i="13"/>
  <c r="K11" i="13"/>
  <c r="K10" i="13"/>
  <c r="K9" i="13"/>
  <c r="K8" i="13"/>
  <c r="D3" i="13"/>
  <c r="D4" i="13" s="1"/>
  <c r="B7" i="12"/>
  <c r="H11" i="13"/>
  <c r="H12" i="13"/>
  <c r="H13" i="13"/>
  <c r="H14" i="13"/>
  <c r="H18" i="13"/>
  <c r="H19" i="13"/>
  <c r="H20" i="13"/>
  <c r="G16" i="8"/>
  <c r="G15" i="8"/>
  <c r="O17" i="13"/>
  <c r="G17" i="13"/>
  <c r="H17" i="13" s="1"/>
  <c r="G10" i="13"/>
  <c r="H10" i="13" s="1"/>
  <c r="G16" i="13"/>
  <c r="H16" i="13" s="1"/>
  <c r="G9" i="13"/>
  <c r="H9" i="13" s="1"/>
  <c r="G8" i="13"/>
  <c r="H8" i="13" s="1"/>
  <c r="E7" i="7"/>
  <c r="E6" i="7"/>
  <c r="E5" i="7"/>
  <c r="D5" i="7" s="1"/>
  <c r="B14" i="7"/>
  <c r="M19" i="7"/>
  <c r="I19" i="7"/>
  <c r="J19" i="7"/>
  <c r="E14" i="7" l="1"/>
  <c r="D53" i="8"/>
  <c r="D52" i="8"/>
  <c r="D51" i="8"/>
  <c r="D50" i="8"/>
  <c r="G17" i="8"/>
  <c r="E53" i="8"/>
  <c r="E52" i="8"/>
  <c r="E51" i="8"/>
  <c r="E50" i="8"/>
  <c r="P26" i="13"/>
  <c r="L10" i="13"/>
  <c r="N10" i="13" s="1"/>
  <c r="B13" i="16"/>
  <c r="C13" i="16"/>
  <c r="E55" i="18"/>
  <c r="E54" i="18"/>
  <c r="E53" i="18"/>
  <c r="E52" i="18"/>
  <c r="D55" i="18"/>
  <c r="D54" i="18"/>
  <c r="D53" i="18"/>
  <c r="D52" i="18"/>
  <c r="G17" i="18"/>
  <c r="D55" i="17"/>
  <c r="D54" i="17"/>
  <c r="D53" i="17"/>
  <c r="D52" i="17"/>
  <c r="G17" i="17"/>
  <c r="E55" i="17"/>
  <c r="E54" i="17"/>
  <c r="E53" i="17"/>
  <c r="E52" i="17"/>
  <c r="D47" i="17"/>
  <c r="B14" i="12"/>
  <c r="K71" i="18"/>
  <c r="E71" i="18"/>
  <c r="K70" i="17"/>
  <c r="K72" i="17" s="1"/>
  <c r="E70" i="17"/>
  <c r="K63" i="17"/>
  <c r="E63" i="17"/>
  <c r="E65" i="17" s="1"/>
  <c r="F63" i="17"/>
  <c r="G63" i="17" s="1"/>
  <c r="K65" i="17"/>
  <c r="L63" i="17"/>
  <c r="M63" i="17" s="1"/>
  <c r="E72" i="17"/>
  <c r="F70" i="17"/>
  <c r="G70" i="17" s="1"/>
  <c r="K64" i="18"/>
  <c r="J15" i="18"/>
  <c r="D26" i="17"/>
  <c r="J22" i="20"/>
  <c r="S37" i="20" s="1"/>
  <c r="D40" i="8"/>
  <c r="I24" i="20"/>
  <c r="K24" i="20"/>
  <c r="H16" i="20"/>
  <c r="H21" i="20" s="1"/>
  <c r="I29" i="20" s="1"/>
  <c r="J16" i="20"/>
  <c r="H41" i="17"/>
  <c r="I41" i="17" s="1"/>
  <c r="J41" i="17" s="1"/>
  <c r="F16" i="16"/>
  <c r="C11" i="16"/>
  <c r="G16" i="16"/>
  <c r="B27" i="16" s="1"/>
  <c r="E64" i="18"/>
  <c r="E66" i="18" s="1"/>
  <c r="F66" i="18" s="1"/>
  <c r="F64" i="18"/>
  <c r="G64" i="18" s="1"/>
  <c r="J32" i="8"/>
  <c r="E63" i="8"/>
  <c r="F53" i="8"/>
  <c r="F52" i="8"/>
  <c r="F51" i="8"/>
  <c r="J31" i="18"/>
  <c r="J32" i="18"/>
  <c r="J33" i="18"/>
  <c r="J34" i="18"/>
  <c r="K34" i="18" s="1"/>
  <c r="L34" i="18" s="1"/>
  <c r="F52" i="18"/>
  <c r="F53" i="18"/>
  <c r="F54" i="18"/>
  <c r="F55" i="18"/>
  <c r="J15" i="17"/>
  <c r="F55" i="17"/>
  <c r="F54" i="17"/>
  <c r="F53" i="17"/>
  <c r="F52" i="17"/>
  <c r="B24" i="16"/>
  <c r="B25" i="16" s="1"/>
  <c r="B26" i="16"/>
  <c r="C14" i="12"/>
  <c r="E14" i="12" s="1"/>
  <c r="F20" i="16"/>
  <c r="F19" i="16"/>
  <c r="F18" i="16"/>
  <c r="F17" i="16"/>
  <c r="E20" i="16"/>
  <c r="E19" i="16"/>
  <c r="E18" i="16"/>
  <c r="E17" i="16"/>
  <c r="J34" i="8"/>
  <c r="K34" i="8" s="1"/>
  <c r="J33" i="8"/>
  <c r="K33" i="8" s="1"/>
  <c r="K32" i="8"/>
  <c r="L32" i="8" s="1"/>
  <c r="J31" i="8"/>
  <c r="L70" i="17" l="1"/>
  <c r="M70" i="17" s="1"/>
  <c r="L34" i="8"/>
  <c r="M34" i="8" s="1"/>
  <c r="O34" i="8" s="1"/>
  <c r="O67" i="20"/>
  <c r="O60" i="20"/>
  <c r="I67" i="20"/>
  <c r="I60" i="20"/>
  <c r="J23" i="20"/>
  <c r="S39" i="20"/>
  <c r="K9" i="8"/>
  <c r="D44" i="8"/>
  <c r="E73" i="18"/>
  <c r="F73" i="18" s="1"/>
  <c r="G73" i="18" s="1"/>
  <c r="F71" i="18"/>
  <c r="G71" i="18" s="1"/>
  <c r="K73" i="18"/>
  <c r="L73" i="18" s="1"/>
  <c r="M73" i="18" s="1"/>
  <c r="L71" i="18"/>
  <c r="M71" i="18" s="1"/>
  <c r="L72" i="17"/>
  <c r="M72" i="17" s="1"/>
  <c r="F72" i="17"/>
  <c r="G72" i="17" s="1"/>
  <c r="L65" i="17"/>
  <c r="M65" i="17" s="1"/>
  <c r="F65" i="17"/>
  <c r="G65" i="17" s="1"/>
  <c r="K70" i="18"/>
  <c r="K63" i="18"/>
  <c r="K66" i="18"/>
  <c r="L66" i="18" s="1"/>
  <c r="M66" i="18" s="1"/>
  <c r="L64" i="18"/>
  <c r="M64" i="18" s="1"/>
  <c r="M34" i="18"/>
  <c r="O34" i="18" s="1"/>
  <c r="J21" i="20"/>
  <c r="I43" i="20" s="1"/>
  <c r="J43" i="20" s="1"/>
  <c r="K43" i="20" s="1"/>
  <c r="L43" i="20" s="1"/>
  <c r="M43" i="20" s="1"/>
  <c r="I38" i="20"/>
  <c r="I31" i="20"/>
  <c r="J31" i="20" s="1"/>
  <c r="K31" i="20" s="1"/>
  <c r="L31" i="20" s="1"/>
  <c r="I28" i="20"/>
  <c r="I35" i="20"/>
  <c r="J35" i="20" s="1"/>
  <c r="K35" i="20" s="1"/>
  <c r="L35" i="20" s="1"/>
  <c r="M35" i="20" s="1"/>
  <c r="I34" i="20"/>
  <c r="I33" i="20"/>
  <c r="J33" i="20" s="1"/>
  <c r="K33" i="20" s="1"/>
  <c r="L33" i="20" s="1"/>
  <c r="M33" i="20" s="1"/>
  <c r="I32" i="20"/>
  <c r="I30" i="20"/>
  <c r="J29" i="20"/>
  <c r="K29" i="20" s="1"/>
  <c r="L29" i="20" s="1"/>
  <c r="I47" i="20" s="1"/>
  <c r="J47" i="20" s="1"/>
  <c r="K47" i="20" s="1"/>
  <c r="L47" i="20" s="1"/>
  <c r="G66" i="18"/>
  <c r="K32" i="18"/>
  <c r="L32" i="18" s="1"/>
  <c r="F63" i="8"/>
  <c r="G63" i="8" s="1"/>
  <c r="E65" i="8"/>
  <c r="F65" i="8" s="1"/>
  <c r="G65" i="8" s="1"/>
  <c r="M32" i="8"/>
  <c r="O32" i="8" s="1"/>
  <c r="E62" i="8"/>
  <c r="F62" i="8" s="1"/>
  <c r="G62" i="8" s="1"/>
  <c r="K31" i="8"/>
  <c r="I54" i="18"/>
  <c r="I52" i="18"/>
  <c r="N34" i="18"/>
  <c r="P34" i="18" s="1"/>
  <c r="J34" i="17"/>
  <c r="K34" i="17" s="1"/>
  <c r="L34" i="17" s="1"/>
  <c r="J33" i="17"/>
  <c r="J32" i="17"/>
  <c r="K32" i="17" s="1"/>
  <c r="J31" i="17"/>
  <c r="N34" i="8"/>
  <c r="D14" i="12"/>
  <c r="C20" i="16"/>
  <c r="C19" i="16"/>
  <c r="C18" i="16"/>
  <c r="C17" i="16"/>
  <c r="C16" i="16"/>
  <c r="B20" i="16"/>
  <c r="B19" i="16"/>
  <c r="B18" i="16"/>
  <c r="B17" i="16"/>
  <c r="B16" i="16"/>
  <c r="I36" i="20" l="1"/>
  <c r="I37" i="20"/>
  <c r="J37" i="20" s="1"/>
  <c r="K37" i="20" s="1"/>
  <c r="I59" i="20" s="1"/>
  <c r="I39" i="20"/>
  <c r="J39" i="20" s="1"/>
  <c r="K39" i="20" s="1"/>
  <c r="L39" i="20" s="1"/>
  <c r="I40" i="20"/>
  <c r="I42" i="20"/>
  <c r="I41" i="20"/>
  <c r="J41" i="20" s="1"/>
  <c r="K41" i="20" s="1"/>
  <c r="L41" i="20" s="1"/>
  <c r="M41" i="20" s="1"/>
  <c r="N32" i="8"/>
  <c r="Q32" i="8" s="1"/>
  <c r="H53" i="8"/>
  <c r="I53" i="8" s="1"/>
  <c r="Q34" i="8"/>
  <c r="L32" i="17"/>
  <c r="E62" i="17" s="1"/>
  <c r="J60" i="20"/>
  <c r="K60" i="20" s="1"/>
  <c r="I62" i="20"/>
  <c r="J62" i="20" s="1"/>
  <c r="I69" i="20"/>
  <c r="J69" i="20" s="1"/>
  <c r="K69" i="20" s="1"/>
  <c r="J67" i="20"/>
  <c r="K67" i="20" s="1"/>
  <c r="P60" i="20"/>
  <c r="Q60" i="20" s="1"/>
  <c r="O62" i="20"/>
  <c r="P62" i="20" s="1"/>
  <c r="Q62" i="20" s="1"/>
  <c r="O69" i="20"/>
  <c r="P69" i="20" s="1"/>
  <c r="Q69" i="20" s="1"/>
  <c r="P67" i="20"/>
  <c r="Q67" i="20" s="1"/>
  <c r="E63" i="18"/>
  <c r="E70" i="18"/>
  <c r="L70" i="18"/>
  <c r="K72" i="18"/>
  <c r="I66" i="20"/>
  <c r="O59" i="20"/>
  <c r="O61" i="20" s="1"/>
  <c r="E69" i="17"/>
  <c r="M34" i="17"/>
  <c r="O34" i="17" s="1"/>
  <c r="K69" i="17"/>
  <c r="K62" i="17"/>
  <c r="K65" i="18"/>
  <c r="L63" i="18"/>
  <c r="K74" i="18"/>
  <c r="E81" i="18" s="1"/>
  <c r="L37" i="20"/>
  <c r="M37" i="20" s="1"/>
  <c r="M29" i="20"/>
  <c r="O29" i="20"/>
  <c r="M31" i="20"/>
  <c r="I48" i="20"/>
  <c r="J48" i="20" s="1"/>
  <c r="K48" i="20" s="1"/>
  <c r="L48" i="20" s="1"/>
  <c r="I49" i="20"/>
  <c r="J49" i="20" s="1"/>
  <c r="K49" i="20" s="1"/>
  <c r="L49" i="20" s="1"/>
  <c r="O41" i="20" s="1"/>
  <c r="M32" i="18"/>
  <c r="O32" i="18" s="1"/>
  <c r="M32" i="17"/>
  <c r="O32" i="17" s="1"/>
  <c r="E64" i="8"/>
  <c r="I52" i="8"/>
  <c r="H55" i="18"/>
  <c r="I55" i="18" s="1"/>
  <c r="N32" i="17"/>
  <c r="P32" i="17" s="1"/>
  <c r="N34" i="17"/>
  <c r="P34" i="17" s="1"/>
  <c r="I50" i="20" l="1"/>
  <c r="J50" i="20" s="1"/>
  <c r="K50" i="20" s="1"/>
  <c r="L50" i="20" s="1"/>
  <c r="O43" i="20" s="1"/>
  <c r="R43" i="20" s="1"/>
  <c r="M39" i="20"/>
  <c r="O66" i="20"/>
  <c r="O68" i="20" s="1"/>
  <c r="P68" i="20" s="1"/>
  <c r="H51" i="8"/>
  <c r="I51" i="8" s="1"/>
  <c r="M70" i="18"/>
  <c r="L72" i="18"/>
  <c r="E72" i="18"/>
  <c r="F70" i="18"/>
  <c r="G70" i="18" s="1"/>
  <c r="P59" i="20"/>
  <c r="Q59" i="20" s="1"/>
  <c r="P66" i="20"/>
  <c r="Q66" i="20" s="1"/>
  <c r="I61" i="20"/>
  <c r="J61" i="20" s="1"/>
  <c r="J59" i="20"/>
  <c r="K59" i="20" s="1"/>
  <c r="I68" i="20"/>
  <c r="J66" i="20"/>
  <c r="K66" i="20" s="1"/>
  <c r="K64" i="17"/>
  <c r="K66" i="17" s="1"/>
  <c r="E78" i="17" s="1"/>
  <c r="L62" i="17"/>
  <c r="K71" i="17"/>
  <c r="K73" i="17" s="1"/>
  <c r="E80" i="17" s="1"/>
  <c r="L69" i="17"/>
  <c r="F62" i="17"/>
  <c r="G62" i="17" s="1"/>
  <c r="E64" i="17"/>
  <c r="E71" i="17"/>
  <c r="F69" i="17"/>
  <c r="G69" i="17" s="1"/>
  <c r="L65" i="18"/>
  <c r="M63" i="18"/>
  <c r="K67" i="18"/>
  <c r="E79" i="18" s="1"/>
  <c r="K62" i="20"/>
  <c r="I63" i="20"/>
  <c r="D58" i="20" s="1"/>
  <c r="R41" i="20"/>
  <c r="O37" i="20"/>
  <c r="R37" i="20" s="1"/>
  <c r="O35" i="20"/>
  <c r="R35" i="20" s="1"/>
  <c r="O31" i="20"/>
  <c r="R31" i="20" s="1"/>
  <c r="O33" i="20"/>
  <c r="R33" i="20" s="1"/>
  <c r="R29" i="20"/>
  <c r="E65" i="18"/>
  <c r="F63" i="18"/>
  <c r="G63" i="18" s="1"/>
  <c r="N32" i="18"/>
  <c r="F64" i="8"/>
  <c r="G64" i="8" s="1"/>
  <c r="E66" i="8"/>
  <c r="F66" i="8" s="1"/>
  <c r="G66" i="8" s="1"/>
  <c r="H55" i="17"/>
  <c r="I55" i="17" s="1"/>
  <c r="H54" i="17"/>
  <c r="I54" i="17" s="1"/>
  <c r="H53" i="17"/>
  <c r="I53" i="17" s="1"/>
  <c r="H52" i="17"/>
  <c r="I52" i="17" s="1"/>
  <c r="O39" i="20" l="1"/>
  <c r="R39" i="20" s="1"/>
  <c r="F72" i="18"/>
  <c r="E74" i="18"/>
  <c r="E80" i="18" s="1"/>
  <c r="L74" i="18"/>
  <c r="M72" i="18"/>
  <c r="M74" i="18" s="1"/>
  <c r="I70" i="20"/>
  <c r="D60" i="20" s="1"/>
  <c r="J68" i="20"/>
  <c r="K68" i="20" s="1"/>
  <c r="K70" i="20" s="1"/>
  <c r="Q68" i="20"/>
  <c r="O70" i="20"/>
  <c r="D61" i="20" s="1"/>
  <c r="P61" i="20"/>
  <c r="O63" i="20"/>
  <c r="D59" i="20" s="1"/>
  <c r="F71" i="17"/>
  <c r="E73" i="17"/>
  <c r="E79" i="17" s="1"/>
  <c r="F64" i="17"/>
  <c r="G64" i="17" s="1"/>
  <c r="E66" i="17"/>
  <c r="E77" i="17" s="1"/>
  <c r="L71" i="17"/>
  <c r="M69" i="17"/>
  <c r="L64" i="17"/>
  <c r="M62" i="17"/>
  <c r="E67" i="18"/>
  <c r="F65" i="18"/>
  <c r="L67" i="18"/>
  <c r="M65" i="18"/>
  <c r="M67" i="18" s="1"/>
  <c r="P32" i="18"/>
  <c r="H53" i="18"/>
  <c r="I53" i="18" s="1"/>
  <c r="G65" i="18"/>
  <c r="G67" i="18" s="1"/>
  <c r="F67" i="18"/>
  <c r="I50" i="8"/>
  <c r="G72" i="18" l="1"/>
  <c r="G74" i="18" s="1"/>
  <c r="F74" i="18"/>
  <c r="F66" i="17"/>
  <c r="G66" i="17" s="1"/>
  <c r="Q61" i="20"/>
  <c r="Q63" i="20" s="1"/>
  <c r="P63" i="20"/>
  <c r="Q70" i="20"/>
  <c r="P70" i="20"/>
  <c r="J70" i="20"/>
  <c r="L66" i="17"/>
  <c r="M64" i="17"/>
  <c r="M66" i="17" s="1"/>
  <c r="L73" i="17"/>
  <c r="M71" i="17"/>
  <c r="M73" i="17" s="1"/>
  <c r="F73" i="17"/>
  <c r="G71" i="17"/>
  <c r="G73" i="17" s="1"/>
  <c r="J63" i="20"/>
  <c r="K61" i="20"/>
  <c r="K63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tc={41D8A524-C824-46CB-969F-BD1B94F9727B}</author>
  </authors>
  <commentList>
    <comment ref="A38" authorId="0" shapeId="0" xr:uid="{41D8A524-C824-46CB-969F-BD1B94F9727B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https://fwpower.co.uk/wp-content/uploads/2018/12/Diesel-Generator-Fuel-Consumption-Chart-in-Litres.pdf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tc={D3226639-35BA-43B1-8554-90C696F44B97}</author>
    <author>tc={D843C132-08F3-49C6-9CB1-7A9522E9559D}</author>
  </authors>
  <commentList>
    <comment ref="B5" authorId="0" shapeId="0" xr:uid="{D3226639-35BA-43B1-8554-90C696F44B9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https://onlinelibrary.wiley.com/doi/10.1002/er.4440
Svar:
    https://onlinelibrary.wiley.com/doi/10.1002/er.4440</t>
      </text>
    </comment>
    <comment ref="B8" authorId="1" shapeId="0" xr:uid="{D843C132-08F3-49C6-9CB1-7A9522E9559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http://www.fuelcell.no/hydrogen_mainpage_no.htm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tc={1F54EB90-E53B-4C26-8407-D945F4633F0B}</author>
    <author>tc={FE1D9436-6AEC-4F6E-893A-EA68F3E7615A}</author>
  </authors>
  <commentList>
    <comment ref="H17" authorId="0" shapeId="0" xr:uid="{1F54EB90-E53B-4C26-8407-D945F4633F0B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https://www.goldfishboat.com/boats/x9</t>
      </text>
    </comment>
    <comment ref="J17" authorId="1" shapeId="0" xr:uid="{FE1D9436-6AEC-4F6E-893A-EA68F3E7615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https://skarsvaag.com/skarsvaag799/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tc={26AD1A2E-EF33-4FC2-B6A3-F24B28BD17C7}</author>
    <author>tc={69007267-3424-4D0A-96D1-8B9AB927B7B5}</author>
  </authors>
  <commentList>
    <comment ref="D21" authorId="0" shapeId="0" xr:uid="{26AD1A2E-EF33-4FC2-B6A3-F24B28BD17C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https://onlinelibrary.wiley.com/doi/10.1002/er.4440</t>
      </text>
    </comment>
    <comment ref="D27" authorId="1" shapeId="0" xr:uid="{69007267-3424-4D0A-96D1-8B9AB927B7B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http://www.fuelcell.no/hydrogen_mainpage_no.htm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tc={C5F67EA8-FAD0-4002-8B6F-7F91F0758B94}</author>
    <author>tc={6688C23F-8E14-4574-BDC0-DBC2C4B4992C}</author>
  </authors>
  <commentList>
    <comment ref="C24" authorId="0" shapeId="0" xr:uid="{C5F67EA8-FAD0-4002-8B6F-7F91F0758B94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https://onlinelibrary.wiley.com/doi/10.1002/er.4440</t>
      </text>
    </comment>
    <comment ref="C30" authorId="1" shapeId="0" xr:uid="{6688C23F-8E14-4574-BDC0-DBC2C4B4992C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http://www.fuelcell.no/hydrogen_mainpage_no.htm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tc={C5231C7D-74D6-4CCE-A2DB-745B9CE2C39D}</author>
    <author>tc={CF49A121-ABAF-4C40-B768-5EB20DD3641A}</author>
  </authors>
  <commentList>
    <comment ref="D21" authorId="0" shapeId="0" xr:uid="{C5231C7D-74D6-4CCE-A2DB-745B9CE2C39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https://onlinelibrary.wiley.com/doi/10.1002/er.4440</t>
      </text>
    </comment>
    <comment ref="D27" authorId="1" shapeId="0" xr:uid="{CF49A121-ABAF-4C40-B768-5EB20DD3641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http://www.fuelcell.no/hydrogen_mainpage_no.htm
Svar:
    https://maritimecleantech.no/wp-content/uploads/2016/11/Report-liquid-hydrogen.pdf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tc={17FE23B9-AF60-4127-A8B7-536B3D4ACC76}</author>
    <author>tc={EB191622-B1F6-4AB8-9A71-D7120DCDB369}</author>
  </authors>
  <commentList>
    <comment ref="D21" authorId="0" shapeId="0" xr:uid="{17FE23B9-AF60-4127-A8B7-536B3D4ACC7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https://onlinelibrary.wiley.com/doi/10.1002/er.4440</t>
      </text>
    </comment>
    <comment ref="D27" authorId="1" shapeId="0" xr:uid="{EB191622-B1F6-4AB8-9A71-D7120DCDB36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http://www.fuelcell.no/hydrogen_mainpage_no.htm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tc={5D74FD07-9289-4575-A096-8B5CCDD85F60}</author>
    <author>tc={BAD62E7A-51AD-423F-ADFE-A03FE561B8FE}</author>
  </authors>
  <commentList>
    <comment ref="F5" authorId="0" shapeId="0" xr:uid="{5D74FD07-9289-4575-A096-8B5CCDD85F6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https://onlinelibrary.wiley.com/doi/10.1002/er.4440</t>
      </text>
    </comment>
    <comment ref="E7" authorId="1" shapeId="0" xr:uid="{BAD62E7A-51AD-423F-ADFE-A03FE561B8F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http://www.it.hiof.no/tressfysikk/scan/tabell1.pdf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tc={134EB35F-2E6F-4947-B999-DA062D259D95}</author>
    <author>tc={3E28C9AA-6C2A-4AC6-A4C7-31375FCFBE47}</author>
    <author>tc={CF5301C6-F1FE-4C33-B071-0F62D9521842}</author>
    <author>tc={B8F292C7-1AED-433B-8B15-A22AFF331AA6}</author>
    <author>tc={C0220C8F-744E-476E-9418-31BAAA3D6F01}</author>
    <author>tc={CCCC643F-8DF7-4CDE-B2AD-65929D979F23}</author>
    <author>tc={F18A1196-0DFD-4101-A4D3-3627DB0A24E5}</author>
    <author>tc={3636DDDA-60F4-44A6-9950-2E81ED339717}</author>
    <author>tc={C6C0E065-7BEF-49F3-ABD3-B966477F7063}</author>
    <author>tc={113A14A0-7CD9-425E-B2DD-118D92B5BA9D}</author>
    <author>tc={BD83142C-A1E7-49A5-9472-6C747383A6AF}</author>
    <author>tc={B673C5C2-E840-47A0-B196-2877F159A2D2}</author>
  </authors>
  <commentList>
    <comment ref="D2" authorId="0" shapeId="0" xr:uid="{134EB35F-2E6F-4947-B999-DA062D259D9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https://onlinelibrary.wiley.com/doi/10.1002/er.4440</t>
      </text>
    </comment>
    <comment ref="D5" authorId="1" shapeId="0" xr:uid="{3E28C9AA-6C2A-4AC6-A4C7-31375FCFBE4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http://www.fuelcell.no/hydrogen_mainpage_no.htm</t>
      </text>
    </comment>
    <comment ref="B8" authorId="2" shapeId="0" xr:uid="{CF5301C6-F1FE-4C33-B071-0F62D952184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https://www.bloomenergy.com/wp-content/uploads/hydrogen-data-sheet.pdf</t>
      </text>
    </comment>
    <comment ref="B9" authorId="3" shapeId="0" xr:uid="{B8F292C7-1AED-433B-8B15-A22AFF331AA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https://global.kyocera.com/prdct/ecd/sofc/</t>
      </text>
    </comment>
    <comment ref="B10" authorId="4" shapeId="0" xr:uid="{C0220C8F-744E-476E-9418-31BAAA3D6F01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https://www.efoy-pro.com/wp-content/uploads/sites/10/Data-Sheet-EFOY-80_150_Pro-900_1800_2800_EN.pdf</t>
      </text>
    </comment>
    <comment ref="B12" authorId="5" shapeId="0" xr:uid="{CCCC643F-8DF7-4CDE-B2AD-65929D979F2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https://www.afcenergy.com/products/hydrox-cell_l/</t>
      </text>
    </comment>
    <comment ref="B14" authorId="6" shapeId="0" xr:uid="{F18A1196-0DFD-4101-A4D3-3627DB0A24E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https://www.blue.world/markets/maritime/</t>
      </text>
    </comment>
    <comment ref="B16" authorId="7" shapeId="0" xr:uid="{3636DDDA-60F4-44A6-9950-2E81ED33971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http://donar.messe.de/exhibitor/hannovermesse/2017/Y280404/serenergy-htpem-stack-s165l-datasheet-eng-190056.pdf</t>
      </text>
    </comment>
    <comment ref="B17" authorId="8" shapeId="0" xr:uid="{C6C0E065-7BEF-49F3-ABD3-B966477F706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https://www.sfc.com/en/technology/hydrogen-technology/</t>
      </text>
    </comment>
    <comment ref="B18" authorId="9" shapeId="0" xr:uid="{113A14A0-7CD9-425E-B2DD-118D92B5BA9D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link i celle C26
</t>
      </text>
    </comment>
    <comment ref="B19" authorId="10" shapeId="0" xr:uid="{BD83142C-A1E7-49A5-9472-6C747383A6A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https://www.mvsengg.com/products/hydrogen/pure-hydrogen/#footer-form</t>
      </text>
    </comment>
    <comment ref="B20" authorId="11" shapeId="0" xr:uid="{B673C5C2-E840-47A0-B196-2877F159A2D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https://www.methanol.org/wp-content/uploads/2020/04/Methanol-Fuel-Cell-Powering-the-Future-webinar-presentation.pdf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tc={41249CF4-0189-43D0-8431-1CA0ABB7B1EF}</author>
    <author>tc={B2A3CAB1-F168-43AC-8216-F5BBCBC370E0}</author>
  </authors>
  <commentList>
    <comment ref="B5" authorId="0" shapeId="0" xr:uid="{41249CF4-0189-43D0-8431-1CA0ABB7B1E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Power point og mail</t>
      </text>
    </comment>
    <comment ref="B6" authorId="1" shapeId="0" xr:uid="{B2A3CAB1-F168-43AC-8216-F5BBCBC370E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Datablad</t>
      </text>
    </comment>
  </commentList>
</comments>
</file>

<file path=xl/sharedStrings.xml><?xml version="1.0" encoding="utf-8"?>
<sst xmlns="http://schemas.openxmlformats.org/spreadsheetml/2006/main" count="1104" uniqueCount="542">
  <si>
    <t xml:space="preserve">Battery size </t>
  </si>
  <si>
    <t>DoD [%]</t>
  </si>
  <si>
    <t>kWh to be charge</t>
  </si>
  <si>
    <t>Charge</t>
  </si>
  <si>
    <t>kW</t>
  </si>
  <si>
    <t>Plug connection</t>
  </si>
  <si>
    <t xml:space="preserve">Time </t>
  </si>
  <si>
    <t>Time</t>
  </si>
  <si>
    <t>AC</t>
  </si>
  <si>
    <t>3 phase - 32A - 230VAC</t>
  </si>
  <si>
    <t>3 phase - 32A - 400VAC</t>
  </si>
  <si>
    <t>3 phase - 63A - 400VAC</t>
  </si>
  <si>
    <t>DC</t>
  </si>
  <si>
    <t>400 VAC Trafo</t>
  </si>
  <si>
    <t>Charging time can be slightly longer as charging power decreases at the end when the battery is nearly full</t>
  </si>
  <si>
    <t>DoD = Depth of discharge, i.e. discharge rate of battery</t>
  </si>
  <si>
    <t>Scenario</t>
  </si>
  <si>
    <t>Length
[nm]</t>
  </si>
  <si>
    <t>Speed
[knop]</t>
  </si>
  <si>
    <t>Trips per day</t>
  </si>
  <si>
    <t>Operations days per week</t>
  </si>
  <si>
    <t>Operations weeks per year</t>
  </si>
  <si>
    <t>Turism</t>
  </si>
  <si>
    <t>Fish farming</t>
  </si>
  <si>
    <t>Weight group</t>
  </si>
  <si>
    <t>Boat length
[m]</t>
  </si>
  <si>
    <t>Energy consumption
[kWh/nm]</t>
  </si>
  <si>
    <t>Speed</t>
  </si>
  <si>
    <t>RIB</t>
  </si>
  <si>
    <t>7. - 9.</t>
  </si>
  <si>
    <t>3. - 4.</t>
  </si>
  <si>
    <t>cruising speed</t>
  </si>
  <si>
    <t>Slightly heavier boats</t>
  </si>
  <si>
    <t>5. - 6.</t>
  </si>
  <si>
    <t>Cruising speed 
[knop]</t>
  </si>
  <si>
    <t>Boat 1</t>
  </si>
  <si>
    <t>Driving distance [nm]</t>
  </si>
  <si>
    <t>Goldsfish</t>
  </si>
  <si>
    <t>Skarsvåg</t>
  </si>
  <si>
    <t>EL forbruk og kostnad for ett oppdretsanlegg</t>
  </si>
  <si>
    <t>April</t>
  </si>
  <si>
    <t>March</t>
  </si>
  <si>
    <t>February</t>
  </si>
  <si>
    <t>Average</t>
  </si>
  <si>
    <t>Energy consumption in EL
[kWh]</t>
  </si>
  <si>
    <t>DATA</t>
  </si>
  <si>
    <t>[MJ/kWh]</t>
  </si>
  <si>
    <t>CALCULATION</t>
  </si>
  <si>
    <t>Volumetric energy density</t>
  </si>
  <si>
    <t>MJ/L</t>
  </si>
  <si>
    <t>kWh/L</t>
  </si>
  <si>
    <t>Litium-Ion</t>
  </si>
  <si>
    <t>Liquefied Hydrogen</t>
  </si>
  <si>
    <t>Liquefied Ammonia</t>
  </si>
  <si>
    <t>Methanol</t>
  </si>
  <si>
    <t>Methane</t>
  </si>
  <si>
    <t>HFO</t>
  </si>
  <si>
    <t>MGO</t>
  </si>
  <si>
    <t>EN 950</t>
  </si>
  <si>
    <t>Well-to-wake emissions</t>
  </si>
  <si>
    <t>tCO2/t fuel</t>
  </si>
  <si>
    <t>Bio-LNG</t>
  </si>
  <si>
    <t>Green Hydrogen</t>
  </si>
  <si>
    <t>Green Methanol</t>
  </si>
  <si>
    <t>Green Ammonia</t>
  </si>
  <si>
    <t>LNG</t>
  </si>
  <si>
    <t>VLSFO</t>
  </si>
  <si>
    <t>Grey Methanol</t>
  </si>
  <si>
    <t>Grey Ammonia</t>
  </si>
  <si>
    <t>Grey Hydrogen</t>
  </si>
  <si>
    <t>Fuel consumption for Disel motor</t>
  </si>
  <si>
    <t>Generator Size
[kW]</t>
  </si>
  <si>
    <t>1/4 Load
[L/h]</t>
  </si>
  <si>
    <t>1/2 Load
[L/h]</t>
  </si>
  <si>
    <t>3/4Load 
[L/h]</t>
  </si>
  <si>
    <t>Full Load
[L/h]</t>
  </si>
  <si>
    <t>120kW / 150kVA</t>
  </si>
  <si>
    <t>160kW / 200kVA</t>
  </si>
  <si>
    <t>200kW / 250kVA</t>
  </si>
  <si>
    <t>280kW / 350kVA</t>
  </si>
  <si>
    <t>400kW / 500kVA</t>
  </si>
  <si>
    <t>Weight
[kg]</t>
  </si>
  <si>
    <t>Price
[NOK]</t>
  </si>
  <si>
    <t>Weight/ Volume
[kg/dm^3]</t>
  </si>
  <si>
    <t>Volume 
[m^3]</t>
  </si>
  <si>
    <t>Length
[m]</t>
  </si>
  <si>
    <t>Width
[m]</t>
  </si>
  <si>
    <t>Height
[m]</t>
  </si>
  <si>
    <t>Battery 63 kWh, per stk</t>
  </si>
  <si>
    <t>Charger</t>
  </si>
  <si>
    <t>DC distribution</t>
  </si>
  <si>
    <t xml:space="preserve">Cabel </t>
  </si>
  <si>
    <t>Colling system (incl liquid)</t>
  </si>
  <si>
    <t>Control System</t>
  </si>
  <si>
    <t>Screen</t>
  </si>
  <si>
    <t>Throttle</t>
  </si>
  <si>
    <t>Total motor system</t>
  </si>
  <si>
    <t>Boat 2</t>
  </si>
  <si>
    <t>Boat 3</t>
  </si>
  <si>
    <t>Boat 4</t>
  </si>
  <si>
    <t>Boat 5</t>
  </si>
  <si>
    <t>Boat 6</t>
  </si>
  <si>
    <t>Goldfish
X9 EXPLORER</t>
  </si>
  <si>
    <t>SKARVÅG 790</t>
  </si>
  <si>
    <t>SKARVÅG 799</t>
  </si>
  <si>
    <t>SKARSVÅG 990</t>
  </si>
  <si>
    <t>Akva group
Polarcirkel 860</t>
  </si>
  <si>
    <t>PROMEK
GA-modell</t>
  </si>
  <si>
    <t>Hydrolift</t>
  </si>
  <si>
    <t>Length [m]</t>
  </si>
  <si>
    <t>Length [fot]</t>
  </si>
  <si>
    <t>Width hull [m]</t>
  </si>
  <si>
    <t>4. - 8</t>
  </si>
  <si>
    <t>4. -  6</t>
  </si>
  <si>
    <t>Konrad drev
(opsjon jet)</t>
  </si>
  <si>
    <t>400 HP inboard</t>
  </si>
  <si>
    <t>Inboard</t>
  </si>
  <si>
    <t>Outboard</t>
  </si>
  <si>
    <t>Kont. service speed 
[knots]</t>
  </si>
  <si>
    <t xml:space="preserve">30 - 35 </t>
  </si>
  <si>
    <t>25 - 30</t>
  </si>
  <si>
    <t>15 - 55</t>
  </si>
  <si>
    <t>10. - 40</t>
  </si>
  <si>
    <t>15 - 45</t>
  </si>
  <si>
    <t>10. - 35</t>
  </si>
  <si>
    <t>15 - 25</t>
  </si>
  <si>
    <t>17-18</t>
  </si>
  <si>
    <t>Width hull
[m]</t>
  </si>
  <si>
    <t>Driving data</t>
  </si>
  <si>
    <t xml:space="preserve">
</t>
  </si>
  <si>
    <t>Speed [knop]</t>
  </si>
  <si>
    <t>Battery DoD</t>
  </si>
  <si>
    <t>Speed on range extender
[knop]</t>
  </si>
  <si>
    <t>Evoy el-system</t>
  </si>
  <si>
    <t>Energy 
[kWh]</t>
  </si>
  <si>
    <t>Number</t>
  </si>
  <si>
    <t>Total battery energy capacity
[kWh]</t>
  </si>
  <si>
    <t>Actual battery energy capacity considering DoD
[kWh]</t>
  </si>
  <si>
    <t>Driving range considering DoD
crusing fart
[nm]</t>
  </si>
  <si>
    <t>Battery (63kWh)</t>
  </si>
  <si>
    <t>Motor (HURRICANE 300kW)</t>
  </si>
  <si>
    <t>Total</t>
  </si>
  <si>
    <t xml:space="preserve">
</t>
  </si>
  <si>
    <t>Data CH3OH</t>
  </si>
  <si>
    <t>Data H20</t>
  </si>
  <si>
    <t>Data tank &amp; HTPEM</t>
  </si>
  <si>
    <t>Density
[kg/m^3]</t>
  </si>
  <si>
    <t>Outer volume
[dm^3]</t>
  </si>
  <si>
    <t>Inner volume
[dm^3]</t>
  </si>
  <si>
    <t>Density 
[kg/dm^3]</t>
  </si>
  <si>
    <t>Density
[kg/dm^3]</t>
  </si>
  <si>
    <t>Tank 1</t>
  </si>
  <si>
    <t>Volumetric density
[kWh/m^3]</t>
  </si>
  <si>
    <t>Tank 2</t>
  </si>
  <si>
    <t>Volumetric density
[kWh/dm^3]</t>
  </si>
  <si>
    <t>Elektricity</t>
  </si>
  <si>
    <t>HTPEM system</t>
  </si>
  <si>
    <t>Price [NOK/kWh]</t>
  </si>
  <si>
    <t>South Norway</t>
  </si>
  <si>
    <t>Gravimetric density 
[kWh/kg]</t>
  </si>
  <si>
    <t>North Norway</t>
  </si>
  <si>
    <t>Rekkevidde forlenger</t>
  </si>
  <si>
    <t>Range
[nm]</t>
  </si>
  <si>
    <t>Trips pr day</t>
  </si>
  <si>
    <t>Operations days pr week</t>
  </si>
  <si>
    <t>Operations weeks pr year</t>
  </si>
  <si>
    <t>Requried energy from methanol
[kWh]</t>
  </si>
  <si>
    <t>Requried volume of methanol
[dm^3]</t>
  </si>
  <si>
    <t>Weight
Methanol
[kg]</t>
  </si>
  <si>
    <t>Number of tanks</t>
  </si>
  <si>
    <t>Fuel cell data</t>
  </si>
  <si>
    <t>Driving time</t>
  </si>
  <si>
    <t>Efficiency
[%]</t>
  </si>
  <si>
    <t>Speed 
[knots]</t>
  </si>
  <si>
    <t xml:space="preserve">
Required number of fuel cells</t>
  </si>
  <si>
    <t>Weight</t>
  </si>
  <si>
    <t>Weight Battery
[kg]</t>
  </si>
  <si>
    <t>Weight Motor
[kg]</t>
  </si>
  <si>
    <t>Weight fuel cell system
[kg]</t>
  </si>
  <si>
    <t>Weight of storage tank
[kg]</t>
  </si>
  <si>
    <t>Weight of methanol
[kg]</t>
  </si>
  <si>
    <t>Total weight
[kg]</t>
  </si>
  <si>
    <t>Cost</t>
  </si>
  <si>
    <t>Scenario 2
South Norway</t>
  </si>
  <si>
    <t>Cosumption EL 
[kWh]</t>
  </si>
  <si>
    <t>Cost methanol
[NOK]</t>
  </si>
  <si>
    <t>Cost EL in south
[NOK]</t>
  </si>
  <si>
    <t>Sum cost
[NOK]</t>
  </si>
  <si>
    <t>Data EL-system</t>
  </si>
  <si>
    <t xml:space="preserve">
</t>
  </si>
  <si>
    <t>Data for different case</t>
  </si>
  <si>
    <t>DoD (%)</t>
  </si>
  <si>
    <t>Option</t>
  </si>
  <si>
    <t>1: Current EL-system</t>
  </si>
  <si>
    <t>2: Reduced EL-system</t>
  </si>
  <si>
    <t>Case</t>
  </si>
  <si>
    <t>Number of batteries</t>
  </si>
  <si>
    <t>Number of motors</t>
  </si>
  <si>
    <t>Actual battery energy capacity considering DoD 
[kWh]</t>
  </si>
  <si>
    <t>Data range extencion</t>
  </si>
  <si>
    <t>Speed by el system 
[knots] </t>
  </si>
  <si>
    <t>Range 
[nm]</t>
  </si>
  <si>
    <t>Necessery energy to drive at the selected speed
[kWh]</t>
  </si>
  <si>
    <t>Driving range considering DoD
[nm]</t>
  </si>
  <si>
    <t>Necessery power for range extension
[kW]</t>
  </si>
  <si>
    <t xml:space="preserve">
Requried number of fuel cells</t>
  </si>
  <si>
    <t>Density 
[kg/m^3]</t>
  </si>
  <si>
    <t>Speed on range extender
[knots]</t>
  </si>
  <si>
    <t>Volumetric density 
[kg/m^3]</t>
  </si>
  <si>
    <t xml:space="preserve">System data </t>
  </si>
  <si>
    <t>Volumetric density 
[kg/dm^3]</t>
  </si>
  <si>
    <t>Requried range extension
[nm]</t>
  </si>
  <si>
    <t>Requried additional energy
[kWh]</t>
  </si>
  <si>
    <t>Requried energy of methanol
[kWh]</t>
  </si>
  <si>
    <t>Weight battery
[kg]</t>
  </si>
  <si>
    <t>Weight motor
[kg]</t>
  </si>
  <si>
    <t>Total weight
(kg)</t>
  </si>
  <si>
    <t>Prices
[NOK/L]</t>
  </si>
  <si>
    <t>Price
[NOK/kWh]</t>
  </si>
  <si>
    <t>Data tank</t>
  </si>
  <si>
    <t>Estimated thickness of wall
[m]</t>
  </si>
  <si>
    <t>Estimated thickness of wall
[mm]</t>
  </si>
  <si>
    <t>Estimated thickness of wall
[dm]</t>
  </si>
  <si>
    <t>Data stainless steel</t>
  </si>
  <si>
    <t>Custom made tank</t>
  </si>
  <si>
    <t>Inner h/l/w
[dm]</t>
  </si>
  <si>
    <t>Outer h/l/w
[dm]</t>
  </si>
  <si>
    <t>Volume
[dm^3]</t>
  </si>
  <si>
    <t>1 &amp; 2</t>
  </si>
  <si>
    <t>3 &amp; 4</t>
  </si>
  <si>
    <t>Region of Norway</t>
  </si>
  <si>
    <t>Spot price
[NOK/kWh]</t>
  </si>
  <si>
    <t>Driving time Case 3</t>
  </si>
  <si>
    <t>Operation time per distance
[h]</t>
  </si>
  <si>
    <t>Operation time during a day
[h]</t>
  </si>
  <si>
    <t>Operating time during a week
[h]</t>
  </si>
  <si>
    <t>Operation time during a year
[h]</t>
  </si>
  <si>
    <t>Fuel cost, methanol + EL</t>
  </si>
  <si>
    <t>Operations price
[NOK/kWh]</t>
  </si>
  <si>
    <t>Per day</t>
  </si>
  <si>
    <t>Per week</t>
  </si>
  <si>
    <t>Per year</t>
  </si>
  <si>
    <t>Case 3
Driving pattern 2
South Norway</t>
  </si>
  <si>
    <t>Case 3
Driving pattern 4
South Norwat</t>
  </si>
  <si>
    <t>Case 3
Driving pattern 2
North Norway</t>
  </si>
  <si>
    <t>Case 3
Driving pattern 4
North Norway</t>
  </si>
  <si>
    <t>Cost EL in north
[NOK]</t>
  </si>
  <si>
    <t>About Evoy 
and 
the boat</t>
  </si>
  <si>
    <t>Goldfish X9 Explorer</t>
  </si>
  <si>
    <t xml:space="preserve">
Battery size </t>
  </si>
  <si>
    <t xml:space="preserve">
DoD [%]</t>
  </si>
  <si>
    <t xml:space="preserve">
kWh to be charge</t>
  </si>
  <si>
    <t>Driving range consider DoD
[nm]</t>
  </si>
  <si>
    <t>Battery
(63kWh)</t>
  </si>
  <si>
    <t>Motor 
(HURRICANE 300kW)</t>
  </si>
  <si>
    <t xml:space="preserve">
Total</t>
  </si>
  <si>
    <t>Range extension</t>
  </si>
  <si>
    <t>Price 
[NOK/l]</t>
  </si>
  <si>
    <t>Price 
[NOK/kWh]</t>
  </si>
  <si>
    <t>Required range extension
[nm]</t>
  </si>
  <si>
    <t>Required additional energy
[kWh]</t>
  </si>
  <si>
    <t>Required energy from methanol
[kWh]</t>
  </si>
  <si>
    <t>Required volume of methanol
[dm^3]</t>
  </si>
  <si>
    <t>Number of storage tanks</t>
  </si>
  <si>
    <t>Weight methanol and storage tank
[kg]</t>
  </si>
  <si>
    <t>Fuel cell</t>
  </si>
  <si>
    <t>Efficiency 
[%]</t>
  </si>
  <si>
    <t xml:space="preserve">
Required number of fuel cells</t>
  </si>
  <si>
    <t>Scenario 2
North Norway</t>
  </si>
  <si>
    <t>Scenario 4
North Norway</t>
  </si>
  <si>
    <t>Skarsvåg 799</t>
  </si>
  <si>
    <t>Driving range econsidering DoD
crusing fart
[nm]</t>
  </si>
  <si>
    <t>Batteri (63kWh)</t>
  </si>
  <si>
    <t>Methanol 
and 
range
extension</t>
  </si>
  <si>
    <t>Speed
[knots]</t>
  </si>
  <si>
    <t>Weight of fuel cell system
[kg]</t>
  </si>
  <si>
    <t>Weight storage tank
[kg]</t>
  </si>
  <si>
    <t>lXkdCjS3KU2LkLqaB1vdbWX7gDwgVylBsdErxbPaD1BUQjE2OE45WE1WS1FCTjdOVFRYSzlIUVhKNiQlQCN0PWcu</t>
  </si>
  <si>
    <t>Form1</t>
  </si>
  <si>
    <t>{a2acc67a-af4a-4bb7-9552-a93950184afb}</t>
  </si>
  <si>
    <t> </t>
  </si>
  <si>
    <t>Tank 1 </t>
  </si>
  <si>
    <t>Tank 2 </t>
  </si>
  <si>
    <t>Density</t>
  </si>
  <si>
    <t>Inner volume [dm^3] </t>
  </si>
  <si>
    <t>Density methanol 
[kg/m^3]</t>
  </si>
  <si>
    <t>[mm]</t>
  </si>
  <si>
    <t>[dm]</t>
  </si>
  <si>
    <t>[m]</t>
  </si>
  <si>
    <t>Length [m] </t>
  </si>
  <si>
    <t>Density PE [kg/dm^3]</t>
  </si>
  <si>
    <t>Estimated thickness of wall</t>
  </si>
  <si>
    <t>Width [m] </t>
  </si>
  <si>
    <t>Density stainless steel [kg/m^3] </t>
  </si>
  <si>
    <t>Height [m] </t>
  </si>
  <si>
    <t xml:space="preserve">Density stainless steel
[kg/dm^3] </t>
  </si>
  <si>
    <t>Outer volume [m^3]</t>
  </si>
  <si>
    <t>Outer volume [dm^3]</t>
  </si>
  <si>
    <t>Volume of the tank wall [dm^3]</t>
  </si>
  <si>
    <t>Weight PE tank [kg]</t>
  </si>
  <si>
    <t>Weight stainless steel tank [kg] </t>
  </si>
  <si>
    <t>Weight 1 tank [kg]</t>
  </si>
  <si>
    <t>Weight 2 tank [kg]</t>
  </si>
  <si>
    <t>Outer volume tank 1
[dm^3]</t>
  </si>
  <si>
    <t>Outer volume tank 2 
[dm^3]</t>
  </si>
  <si>
    <t>Weight methanol + tank [kg] </t>
  </si>
  <si>
    <t>Evaporator</t>
  </si>
  <si>
    <t>total weight [kg]</t>
  </si>
  <si>
    <t>water weight [kg]</t>
  </si>
  <si>
    <t>metanol weight [kg]</t>
  </si>
  <si>
    <t>Data Methanol</t>
  </si>
  <si>
    <t>Density [kg/m3]</t>
  </si>
  <si>
    <t>Volumetric density 
[kWh/m^3]</t>
  </si>
  <si>
    <t>Volumetric density 
[kWh/dm^3]</t>
  </si>
  <si>
    <t xml:space="preserve">Type </t>
  </si>
  <si>
    <t>Supplaier</t>
  </si>
  <si>
    <t>Model</t>
  </si>
  <si>
    <t>Temperature
[°C]</t>
  </si>
  <si>
    <t>Weight
[kg/kW]</t>
  </si>
  <si>
    <t>Input
[kW]</t>
  </si>
  <si>
    <t>Output/ effect 
[kW]</t>
  </si>
  <si>
    <t>Efficiency 
total
[%]</t>
  </si>
  <si>
    <t>Fuel consumption 
[dm^3/h]</t>
  </si>
  <si>
    <t>Hydrogen 
consumption 
(kg) [kg/hr]</t>
  </si>
  <si>
    <t>Heat rate (HHV) 
[kJ/kWh]</t>
  </si>
  <si>
    <t>Nominal Consumption 
[l/kWh]</t>
  </si>
  <si>
    <t>Nominal capacity 
[kWh]</t>
  </si>
  <si>
    <t>Electrical connection 
[V]</t>
  </si>
  <si>
    <t>Output 
[Hz]</t>
  </si>
  <si>
    <t>Fuels</t>
  </si>
  <si>
    <t>Rated net power output 
[W] on pure H</t>
  </si>
  <si>
    <t>Comment</t>
  </si>
  <si>
    <t>SOFC</t>
  </si>
  <si>
    <t>Bloom energy</t>
  </si>
  <si>
    <t>-20 to 45</t>
  </si>
  <si>
    <t>Min 99,90% Hydrogen</t>
  </si>
  <si>
    <t>Kyocera global</t>
  </si>
  <si>
    <t>Gen 3</t>
  </si>
  <si>
    <t>DMFC</t>
  </si>
  <si>
    <t>EFOY</t>
  </si>
  <si>
    <t>PRO 2800</t>
  </si>
  <si>
    <t>-20 to 50</t>
  </si>
  <si>
    <t xml:space="preserve"> Pro 12000 Duo</t>
  </si>
  <si>
    <t>AFC</t>
  </si>
  <si>
    <t>AFCEnergy</t>
  </si>
  <si>
    <t>HydroX-Cell(L)</t>
  </si>
  <si>
    <t>Greencell</t>
  </si>
  <si>
    <t>HT PEM</t>
  </si>
  <si>
    <t>Blue world</t>
  </si>
  <si>
    <t>Palcan</t>
  </si>
  <si>
    <t>Serenergy</t>
  </si>
  <si>
    <t>S 165L - 65</t>
  </si>
  <si>
    <t>150 to 180</t>
  </si>
  <si>
    <t>Min 50% H2</t>
  </si>
  <si>
    <t>LT PEM</t>
  </si>
  <si>
    <t>Hydrogen 2,5</t>
  </si>
  <si>
    <t>48 (DC)</t>
  </si>
  <si>
    <t>Cummins</t>
  </si>
  <si>
    <t>HD 45</t>
  </si>
  <si>
    <t>59 (LHV)</t>
  </si>
  <si>
    <t>Reformer</t>
  </si>
  <si>
    <t>MVS</t>
  </si>
  <si>
    <t>Element 1</t>
  </si>
  <si>
    <t>https://www.methanol.org/wp-content/uploads/2020/04/Methanol-Fuel-Cells-Blue-World-Technologies-Chongqing-2019.pdf</t>
  </si>
  <si>
    <t>https://www.efoy-pro.com/service/downloads/#cat-technische-daten</t>
  </si>
  <si>
    <t>https://www.efoy-pro.com/wp-content/uploads/sites/10/datasheet-efoy-pro-12000-en.pdf</t>
  </si>
  <si>
    <t>https://www.cummins.com/new-power/technology/fuel-cell</t>
  </si>
  <si>
    <t>Supplier</t>
  </si>
  <si>
    <t>Land</t>
  </si>
  <si>
    <t>Size (kW)</t>
  </si>
  <si>
    <t>Start-up time 
[min]</t>
  </si>
  <si>
    <t>Weight 
[kg]</t>
  </si>
  <si>
    <t>Length 
[m]</t>
  </si>
  <si>
    <t>Width 
[m]</t>
  </si>
  <si>
    <t>Height 
[m]</t>
  </si>
  <si>
    <t>Volume 
[L]</t>
  </si>
  <si>
    <t>Fuel consumption 
[L/kWh]</t>
  </si>
  <si>
    <t>Operation temperature 
fuel cell</t>
  </si>
  <si>
    <t>Operation temperature 
reformer</t>
  </si>
  <si>
    <t>Status</t>
  </si>
  <si>
    <t>Blue world technologies</t>
  </si>
  <si>
    <t>Denmark</t>
  </si>
  <si>
    <t>15-25</t>
  </si>
  <si>
    <t>In developing</t>
  </si>
  <si>
    <t>Kina</t>
  </si>
  <si>
    <t>Length
[m] </t>
  </si>
  <si>
    <t>Volume 
[dm^3]</t>
  </si>
  <si>
    <t>Total system </t>
  </si>
  <si>
    <t>Battery</t>
  </si>
  <si>
    <t>System without battery</t>
  </si>
  <si>
    <t>Dimmensioning</t>
  </si>
  <si>
    <t>1 stack
[kW]</t>
  </si>
  <si>
    <t>PRICE PEMFC</t>
  </si>
  <si>
    <t>MEA</t>
  </si>
  <si>
    <t>4 450 816</t>
  </si>
  <si>
    <t>2 876 340</t>
  </si>
  <si>
    <t>979 182</t>
  </si>
  <si>
    <t>Anode Pakning</t>
  </si>
  <si>
    <t>111 616</t>
  </si>
  <si>
    <t>72 132</t>
  </si>
  <si>
    <t>24 524</t>
  </si>
  <si>
    <t>Katode Pakning</t>
  </si>
  <si>
    <t>47 808</t>
  </si>
  <si>
    <t>30 896</t>
  </si>
  <si>
    <t>10 519</t>
  </si>
  <si>
    <t>Anode Bipolar Plate</t>
  </si>
  <si>
    <t>368 672</t>
  </si>
  <si>
    <t>238 254</t>
  </si>
  <si>
    <t>81 110</t>
  </si>
  <si>
    <t>Katode Bipolar Plate</t>
  </si>
  <si>
    <t>336 352</t>
  </si>
  <si>
    <t>217 367</t>
  </si>
  <si>
    <t>73 999</t>
  </si>
  <si>
    <t>Sluttplate</t>
  </si>
  <si>
    <t>22 816</t>
  </si>
  <si>
    <t>14 745</t>
  </si>
  <si>
    <t>5 020</t>
  </si>
  <si>
    <t>Monteringsutstyr </t>
  </si>
  <si>
    <t>116 800</t>
  </si>
  <si>
    <t>75 482</t>
  </si>
  <si>
    <t>25 700</t>
  </si>
  <si>
    <t>Monteringsarbeid</t>
  </si>
  <si>
    <t>39 680</t>
  </si>
  <si>
    <t>25 643</t>
  </si>
  <si>
    <t>8 736</t>
  </si>
  <si>
    <t>Tester</t>
  </si>
  <si>
    <t>149 056</t>
  </si>
  <si>
    <t>96 327</t>
  </si>
  <si>
    <t>32 795</t>
  </si>
  <si>
    <t>5 643 616</t>
  </si>
  <si>
    <t>3 647 187</t>
  </si>
  <si>
    <t>1 241 585</t>
  </si>
  <si>
    <t>30 100 NOK/kW</t>
  </si>
  <si>
    <t>18 250 NOK/kW</t>
  </si>
  <si>
    <t>6199 NOK/kW</t>
  </si>
  <si>
    <t>Pris per Stack </t>
  </si>
  <si>
    <t>Pris totalt antall stacks </t>
  </si>
  <si>
    <t>73 367 008</t>
  </si>
  <si>
    <t>47 413 429</t>
  </si>
  <si>
    <t>16 140 601</t>
  </si>
  <si>
    <t>Pris BOP</t>
  </si>
  <si>
    <t>3 027 933</t>
  </si>
  <si>
    <t>76 394 941</t>
  </si>
  <si>
    <t>50 441 361</t>
  </si>
  <si>
    <t>19 168 534</t>
  </si>
  <si>
    <t>Density methanol</t>
  </si>
  <si>
    <t>Efficiency</t>
  </si>
  <si>
    <t>DoD</t>
  </si>
  <si>
    <t>Efficiency
Methanol system</t>
  </si>
  <si>
    <t xml:space="preserve"> Volumetric density
[kWh/dm^3]</t>
  </si>
  <si>
    <t>Volume
[m^3]</t>
  </si>
  <si>
    <t>Weight
[m]</t>
  </si>
  <si>
    <t>Energy
[kWh]</t>
  </si>
  <si>
    <t>Density Evoy`s
 battery</t>
  </si>
  <si>
    <t>Weigth CH3OH 
[kg]</t>
  </si>
  <si>
    <t>Lagringstank CH3OH</t>
  </si>
  <si>
    <t>Price of energy
[NOK/kWh]</t>
  </si>
  <si>
    <t>Cost of EL consumption
[NOK]</t>
  </si>
  <si>
    <t>Motor Assembly Hurricane</t>
  </si>
  <si>
    <t>Number of seats</t>
  </si>
  <si>
    <t>Propulsion</t>
  </si>
  <si>
    <t>Least number of battery pack 63 [kWh]</t>
  </si>
  <si>
    <t xml:space="preserve">Least number of motor 300 [kW]
</t>
  </si>
  <si>
    <t>Highest number of motor 300 [kW]</t>
  </si>
  <si>
    <t>Highest number of battery pack 63 [kWh]</t>
  </si>
  <si>
    <t>Estimeted range [nm]</t>
  </si>
  <si>
    <t>Largest boat alternative</t>
  </si>
  <si>
    <t>Medium boat alternative</t>
  </si>
  <si>
    <t>Smallest boat alternative</t>
  </si>
  <si>
    <t>Boat 1-6 are codenames because of anonymity</t>
  </si>
  <si>
    <t>Length
[feet]</t>
  </si>
  <si>
    <t>Required energy from the batteries [kWh]</t>
  </si>
  <si>
    <t>Power output [kW]</t>
  </si>
  <si>
    <t>Data of the boat and the
 EL-system</t>
  </si>
  <si>
    <t>Price [NOK/l]</t>
  </si>
  <si>
    <t>Methanol and range extender</t>
  </si>
  <si>
    <t>Required additional energy [kWh]</t>
  </si>
  <si>
    <t>Weight of
tanks
[kg]</t>
  </si>
  <si>
    <t>Weight methanol and 
tanks
[kg]</t>
  </si>
  <si>
    <t>Fuel cell system</t>
  </si>
  <si>
    <t>Required power
[kW]</t>
  </si>
  <si>
    <t>Weight per fuel cell system
[kg]</t>
  </si>
  <si>
    <t>Power per fuel cell system
[kW]</t>
  </si>
  <si>
    <t>Total weight of fuel cell system
[kg]</t>
  </si>
  <si>
    <t>Driving time per ride
[h]</t>
  </si>
  <si>
    <t>Operation time per day
[h]</t>
  </si>
  <si>
    <t>Operation time per week
[h]</t>
  </si>
  <si>
    <t>Operation time per year
[h]</t>
  </si>
  <si>
    <t>Consumption methanol
 [kWh]</t>
  </si>
  <si>
    <t>Cost electricity in south
[NOK]</t>
  </si>
  <si>
    <t>Power motor 
[kW]</t>
  </si>
  <si>
    <t>Weight per battery
[kg]</t>
  </si>
  <si>
    <t>Energy per battery
[kWh]</t>
  </si>
  <si>
    <t>Weight per motor
[kg]</t>
  </si>
  <si>
    <t>Efficiency for fuel cell system</t>
  </si>
  <si>
    <t>Price per fuel cell system (CAPEX)
[NOK/kWh]</t>
  </si>
  <si>
    <t>South of Norway</t>
  </si>
  <si>
    <t>Northof  Norway</t>
  </si>
  <si>
    <t>Price including VAT 
[NOK/kWh]</t>
  </si>
  <si>
    <t>Price without VAT
[NOK/kWh]</t>
  </si>
  <si>
    <t>North of Norway</t>
  </si>
  <si>
    <t>Operation price
[NOK/kWh]</t>
  </si>
  <si>
    <t>Cost fuel cell system
(CAPEX)
[NOK]</t>
  </si>
  <si>
    <t>Required power [kW]</t>
  </si>
  <si>
    <t>Weight per FC 
[kg]</t>
  </si>
  <si>
    <t>Power per FC
[kW]</t>
  </si>
  <si>
    <t>Total weight fuel cell system 
[kg]</t>
  </si>
  <si>
    <t>Cost fuel cell system 
[NOK/kW]</t>
  </si>
  <si>
    <t>Cost fuel cell system
[NOK]</t>
  </si>
  <si>
    <t>Weight of motor
[kg]</t>
  </si>
  <si>
    <t>Weight of battery
[kg]</t>
  </si>
  <si>
    <t>Consumption EL 
[kWh]</t>
  </si>
  <si>
    <t>Number of trips pr day</t>
  </si>
  <si>
    <t>Number of operation days pr week</t>
  </si>
  <si>
    <t>Number of operation weeks pr year</t>
  </si>
  <si>
    <t>South ofNorway</t>
  </si>
  <si>
    <t xml:space="preserve">Data from Evoy's investment analysis program </t>
  </si>
  <si>
    <t>Repayment period without support
[Year]</t>
  </si>
  <si>
    <t>Repayment period with support
[Year]</t>
  </si>
  <si>
    <t>Cost savings with support
[NOK]</t>
  </si>
  <si>
    <t>Scenario 2
North of Norway</t>
  </si>
  <si>
    <t>Cost savings without support
[NOK]</t>
  </si>
  <si>
    <t>Scenarion 2
South of Norway</t>
  </si>
  <si>
    <t>Scenario 4
South of Norway</t>
  </si>
  <si>
    <t>Scenario 4
North of Norway</t>
  </si>
  <si>
    <t>About Evoy's electric motor system and the boat</t>
  </si>
  <si>
    <t>Operation days per week</t>
  </si>
  <si>
    <t>Operation weeks per year</t>
  </si>
  <si>
    <t>Total weight fuel cell system
[kg]</t>
  </si>
  <si>
    <t>Consumption of methanol
 [kWh]</t>
  </si>
  <si>
    <t>Repayment without support
[Year]</t>
  </si>
  <si>
    <t>Tank thickness</t>
  </si>
  <si>
    <t>Too heavy</t>
  </si>
  <si>
    <t>Price per fuel 
[NOK/kW]</t>
  </si>
  <si>
    <t>Price fuel cell</t>
  </si>
  <si>
    <t>Price for 20kW fuel cell
[NOK]</t>
  </si>
  <si>
    <t>Total costs per stack [200 kW]</t>
  </si>
  <si>
    <t>Total costs PEMFC</t>
  </si>
  <si>
    <t>Total [kW]</t>
  </si>
  <si>
    <t>Energy including DoD
[kWh]</t>
  </si>
  <si>
    <t>Output energy
[kWh]</t>
  </si>
  <si>
    <t>PEM Stack components
[NOK/kW]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</si>
</sst>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0.000"/>
    <numFmt numFmtId="165" formatCode="0.0"/>
    <numFmt numFmtId="166" formatCode="0.000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333333"/>
      <name val="Arial,Bold"/>
      <charset val="1"/>
    </font>
    <font>
      <sz val="10"/>
      <color rgb="FF333333"/>
      <name val="Arial"/>
      <family val="2"/>
    </font>
    <font>
      <sz val="12"/>
      <color rgb="FF000000"/>
      <name val="Times New Roman"/>
      <family val="1"/>
    </font>
    <font>
      <sz val="12"/>
      <color rgb="FFED7D3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444444"/>
      <name val="Times New Roman"/>
      <family val="1"/>
    </font>
    <font>
      <b/>
      <sz val="12"/>
      <color rgb="FFFF0000"/>
      <name val="Times New Roman"/>
      <family val="1"/>
    </font>
    <font>
      <sz val="12"/>
      <color rgb="FF555555"/>
      <name val="Times New Roman"/>
      <family val="1"/>
    </font>
    <font>
      <b/>
      <sz val="12"/>
      <color rgb="FF223747"/>
      <name val="Times New Roman"/>
      <family val="1"/>
    </font>
    <font>
      <u/>
      <sz val="12"/>
      <color theme="10"/>
      <name val="Times New Roman"/>
      <family val="1"/>
    </font>
    <font>
      <sz val="12"/>
      <color rgb="FF201F1E"/>
      <name val="Times New Roman"/>
      <family val="1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sz val="12"/>
      <color rgb="FF4472C4"/>
      <name val="Times New Roman"/>
      <family val="1"/>
    </font>
    <font>
      <sz val="12"/>
      <color rgb="FF7030A0"/>
      <name val="Times New Roman"/>
      <family val="1"/>
    </font>
    <font>
      <sz val="12"/>
      <color rgb="FF92D050"/>
      <name val="Times New Roman"/>
      <family val="1"/>
    </font>
    <font>
      <b/>
      <sz val="12"/>
      <color rgb="FF44444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auto="1"/>
      </top>
      <bottom style="thin">
        <color auto="1"/>
      </bottom>
      <diagonal/>
    </border>
    <border>
      <left/>
      <right style="thick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ck">
        <color rgb="FF000000"/>
      </right>
      <top style="thin">
        <color auto="1"/>
      </top>
      <bottom/>
      <diagonal/>
    </border>
    <border>
      <left style="thick">
        <color rgb="FF000000"/>
      </left>
      <right style="thin">
        <color auto="1"/>
      </right>
      <top style="thick">
        <color rgb="FF000000"/>
      </top>
      <bottom style="thick">
        <color rgb="FF000000"/>
      </bottom>
      <diagonal/>
    </border>
    <border>
      <left style="thin">
        <color auto="1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dashed">
        <color rgb="FFBBBBBB"/>
      </left>
      <right style="dashed">
        <color rgb="FFBBBBBB"/>
      </right>
      <top style="dashed">
        <color rgb="FFBBBBBB"/>
      </top>
      <bottom style="dashed">
        <color rgb="FFBBBBBB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auto="1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ck">
        <color rgb="FF000000"/>
      </top>
      <bottom/>
      <diagonal/>
    </border>
    <border>
      <left style="thin">
        <color auto="1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5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0" borderId="41" xfId="0" applyBorder="1"/>
    <xf numFmtId="0" fontId="0" fillId="0" borderId="42" xfId="0" applyBorder="1"/>
    <xf numFmtId="0" fontId="0" fillId="0" borderId="73" xfId="0" applyBorder="1"/>
    <xf numFmtId="0" fontId="0" fillId="0" borderId="30" xfId="0" applyBorder="1"/>
    <xf numFmtId="0" fontId="0" fillId="0" borderId="40" xfId="0" applyBorder="1"/>
    <xf numFmtId="0" fontId="5" fillId="0" borderId="0" xfId="0" applyFont="1"/>
    <xf numFmtId="44" fontId="0" fillId="0" borderId="0" xfId="0" applyNumberForma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4" fontId="10" fillId="3" borderId="0" xfId="0" applyNumberFormat="1" applyFont="1" applyFill="1" applyAlignment="1">
      <alignment horizontal="center"/>
    </xf>
    <xf numFmtId="4" fontId="0" fillId="0" borderId="0" xfId="0" applyNumberFormat="1"/>
    <xf numFmtId="4" fontId="10" fillId="2" borderId="0" xfId="0" applyNumberFormat="1" applyFont="1" applyFill="1" applyAlignment="1">
      <alignment horizontal="center"/>
    </xf>
    <xf numFmtId="4" fontId="0" fillId="0" borderId="41" xfId="0" applyNumberFormat="1" applyBorder="1"/>
    <xf numFmtId="4" fontId="0" fillId="0" borderId="40" xfId="0" applyNumberFormat="1" applyBorder="1"/>
    <xf numFmtId="4" fontId="0" fillId="0" borderId="42" xfId="0" applyNumberFormat="1" applyBorder="1"/>
    <xf numFmtId="4" fontId="9" fillId="0" borderId="0" xfId="0" applyNumberFormat="1" applyFont="1"/>
    <xf numFmtId="4" fontId="0" fillId="0" borderId="30" xfId="0" applyNumberFormat="1" applyBorder="1"/>
    <xf numFmtId="4" fontId="0" fillId="0" borderId="73" xfId="0" applyNumberFormat="1" applyBorder="1"/>
    <xf numFmtId="4" fontId="12" fillId="0" borderId="0" xfId="0" applyNumberFormat="1" applyFont="1"/>
    <xf numFmtId="4" fontId="9" fillId="0" borderId="6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9" fillId="0" borderId="57" xfId="0" applyNumberFormat="1" applyFont="1" applyBorder="1" applyAlignment="1">
      <alignment horizontal="center" vertical="center"/>
    </xf>
    <xf numFmtId="4" fontId="10" fillId="2" borderId="7" xfId="0" applyNumberFormat="1" applyFont="1" applyFill="1" applyBorder="1"/>
    <xf numFmtId="4" fontId="10" fillId="2" borderId="6" xfId="0" applyNumberFormat="1" applyFont="1" applyFill="1" applyBorder="1"/>
    <xf numFmtId="4" fontId="11" fillId="0" borderId="57" xfId="0" applyNumberFormat="1" applyFont="1" applyBorder="1"/>
    <xf numFmtId="4" fontId="10" fillId="0" borderId="63" xfId="0" applyNumberFormat="1" applyFont="1" applyBorder="1"/>
    <xf numFmtId="4" fontId="10" fillId="0" borderId="20" xfId="0" applyNumberFormat="1" applyFont="1" applyBorder="1" applyAlignment="1">
      <alignment wrapText="1"/>
    </xf>
    <xf numFmtId="4" fontId="6" fillId="0" borderId="94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4" fontId="6" fillId="0" borderId="43" xfId="0" applyNumberFormat="1" applyFont="1" applyBorder="1" applyAlignment="1">
      <alignment wrapText="1"/>
    </xf>
    <xf numFmtId="4" fontId="10" fillId="0" borderId="20" xfId="0" applyNumberFormat="1" applyFont="1" applyBorder="1"/>
    <xf numFmtId="4" fontId="6" fillId="2" borderId="8" xfId="0" applyNumberFormat="1" applyFont="1" applyFill="1" applyBorder="1" applyAlignment="1">
      <alignment horizontal="right" wrapText="1"/>
    </xf>
    <xf numFmtId="4" fontId="6" fillId="2" borderId="21" xfId="0" applyNumberFormat="1" applyFont="1" applyFill="1" applyBorder="1" applyAlignment="1">
      <alignment horizontal="right" wrapText="1"/>
    </xf>
    <xf numFmtId="4" fontId="6" fillId="2" borderId="53" xfId="0" applyNumberFormat="1" applyFont="1" applyFill="1" applyBorder="1" applyAlignment="1">
      <alignment horizontal="right" wrapText="1"/>
    </xf>
    <xf numFmtId="4" fontId="6" fillId="3" borderId="59" xfId="0" applyNumberFormat="1" applyFont="1" applyFill="1" applyBorder="1" applyAlignment="1">
      <alignment horizontal="right" wrapText="1"/>
    </xf>
    <xf numFmtId="4" fontId="6" fillId="3" borderId="51" xfId="0" applyNumberFormat="1" applyFont="1" applyFill="1" applyBorder="1" applyAlignment="1">
      <alignment wrapText="1"/>
    </xf>
    <xf numFmtId="4" fontId="6" fillId="2" borderId="24" xfId="0" applyNumberFormat="1" applyFont="1" applyFill="1" applyBorder="1" applyAlignment="1">
      <alignment wrapText="1"/>
    </xf>
    <xf numFmtId="4" fontId="10" fillId="2" borderId="33" xfId="0" applyNumberFormat="1" applyFont="1" applyFill="1" applyBorder="1"/>
    <xf numFmtId="4" fontId="10" fillId="2" borderId="23" xfId="0" applyNumberFormat="1" applyFont="1" applyFill="1" applyBorder="1"/>
    <xf numFmtId="4" fontId="10" fillId="2" borderId="34" xfId="0" applyNumberFormat="1" applyFont="1" applyFill="1" applyBorder="1"/>
    <xf numFmtId="4" fontId="10" fillId="2" borderId="54" xfId="0" applyNumberFormat="1" applyFont="1" applyFill="1" applyBorder="1"/>
    <xf numFmtId="4" fontId="10" fillId="2" borderId="1" xfId="0" applyNumberFormat="1" applyFont="1" applyFill="1" applyBorder="1"/>
    <xf numFmtId="4" fontId="10" fillId="2" borderId="18" xfId="0" applyNumberFormat="1" applyFont="1" applyFill="1" applyBorder="1"/>
    <xf numFmtId="4" fontId="10" fillId="2" borderId="66" xfId="0" applyNumberFormat="1" applyFont="1" applyFill="1" applyBorder="1"/>
    <xf numFmtId="4" fontId="10" fillId="0" borderId="17" xfId="0" applyNumberFormat="1" applyFont="1" applyBorder="1" applyAlignment="1">
      <alignment wrapText="1"/>
    </xf>
    <xf numFmtId="4" fontId="10" fillId="0" borderId="60" xfId="0" applyNumberFormat="1" applyFont="1" applyBorder="1" applyAlignment="1">
      <alignment horizontal="center" vertical="center" wrapText="1"/>
    </xf>
    <xf numFmtId="4" fontId="10" fillId="0" borderId="62" xfId="0" applyNumberFormat="1" applyFont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wrapText="1"/>
    </xf>
    <xf numFmtId="4" fontId="6" fillId="3" borderId="24" xfId="0" applyNumberFormat="1" applyFont="1" applyFill="1" applyBorder="1" applyAlignment="1">
      <alignment wrapText="1"/>
    </xf>
    <xf numFmtId="4" fontId="8" fillId="0" borderId="60" xfId="0" applyNumberFormat="1" applyFont="1" applyBorder="1" applyAlignment="1">
      <alignment horizontal="center" wrapText="1"/>
    </xf>
    <xf numFmtId="4" fontId="8" fillId="0" borderId="62" xfId="0" applyNumberFormat="1" applyFont="1" applyBorder="1" applyAlignment="1">
      <alignment horizontal="center" wrapText="1"/>
    </xf>
    <xf numFmtId="4" fontId="8" fillId="0" borderId="60" xfId="0" applyNumberFormat="1" applyFont="1" applyBorder="1" applyAlignment="1">
      <alignment horizontal="center" vertical="center" wrapText="1"/>
    </xf>
    <xf numFmtId="4" fontId="8" fillId="0" borderId="62" xfId="0" applyNumberFormat="1" applyFont="1" applyBorder="1" applyAlignment="1">
      <alignment horizontal="center" vertical="center" wrapText="1"/>
    </xf>
    <xf numFmtId="4" fontId="9" fillId="0" borderId="60" xfId="0" applyNumberFormat="1" applyFont="1" applyBorder="1"/>
    <xf numFmtId="4" fontId="11" fillId="0" borderId="57" xfId="0" applyNumberFormat="1" applyFont="1" applyBorder="1" applyAlignment="1">
      <alignment horizontal="center" vertical="center"/>
    </xf>
    <xf numFmtId="4" fontId="11" fillId="0" borderId="60" xfId="0" applyNumberFormat="1" applyFont="1" applyBorder="1"/>
    <xf numFmtId="4" fontId="8" fillId="0" borderId="45" xfId="0" applyNumberFormat="1" applyFont="1" applyBorder="1" applyAlignment="1">
      <alignment horizontal="center" vertical="center"/>
    </xf>
    <xf numFmtId="4" fontId="8" fillId="0" borderId="72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wrapText="1"/>
    </xf>
    <xf numFmtId="4" fontId="8" fillId="0" borderId="6" xfId="0" applyNumberFormat="1" applyFont="1" applyBorder="1" applyAlignment="1">
      <alignment wrapText="1"/>
    </xf>
    <xf numFmtId="4" fontId="8" fillId="0" borderId="23" xfId="0" applyNumberFormat="1" applyFont="1" applyBorder="1" applyAlignment="1">
      <alignment wrapText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wrapText="1"/>
    </xf>
    <xf numFmtId="4" fontId="11" fillId="0" borderId="27" xfId="0" applyNumberFormat="1" applyFont="1" applyBorder="1" applyAlignment="1">
      <alignment horizontal="center" vertical="center"/>
    </xf>
    <xf numFmtId="4" fontId="11" fillId="0" borderId="28" xfId="0" applyNumberFormat="1" applyFont="1" applyBorder="1"/>
    <xf numFmtId="4" fontId="8" fillId="0" borderId="18" xfId="0" applyNumberFormat="1" applyFont="1" applyBorder="1" applyAlignment="1">
      <alignment wrapText="1"/>
    </xf>
    <xf numFmtId="4" fontId="11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2" fillId="0" borderId="42" xfId="0" applyNumberFormat="1" applyFont="1" applyBorder="1" applyAlignment="1">
      <alignment wrapText="1"/>
    </xf>
    <xf numFmtId="4" fontId="5" fillId="0" borderId="42" xfId="0" applyNumberFormat="1" applyFont="1" applyBorder="1"/>
    <xf numFmtId="4" fontId="9" fillId="0" borderId="0" xfId="0" applyNumberFormat="1" applyFont="1" applyAlignment="1">
      <alignment horizontal="center" vertical="center" wrapText="1"/>
    </xf>
    <xf numFmtId="4" fontId="11" fillId="0" borderId="4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/>
    <xf numFmtId="4" fontId="8" fillId="0" borderId="123" xfId="0" applyNumberFormat="1" applyFont="1" applyBorder="1" applyAlignment="1">
      <alignment wrapText="1"/>
    </xf>
    <xf numFmtId="4" fontId="8" fillId="0" borderId="116" xfId="0" applyNumberFormat="1" applyFont="1" applyBorder="1" applyAlignment="1">
      <alignment wrapText="1"/>
    </xf>
    <xf numFmtId="4" fontId="16" fillId="3" borderId="24" xfId="0" applyNumberFormat="1" applyFont="1" applyFill="1" applyBorder="1"/>
    <xf numFmtId="4" fontId="16" fillId="2" borderId="7" xfId="1" applyNumberFormat="1" applyFont="1" applyFill="1" applyBorder="1"/>
    <xf numFmtId="4" fontId="16" fillId="2" borderId="23" xfId="1" applyNumberFormat="1" applyFont="1" applyFill="1" applyBorder="1"/>
    <xf numFmtId="4" fontId="16" fillId="3" borderId="62" xfId="0" applyNumberFormat="1" applyFont="1" applyFill="1" applyBorder="1"/>
    <xf numFmtId="4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 wrapText="1"/>
    </xf>
    <xf numFmtId="4" fontId="17" fillId="0" borderId="30" xfId="0" applyNumberFormat="1" applyFont="1" applyBorder="1" applyAlignment="1">
      <alignment horizontal="right" wrapText="1"/>
    </xf>
    <xf numFmtId="4" fontId="16" fillId="0" borderId="22" xfId="0" applyNumberFormat="1" applyFont="1" applyBorder="1"/>
    <xf numFmtId="4" fontId="18" fillId="0" borderId="0" xfId="0" applyNumberFormat="1" applyFont="1"/>
    <xf numFmtId="4" fontId="19" fillId="0" borderId="0" xfId="0" applyNumberFormat="1" applyFont="1"/>
    <xf numFmtId="4" fontId="20" fillId="3" borderId="21" xfId="0" applyNumberFormat="1" applyFont="1" applyFill="1" applyBorder="1"/>
    <xf numFmtId="0" fontId="16" fillId="0" borderId="22" xfId="0" applyFont="1" applyBorder="1" applyAlignment="1">
      <alignment vertical="center"/>
    </xf>
    <xf numFmtId="0" fontId="16" fillId="3" borderId="62" xfId="0" applyFont="1" applyFill="1" applyBorder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30" xfId="0" applyFont="1" applyBorder="1" applyAlignment="1">
      <alignment horizontal="right" wrapText="1"/>
    </xf>
    <xf numFmtId="0" fontId="16" fillId="2" borderId="18" xfId="1" applyFont="1" applyFill="1" applyBorder="1"/>
    <xf numFmtId="0" fontId="16" fillId="2" borderId="23" xfId="1" applyFont="1" applyFill="1" applyBorder="1"/>
    <xf numFmtId="0" fontId="18" fillId="0" borderId="0" xfId="0" applyFont="1"/>
    <xf numFmtId="0" fontId="16" fillId="3" borderId="21" xfId="0" applyFont="1" applyFill="1" applyBorder="1"/>
    <xf numFmtId="0" fontId="16" fillId="3" borderId="21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3" borderId="6" xfId="0" applyFont="1" applyFill="1" applyBorder="1" applyAlignment="1">
      <alignment wrapText="1"/>
    </xf>
    <xf numFmtId="0" fontId="21" fillId="0" borderId="0" xfId="0" applyFont="1"/>
    <xf numFmtId="0" fontId="19" fillId="0" borderId="0" xfId="0" applyFont="1"/>
    <xf numFmtId="0" fontId="22" fillId="0" borderId="0" xfId="0" applyFont="1"/>
    <xf numFmtId="0" fontId="24" fillId="0" borderId="0" xfId="1" applyFont="1"/>
    <xf numFmtId="0" fontId="16" fillId="3" borderId="18" xfId="0" applyFont="1" applyFill="1" applyBorder="1"/>
    <xf numFmtId="0" fontId="16" fillId="3" borderId="23" xfId="0" applyFont="1" applyFill="1" applyBorder="1"/>
    <xf numFmtId="0" fontId="19" fillId="3" borderId="23" xfId="0" applyFont="1" applyFill="1" applyBorder="1"/>
    <xf numFmtId="10" fontId="16" fillId="3" borderId="72" xfId="0" applyNumberFormat="1" applyFont="1" applyFill="1" applyBorder="1" applyAlignment="1">
      <alignment wrapText="1"/>
    </xf>
    <xf numFmtId="0" fontId="18" fillId="2" borderId="65" xfId="0" applyFont="1" applyFill="1" applyBorder="1"/>
    <xf numFmtId="164" fontId="16" fillId="2" borderId="66" xfId="0" applyNumberFormat="1" applyFont="1" applyFill="1" applyBorder="1"/>
    <xf numFmtId="2" fontId="16" fillId="2" borderId="56" xfId="0" applyNumberFormat="1" applyFont="1" applyFill="1" applyBorder="1"/>
    <xf numFmtId="0" fontId="26" fillId="0" borderId="105" xfId="0" applyFont="1" applyBorder="1" applyAlignment="1">
      <alignment wrapText="1"/>
    </xf>
    <xf numFmtId="2" fontId="27" fillId="0" borderId="105" xfId="0" applyNumberFormat="1" applyFont="1" applyBorder="1" applyAlignment="1">
      <alignment wrapText="1"/>
    </xf>
    <xf numFmtId="0" fontId="27" fillId="0" borderId="105" xfId="0" applyFont="1" applyBorder="1" applyAlignment="1">
      <alignment wrapText="1"/>
    </xf>
    <xf numFmtId="0" fontId="26" fillId="0" borderId="0" xfId="0" applyFont="1" applyAlignment="1">
      <alignment wrapText="1"/>
    </xf>
    <xf numFmtId="0" fontId="16" fillId="0" borderId="0" xfId="0" applyFont="1"/>
    <xf numFmtId="0" fontId="16" fillId="0" borderId="42" xfId="0" applyFont="1" applyBorder="1"/>
    <xf numFmtId="0" fontId="28" fillId="0" borderId="0" xfId="0" applyFont="1"/>
    <xf numFmtId="0" fontId="17" fillId="0" borderId="0" xfId="0" applyFont="1"/>
    <xf numFmtId="0" fontId="29" fillId="0" borderId="0" xfId="0" applyFont="1"/>
    <xf numFmtId="0" fontId="30" fillId="0" borderId="0" xfId="0" applyFont="1"/>
    <xf numFmtId="0" fontId="16" fillId="0" borderId="30" xfId="0" applyFont="1" applyBorder="1"/>
    <xf numFmtId="0" fontId="16" fillId="5" borderId="20" xfId="0" applyFont="1" applyFill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6" borderId="6" xfId="0" applyFont="1" applyFill="1" applyBorder="1"/>
    <xf numFmtId="0" fontId="16" fillId="0" borderId="6" xfId="0" applyFont="1" applyBorder="1"/>
    <xf numFmtId="0" fontId="16" fillId="4" borderId="6" xfId="0" applyFont="1" applyFill="1" applyBorder="1"/>
    <xf numFmtId="0" fontId="16" fillId="0" borderId="33" xfId="0" applyFont="1" applyBorder="1"/>
    <xf numFmtId="0" fontId="16" fillId="0" borderId="21" xfId="0" applyFont="1" applyBorder="1"/>
    <xf numFmtId="16" fontId="16" fillId="0" borderId="6" xfId="0" applyNumberFormat="1" applyFont="1" applyBorder="1" applyAlignment="1">
      <alignment horizontal="right"/>
    </xf>
    <xf numFmtId="0" fontId="16" fillId="5" borderId="20" xfId="0" applyFont="1" applyFill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17" fontId="16" fillId="0" borderId="6" xfId="0" applyNumberFormat="1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0" fontId="16" fillId="5" borderId="22" xfId="0" applyFont="1" applyFill="1" applyBorder="1"/>
    <xf numFmtId="0" fontId="16" fillId="0" borderId="23" xfId="0" applyFont="1" applyBorder="1"/>
    <xf numFmtId="0" fontId="16" fillId="6" borderId="23" xfId="0" applyFont="1" applyFill="1" applyBorder="1"/>
    <xf numFmtId="0" fontId="16" fillId="4" borderId="23" xfId="0" applyFont="1" applyFill="1" applyBorder="1"/>
    <xf numFmtId="0" fontId="16" fillId="0" borderId="34" xfId="0" applyFont="1" applyBorder="1"/>
    <xf numFmtId="0" fontId="16" fillId="0" borderId="24" xfId="0" applyFont="1" applyBorder="1"/>
    <xf numFmtId="4" fontId="16" fillId="3" borderId="69" xfId="0" applyNumberFormat="1" applyFont="1" applyFill="1" applyBorder="1"/>
    <xf numFmtId="4" fontId="16" fillId="2" borderId="67" xfId="0" applyNumberFormat="1" applyFont="1" applyFill="1" applyBorder="1"/>
    <xf numFmtId="4" fontId="24" fillId="0" borderId="0" xfId="1" applyNumberFormat="1" applyFont="1" applyBorder="1"/>
    <xf numFmtId="4" fontId="16" fillId="2" borderId="24" xfId="1" applyNumberFormat="1" applyFont="1" applyFill="1" applyBorder="1"/>
    <xf numFmtId="0" fontId="18" fillId="7" borderId="89" xfId="0" applyFont="1" applyFill="1" applyBorder="1" applyAlignment="1">
      <alignment wrapText="1"/>
    </xf>
    <xf numFmtId="0" fontId="16" fillId="3" borderId="0" xfId="0" applyFont="1" applyFill="1" applyAlignment="1">
      <alignment horizontal="center" vertical="center"/>
    </xf>
    <xf numFmtId="0" fontId="25" fillId="3" borderId="19" xfId="0" applyFont="1" applyFill="1" applyBorder="1"/>
    <xf numFmtId="0" fontId="25" fillId="3" borderId="24" xfId="0" applyFont="1" applyFill="1" applyBorder="1"/>
    <xf numFmtId="0" fontId="16" fillId="3" borderId="43" xfId="0" applyFont="1" applyFill="1" applyBorder="1"/>
    <xf numFmtId="0" fontId="16" fillId="3" borderId="44" xfId="0" applyFont="1" applyFill="1" applyBorder="1"/>
    <xf numFmtId="3" fontId="16" fillId="3" borderId="66" xfId="0" applyNumberFormat="1" applyFont="1" applyFill="1" applyBorder="1"/>
    <xf numFmtId="3" fontId="16" fillId="0" borderId="30" xfId="0" applyNumberFormat="1" applyFont="1" applyBorder="1"/>
    <xf numFmtId="0" fontId="16" fillId="0" borderId="73" xfId="0" applyFont="1" applyBorder="1"/>
    <xf numFmtId="0" fontId="16" fillId="3" borderId="66" xfId="0" applyFont="1" applyFill="1" applyBorder="1"/>
    <xf numFmtId="164" fontId="16" fillId="3" borderId="66" xfId="0" applyNumberFormat="1" applyFont="1" applyFill="1" applyBorder="1"/>
    <xf numFmtId="0" fontId="16" fillId="3" borderId="67" xfId="0" applyFont="1" applyFill="1" applyBorder="1"/>
    <xf numFmtId="0" fontId="31" fillId="0" borderId="62" xfId="0" applyFont="1" applyBorder="1" applyAlignment="1">
      <alignment horizontal="center" vertical="center"/>
    </xf>
    <xf numFmtId="0" fontId="16" fillId="5" borderId="68" xfId="0" applyFont="1" applyFill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6" borderId="7" xfId="0" applyFont="1" applyFill="1" applyBorder="1"/>
    <xf numFmtId="0" fontId="16" fillId="0" borderId="7" xfId="0" applyFont="1" applyBorder="1"/>
    <xf numFmtId="0" fontId="16" fillId="4" borderId="7" xfId="0" applyFont="1" applyFill="1" applyBorder="1"/>
    <xf numFmtId="0" fontId="16" fillId="0" borderId="4" xfId="0" applyFont="1" applyBorder="1"/>
    <xf numFmtId="0" fontId="16" fillId="0" borderId="69" xfId="0" applyFont="1" applyBorder="1"/>
    <xf numFmtId="4" fontId="31" fillId="0" borderId="65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wrapText="1"/>
    </xf>
    <xf numFmtId="4" fontId="8" fillId="0" borderId="18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68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/>
    </xf>
    <xf numFmtId="0" fontId="16" fillId="0" borderId="57" xfId="0" applyFont="1" applyBorder="1"/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3" borderId="6" xfId="0" applyFont="1" applyFill="1" applyBorder="1"/>
    <xf numFmtId="164" fontId="16" fillId="3" borderId="6" xfId="0" applyNumberFormat="1" applyFont="1" applyFill="1" applyBorder="1"/>
    <xf numFmtId="0" fontId="16" fillId="3" borderId="17" xfId="0" applyFont="1" applyFill="1" applyBorder="1"/>
    <xf numFmtId="3" fontId="16" fillId="3" borderId="32" xfId="0" applyNumberFormat="1" applyFont="1" applyFill="1" applyBorder="1"/>
    <xf numFmtId="4" fontId="16" fillId="3" borderId="18" xfId="0" applyNumberFormat="1" applyFont="1" applyFill="1" applyBorder="1"/>
    <xf numFmtId="164" fontId="16" fillId="3" borderId="52" xfId="0" applyNumberFormat="1" applyFont="1" applyFill="1" applyBorder="1"/>
    <xf numFmtId="0" fontId="16" fillId="3" borderId="28" xfId="0" applyFont="1" applyFill="1" applyBorder="1"/>
    <xf numFmtId="0" fontId="16" fillId="3" borderId="29" xfId="0" applyFont="1" applyFill="1" applyBorder="1"/>
    <xf numFmtId="164" fontId="16" fillId="3" borderId="21" xfId="0" applyNumberFormat="1" applyFont="1" applyFill="1" applyBorder="1"/>
    <xf numFmtId="3" fontId="16" fillId="0" borderId="0" xfId="0" applyNumberFormat="1" applyFont="1"/>
    <xf numFmtId="0" fontId="16" fillId="3" borderId="65" xfId="0" applyFont="1" applyFill="1" applyBorder="1"/>
    <xf numFmtId="4" fontId="10" fillId="0" borderId="45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72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6" fillId="0" borderId="136" xfId="0" applyNumberFormat="1" applyFont="1" applyBorder="1" applyAlignment="1">
      <alignment horizontal="center" vertical="center" wrapText="1"/>
    </xf>
    <xf numFmtId="3" fontId="6" fillId="0" borderId="137" xfId="0" applyNumberFormat="1" applyFont="1" applyBorder="1" applyAlignment="1">
      <alignment horizontal="center" vertical="center" wrapText="1"/>
    </xf>
    <xf numFmtId="3" fontId="6" fillId="0" borderId="14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6" fillId="0" borderId="5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" vertical="center"/>
    </xf>
    <xf numFmtId="4" fontId="8" fillId="0" borderId="107" xfId="0" applyNumberFormat="1" applyFont="1" applyBorder="1" applyAlignment="1">
      <alignment horizontal="center" vertical="center"/>
    </xf>
    <xf numFmtId="4" fontId="8" fillId="0" borderId="108" xfId="0" applyNumberFormat="1" applyFont="1" applyBorder="1" applyAlignment="1">
      <alignment horizontal="center" vertical="center" wrapText="1"/>
    </xf>
    <xf numFmtId="4" fontId="8" fillId="0" borderId="12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 wrapText="1"/>
    </xf>
    <xf numFmtId="0" fontId="10" fillId="0" borderId="143" xfId="0" applyFont="1" applyBorder="1" applyAlignment="1">
      <alignment horizontal="center" vertical="center" wrapText="1"/>
    </xf>
    <xf numFmtId="0" fontId="0" fillId="0" borderId="155" xfId="0" applyBorder="1"/>
    <xf numFmtId="0" fontId="0" fillId="0" borderId="156" xfId="0" applyBorder="1"/>
    <xf numFmtId="0" fontId="0" fillId="0" borderId="158" xfId="0" applyBorder="1"/>
    <xf numFmtId="0" fontId="0" fillId="0" borderId="159" xfId="0" applyBorder="1"/>
    <xf numFmtId="0" fontId="0" fillId="0" borderId="160" xfId="0" applyBorder="1"/>
    <xf numFmtId="0" fontId="10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0" fillId="0" borderId="123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4" fontId="8" fillId="0" borderId="110" xfId="0" applyNumberFormat="1" applyFont="1" applyBorder="1"/>
    <xf numFmtId="4" fontId="8" fillId="0" borderId="111" xfId="0" applyNumberFormat="1" applyFont="1" applyBorder="1"/>
    <xf numFmtId="4" fontId="8" fillId="0" borderId="141" xfId="0" applyNumberFormat="1" applyFont="1" applyBorder="1"/>
    <xf numFmtId="4" fontId="8" fillId="0" borderId="149" xfId="0" applyNumberFormat="1" applyFont="1" applyBorder="1"/>
    <xf numFmtId="4" fontId="8" fillId="0" borderId="152" xfId="0" applyNumberFormat="1" applyFont="1" applyBorder="1"/>
    <xf numFmtId="4" fontId="8" fillId="0" borderId="153" xfId="0" applyNumberFormat="1" applyFont="1" applyBorder="1"/>
    <xf numFmtId="0" fontId="10" fillId="0" borderId="6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3" fillId="0" borderId="127" xfId="0" applyFont="1" applyBorder="1"/>
    <xf numFmtId="0" fontId="13" fillId="0" borderId="97" xfId="0" applyFont="1" applyBorder="1"/>
    <xf numFmtId="0" fontId="10" fillId="0" borderId="25" xfId="0" applyFont="1" applyBorder="1" applyAlignment="1">
      <alignment wrapText="1"/>
    </xf>
    <xf numFmtId="0" fontId="10" fillId="0" borderId="0" xfId="0" applyFont="1"/>
    <xf numFmtId="0" fontId="13" fillId="3" borderId="80" xfId="0" applyFont="1" applyFill="1" applyBorder="1"/>
    <xf numFmtId="0" fontId="13" fillId="3" borderId="50" xfId="0" applyFont="1" applyFill="1" applyBorder="1"/>
    <xf numFmtId="0" fontId="13" fillId="3" borderId="18" xfId="0" applyFont="1" applyFill="1" applyBorder="1"/>
    <xf numFmtId="0" fontId="13" fillId="3" borderId="19" xfId="0" applyFont="1" applyFill="1" applyBorder="1"/>
    <xf numFmtId="0" fontId="13" fillId="3" borderId="47" xfId="0" applyFont="1" applyFill="1" applyBorder="1"/>
    <xf numFmtId="0" fontId="10" fillId="3" borderId="8" xfId="0" applyFont="1" applyFill="1" applyBorder="1"/>
    <xf numFmtId="0" fontId="10" fillId="3" borderId="6" xfId="0" applyFont="1" applyFill="1" applyBorder="1"/>
    <xf numFmtId="0" fontId="10" fillId="3" borderId="21" xfId="0" applyFont="1" applyFill="1" applyBorder="1"/>
    <xf numFmtId="0" fontId="13" fillId="3" borderId="48" xfId="0" applyFont="1" applyFill="1" applyBorder="1"/>
    <xf numFmtId="0" fontId="10" fillId="3" borderId="51" xfId="0" applyFont="1" applyFill="1" applyBorder="1"/>
    <xf numFmtId="0" fontId="10" fillId="3" borderId="23" xfId="0" applyFont="1" applyFill="1" applyBorder="1"/>
    <xf numFmtId="0" fontId="10" fillId="3" borderId="24" xfId="0" applyFont="1" applyFill="1" applyBorder="1"/>
    <xf numFmtId="0" fontId="13" fillId="3" borderId="128" xfId="0" applyFont="1" applyFill="1" applyBorder="1" applyAlignment="1">
      <alignment horizontal="center" vertical="center"/>
    </xf>
    <xf numFmtId="0" fontId="13" fillId="3" borderId="129" xfId="0" applyFont="1" applyFill="1" applyBorder="1" applyAlignment="1">
      <alignment horizontal="center" vertical="center"/>
    </xf>
    <xf numFmtId="0" fontId="13" fillId="3" borderId="130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center" vertical="center"/>
    </xf>
    <xf numFmtId="20" fontId="10" fillId="3" borderId="18" xfId="0" applyNumberFormat="1" applyFont="1" applyFill="1" applyBorder="1" applyAlignment="1">
      <alignment horizontal="center" vertical="center"/>
    </xf>
    <xf numFmtId="20" fontId="10" fillId="3" borderId="19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20" fontId="10" fillId="3" borderId="6" xfId="0" applyNumberFormat="1" applyFont="1" applyFill="1" applyBorder="1" applyAlignment="1">
      <alignment horizontal="center" vertical="center"/>
    </xf>
    <xf numFmtId="20" fontId="10" fillId="3" borderId="2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horizontal="center" vertical="center"/>
    </xf>
    <xf numFmtId="20" fontId="10" fillId="3" borderId="23" xfId="0" applyNumberFormat="1" applyFont="1" applyFill="1" applyBorder="1" applyAlignment="1">
      <alignment horizontal="center" vertical="center"/>
    </xf>
    <xf numFmtId="20" fontId="10" fillId="3" borderId="24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3" borderId="18" xfId="0" applyFont="1" applyFill="1" applyBorder="1"/>
    <xf numFmtId="0" fontId="10" fillId="3" borderId="32" xfId="0" applyFont="1" applyFill="1" applyBorder="1"/>
    <xf numFmtId="0" fontId="10" fillId="3" borderId="19" xfId="0" applyFont="1" applyFill="1" applyBorder="1"/>
    <xf numFmtId="0" fontId="10" fillId="0" borderId="54" xfId="0" applyFont="1" applyBorder="1" applyAlignment="1">
      <alignment horizontal="center"/>
    </xf>
    <xf numFmtId="0" fontId="10" fillId="3" borderId="54" xfId="0" applyFont="1" applyFill="1" applyBorder="1"/>
    <xf numFmtId="0" fontId="10" fillId="3" borderId="1" xfId="0" applyFont="1" applyFill="1" applyBorder="1"/>
    <xf numFmtId="0" fontId="10" fillId="3" borderId="59" xfId="0" applyFont="1" applyFill="1" applyBorder="1"/>
    <xf numFmtId="0" fontId="10" fillId="0" borderId="23" xfId="0" applyFont="1" applyBorder="1" applyAlignment="1">
      <alignment horizontal="center"/>
    </xf>
    <xf numFmtId="0" fontId="10" fillId="3" borderId="34" xfId="0" applyFont="1" applyFill="1" applyBorder="1"/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16" fontId="10" fillId="0" borderId="31" xfId="0" applyNumberFormat="1" applyFont="1" applyBorder="1" applyAlignment="1">
      <alignment horizontal="center" wrapText="1"/>
    </xf>
    <xf numFmtId="0" fontId="10" fillId="0" borderId="17" xfId="0" applyFont="1" applyBorder="1"/>
    <xf numFmtId="2" fontId="10" fillId="3" borderId="18" xfId="0" applyNumberFormat="1" applyFont="1" applyFill="1" applyBorder="1"/>
    <xf numFmtId="16" fontId="10" fillId="3" borderId="32" xfId="0" applyNumberFormat="1" applyFont="1" applyFill="1" applyBorder="1"/>
    <xf numFmtId="0" fontId="10" fillId="0" borderId="22" xfId="0" applyFont="1" applyBorder="1"/>
    <xf numFmtId="16" fontId="10" fillId="3" borderId="34" xfId="0" applyNumberFormat="1" applyFont="1" applyFill="1" applyBorder="1"/>
    <xf numFmtId="0" fontId="13" fillId="0" borderId="57" xfId="0" applyFont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0" fontId="10" fillId="0" borderId="68" xfId="0" applyFont="1" applyBorder="1"/>
    <xf numFmtId="0" fontId="10" fillId="3" borderId="69" xfId="0" applyFont="1" applyFill="1" applyBorder="1"/>
    <xf numFmtId="0" fontId="13" fillId="0" borderId="96" xfId="0" applyFont="1" applyBorder="1"/>
    <xf numFmtId="0" fontId="10" fillId="0" borderId="20" xfId="0" applyFont="1" applyBorder="1"/>
    <xf numFmtId="0" fontId="10" fillId="3" borderId="68" xfId="0" applyFont="1" applyFill="1" applyBorder="1"/>
    <xf numFmtId="0" fontId="10" fillId="3" borderId="7" xfId="0" applyFont="1" applyFill="1" applyBorder="1"/>
    <xf numFmtId="0" fontId="10" fillId="3" borderId="4" xfId="0" applyFont="1" applyFill="1" applyBorder="1"/>
    <xf numFmtId="0" fontId="10" fillId="3" borderId="22" xfId="0" applyFont="1" applyFill="1" applyBorder="1"/>
    <xf numFmtId="0" fontId="10" fillId="0" borderId="109" xfId="0" applyFont="1" applyBorder="1"/>
    <xf numFmtId="0" fontId="10" fillId="0" borderId="110" xfId="0" applyFont="1" applyBorder="1"/>
    <xf numFmtId="0" fontId="10" fillId="0" borderId="111" xfId="0" applyFont="1" applyBorder="1"/>
    <xf numFmtId="0" fontId="10" fillId="0" borderId="112" xfId="0" applyFont="1" applyBorder="1" applyAlignment="1">
      <alignment wrapText="1"/>
    </xf>
    <xf numFmtId="4" fontId="10" fillId="3" borderId="7" xfId="0" applyNumberFormat="1" applyFont="1" applyFill="1" applyBorder="1"/>
    <xf numFmtId="4" fontId="10" fillId="0" borderId="113" xfId="0" applyNumberFormat="1" applyFont="1" applyBorder="1"/>
    <xf numFmtId="4" fontId="10" fillId="3" borderId="6" xfId="0" applyNumberFormat="1" applyFont="1" applyFill="1" applyBorder="1"/>
    <xf numFmtId="4" fontId="10" fillId="0" borderId="114" xfId="0" applyNumberFormat="1" applyFont="1" applyBorder="1"/>
    <xf numFmtId="0" fontId="10" fillId="0" borderId="115" xfId="0" applyFont="1" applyBorder="1" applyAlignment="1">
      <alignment wrapText="1"/>
    </xf>
    <xf numFmtId="4" fontId="10" fillId="2" borderId="116" xfId="0" applyNumberFormat="1" applyFont="1" applyFill="1" applyBorder="1"/>
    <xf numFmtId="4" fontId="10" fillId="2" borderId="117" xfId="0" applyNumberFormat="1" applyFont="1" applyFill="1" applyBorder="1"/>
    <xf numFmtId="0" fontId="10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106" xfId="0" applyFont="1" applyBorder="1"/>
    <xf numFmtId="0" fontId="10" fillId="0" borderId="122" xfId="0" applyFont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10" fillId="0" borderId="121" xfId="0" applyFont="1" applyBorder="1"/>
    <xf numFmtId="165" fontId="10" fillId="2" borderId="113" xfId="0" applyNumberFormat="1" applyFont="1" applyFill="1" applyBorder="1"/>
    <xf numFmtId="0" fontId="10" fillId="0" borderId="112" xfId="0" applyFont="1" applyBorder="1"/>
    <xf numFmtId="0" fontId="10" fillId="3" borderId="33" xfId="0" applyFont="1" applyFill="1" applyBorder="1"/>
    <xf numFmtId="165" fontId="10" fillId="2" borderId="114" xfId="0" applyNumberFormat="1" applyFont="1" applyFill="1" applyBorder="1"/>
    <xf numFmtId="0" fontId="10" fillId="0" borderId="115" xfId="0" applyFont="1" applyBorder="1"/>
    <xf numFmtId="0" fontId="10" fillId="3" borderId="120" xfId="0" applyFont="1" applyFill="1" applyBorder="1"/>
    <xf numFmtId="165" fontId="10" fillId="2" borderId="117" xfId="0" applyNumberFormat="1" applyFont="1" applyFill="1" applyBorder="1"/>
    <xf numFmtId="2" fontId="10" fillId="3" borderId="21" xfId="0" applyNumberFormat="1" applyFont="1" applyFill="1" applyBorder="1"/>
    <xf numFmtId="0" fontId="10" fillId="0" borderId="57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62" xfId="0" applyFont="1" applyBorder="1"/>
    <xf numFmtId="0" fontId="10" fillId="3" borderId="68" xfId="0" applyFont="1" applyFill="1" applyBorder="1" applyAlignment="1">
      <alignment horizontal="center" vertical="center"/>
    </xf>
    <xf numFmtId="0" fontId="10" fillId="0" borderId="69" xfId="0" applyFont="1" applyBorder="1"/>
    <xf numFmtId="0" fontId="10" fillId="0" borderId="21" xfId="0" applyFont="1" applyBorder="1"/>
    <xf numFmtId="0" fontId="10" fillId="3" borderId="58" xfId="0" applyFont="1" applyFill="1" applyBorder="1" applyAlignment="1">
      <alignment horizontal="center" vertical="center"/>
    </xf>
    <xf numFmtId="0" fontId="13" fillId="0" borderId="22" xfId="0" applyFont="1" applyBorder="1"/>
    <xf numFmtId="0" fontId="13" fillId="2" borderId="23" xfId="0" applyFont="1" applyFill="1" applyBorder="1"/>
    <xf numFmtId="0" fontId="13" fillId="2" borderId="67" xfId="0" applyFont="1" applyFill="1" applyBorder="1"/>
    <xf numFmtId="0" fontId="10" fillId="0" borderId="57" xfId="0" applyFont="1" applyBorder="1"/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5" borderId="0" xfId="0" applyFont="1" applyFill="1"/>
    <xf numFmtId="0" fontId="13" fillId="0" borderId="70" xfId="0" applyFont="1" applyBorder="1" applyAlignment="1">
      <alignment wrapText="1"/>
    </xf>
    <xf numFmtId="0" fontId="10" fillId="6" borderId="0" xfId="0" applyFont="1" applyFill="1"/>
    <xf numFmtId="0" fontId="10" fillId="0" borderId="39" xfId="0" applyFont="1" applyBorder="1"/>
    <xf numFmtId="0" fontId="10" fillId="4" borderId="0" xfId="0" applyFont="1" applyFill="1"/>
    <xf numFmtId="3" fontId="10" fillId="0" borderId="0" xfId="0" applyNumberFormat="1" applyFont="1"/>
    <xf numFmtId="44" fontId="10" fillId="0" borderId="0" xfId="0" applyNumberFormat="1" applyFont="1"/>
    <xf numFmtId="0" fontId="10" fillId="0" borderId="64" xfId="0" applyFont="1" applyBorder="1"/>
    <xf numFmtId="0" fontId="13" fillId="0" borderId="64" xfId="0" applyFont="1" applyBorder="1"/>
    <xf numFmtId="0" fontId="13" fillId="0" borderId="0" xfId="0" applyFont="1"/>
    <xf numFmtId="0" fontId="10" fillId="0" borderId="37" xfId="0" applyFont="1" applyBorder="1"/>
    <xf numFmtId="0" fontId="13" fillId="5" borderId="57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0" fillId="0" borderId="70" xfId="0" applyFont="1" applyBorder="1"/>
    <xf numFmtId="0" fontId="10" fillId="0" borderId="25" xfId="0" applyFont="1" applyBorder="1"/>
    <xf numFmtId="0" fontId="10" fillId="0" borderId="26" xfId="0" applyFont="1" applyBorder="1"/>
    <xf numFmtId="4" fontId="10" fillId="0" borderId="0" xfId="0" applyNumberFormat="1" applyFont="1"/>
    <xf numFmtId="4" fontId="10" fillId="0" borderId="41" xfId="0" applyNumberFormat="1" applyFont="1" applyBorder="1"/>
    <xf numFmtId="4" fontId="10" fillId="0" borderId="40" xfId="0" applyNumberFormat="1" applyFont="1" applyBorder="1"/>
    <xf numFmtId="4" fontId="10" fillId="0" borderId="57" xfId="0" applyNumberFormat="1" applyFont="1" applyBorder="1"/>
    <xf numFmtId="4" fontId="13" fillId="0" borderId="60" xfId="0" applyNumberFormat="1" applyFont="1" applyBorder="1" applyAlignment="1">
      <alignment horizontal="center" vertical="center" wrapText="1"/>
    </xf>
    <xf numFmtId="4" fontId="13" fillId="0" borderId="61" xfId="0" applyNumberFormat="1" applyFont="1" applyBorder="1" applyAlignment="1">
      <alignment horizontal="center" vertical="center"/>
    </xf>
    <xf numFmtId="4" fontId="13" fillId="0" borderId="62" xfId="0" applyNumberFormat="1" applyFont="1" applyBorder="1" applyAlignment="1">
      <alignment horizontal="center" vertical="center" wrapText="1"/>
    </xf>
    <xf numFmtId="4" fontId="10" fillId="0" borderId="42" xfId="0" applyNumberFormat="1" applyFont="1" applyBorder="1"/>
    <xf numFmtId="4" fontId="10" fillId="0" borderId="0" xfId="0" applyNumberFormat="1" applyFont="1" applyAlignment="1">
      <alignment wrapText="1"/>
    </xf>
    <xf numFmtId="4" fontId="10" fillId="3" borderId="66" xfId="0" applyNumberFormat="1" applyFont="1" applyFill="1" applyBorder="1"/>
    <xf numFmtId="4" fontId="10" fillId="3" borderId="56" xfId="0" applyNumberFormat="1" applyFont="1" applyFill="1" applyBorder="1"/>
    <xf numFmtId="4" fontId="10" fillId="3" borderId="21" xfId="0" applyNumberFormat="1" applyFont="1" applyFill="1" applyBorder="1"/>
    <xf numFmtId="4" fontId="10" fillId="0" borderId="58" xfId="0" applyNumberFormat="1" applyFont="1" applyBorder="1"/>
    <xf numFmtId="4" fontId="10" fillId="2" borderId="59" xfId="0" applyNumberFormat="1" applyFont="1" applyFill="1" applyBorder="1"/>
    <xf numFmtId="4" fontId="10" fillId="0" borderId="17" xfId="0" applyNumberFormat="1" applyFont="1" applyBorder="1"/>
    <xf numFmtId="4" fontId="13" fillId="3" borderId="18" xfId="0" applyNumberFormat="1" applyFont="1" applyFill="1" applyBorder="1"/>
    <xf numFmtId="4" fontId="13" fillId="3" borderId="19" xfId="0" applyNumberFormat="1" applyFont="1" applyFill="1" applyBorder="1"/>
    <xf numFmtId="4" fontId="10" fillId="2" borderId="24" xfId="0" applyNumberFormat="1" applyFont="1" applyFill="1" applyBorder="1"/>
    <xf numFmtId="4" fontId="10" fillId="0" borderId="22" xfId="0" applyNumberFormat="1" applyFont="1" applyBorder="1"/>
    <xf numFmtId="4" fontId="10" fillId="3" borderId="23" xfId="0" applyNumberFormat="1" applyFont="1" applyFill="1" applyBorder="1"/>
    <xf numFmtId="4" fontId="10" fillId="3" borderId="24" xfId="0" applyNumberFormat="1" applyFont="1" applyFill="1" applyBorder="1"/>
    <xf numFmtId="4" fontId="13" fillId="0" borderId="0" xfId="0" applyNumberFormat="1" applyFont="1"/>
    <xf numFmtId="4" fontId="10" fillId="0" borderId="65" xfId="0" applyNumberFormat="1" applyFont="1" applyBorder="1"/>
    <xf numFmtId="4" fontId="10" fillId="0" borderId="66" xfId="0" applyNumberFormat="1" applyFont="1" applyBorder="1" applyAlignment="1">
      <alignment horizontal="center" vertical="center" wrapText="1"/>
    </xf>
    <xf numFmtId="4" fontId="10" fillId="0" borderId="66" xfId="0" applyNumberFormat="1" applyFont="1" applyBorder="1" applyAlignment="1">
      <alignment horizontal="center" vertical="center"/>
    </xf>
    <xf numFmtId="4" fontId="10" fillId="0" borderId="66" xfId="0" applyNumberFormat="1" applyFont="1" applyBorder="1" applyAlignment="1">
      <alignment horizontal="center" wrapText="1"/>
    </xf>
    <xf numFmtId="4" fontId="10" fillId="0" borderId="67" xfId="0" applyNumberFormat="1" applyFont="1" applyBorder="1" applyAlignment="1">
      <alignment horizontal="center" wrapText="1"/>
    </xf>
    <xf numFmtId="4" fontId="10" fillId="0" borderId="68" xfId="0" applyNumberFormat="1" applyFont="1" applyBorder="1"/>
    <xf numFmtId="4" fontId="10" fillId="2" borderId="69" xfId="0" applyNumberFormat="1" applyFont="1" applyFill="1" applyBorder="1"/>
    <xf numFmtId="4" fontId="10" fillId="0" borderId="6" xfId="0" applyNumberFormat="1" applyFont="1" applyBorder="1"/>
    <xf numFmtId="4" fontId="10" fillId="0" borderId="21" xfId="0" applyNumberFormat="1" applyFont="1" applyBorder="1"/>
    <xf numFmtId="4" fontId="13" fillId="0" borderId="22" xfId="0" applyNumberFormat="1" applyFont="1" applyBorder="1"/>
    <xf numFmtId="4" fontId="13" fillId="0" borderId="23" xfId="0" applyNumberFormat="1" applyFont="1" applyBorder="1"/>
    <xf numFmtId="4" fontId="13" fillId="3" borderId="23" xfId="0" applyNumberFormat="1" applyFont="1" applyFill="1" applyBorder="1"/>
    <xf numFmtId="4" fontId="10" fillId="0" borderId="23" xfId="0" applyNumberFormat="1" applyFont="1" applyBorder="1"/>
    <xf numFmtId="4" fontId="10" fillId="0" borderId="24" xfId="0" applyNumberFormat="1" applyFont="1" applyBorder="1"/>
    <xf numFmtId="4" fontId="10" fillId="0" borderId="30" xfId="0" applyNumberFormat="1" applyFont="1" applyBorder="1" applyAlignment="1">
      <alignment wrapText="1"/>
    </xf>
    <xf numFmtId="4" fontId="13" fillId="0" borderId="30" xfId="0" applyNumberFormat="1" applyFont="1" applyBorder="1"/>
    <xf numFmtId="4" fontId="10" fillId="0" borderId="30" xfId="0" applyNumberFormat="1" applyFont="1" applyBorder="1"/>
    <xf numFmtId="4" fontId="13" fillId="0" borderId="30" xfId="0" applyNumberFormat="1" applyFont="1" applyBorder="1" applyAlignment="1">
      <alignment wrapText="1"/>
    </xf>
    <xf numFmtId="4" fontId="10" fillId="0" borderId="73" xfId="0" applyNumberFormat="1" applyFont="1" applyBorder="1"/>
    <xf numFmtId="4" fontId="10" fillId="0" borderId="70" xfId="0" applyNumberFormat="1" applyFont="1" applyBorder="1" applyAlignment="1">
      <alignment wrapText="1"/>
    </xf>
    <xf numFmtId="4" fontId="10" fillId="3" borderId="69" xfId="0" applyNumberFormat="1" applyFont="1" applyFill="1" applyBorder="1"/>
    <xf numFmtId="4" fontId="10" fillId="0" borderId="68" xfId="0" applyNumberFormat="1" applyFont="1" applyBorder="1" applyAlignment="1">
      <alignment wrapText="1"/>
    </xf>
    <xf numFmtId="4" fontId="10" fillId="0" borderId="27" xfId="0" applyNumberFormat="1" applyFont="1" applyBorder="1"/>
    <xf numFmtId="4" fontId="10" fillId="0" borderId="28" xfId="0" applyNumberFormat="1" applyFont="1" applyBorder="1" applyAlignment="1">
      <alignment horizontal="center" wrapText="1"/>
    </xf>
    <xf numFmtId="4" fontId="10" fillId="0" borderId="29" xfId="0" applyNumberFormat="1" applyFont="1" applyBorder="1" applyAlignment="1">
      <alignment horizontal="center" wrapText="1"/>
    </xf>
    <xf numFmtId="4" fontId="10" fillId="3" borderId="18" xfId="0" applyNumberFormat="1" applyFont="1" applyFill="1" applyBorder="1"/>
    <xf numFmtId="4" fontId="10" fillId="3" borderId="19" xfId="0" applyNumberFormat="1" applyFont="1" applyFill="1" applyBorder="1"/>
    <xf numFmtId="4" fontId="10" fillId="0" borderId="25" xfId="0" applyNumberFormat="1" applyFont="1" applyBorder="1" applyAlignment="1">
      <alignment wrapText="1"/>
    </xf>
    <xf numFmtId="4" fontId="10" fillId="2" borderId="21" xfId="0" applyNumberFormat="1" applyFont="1" applyFill="1" applyBorder="1"/>
    <xf numFmtId="4" fontId="10" fillId="3" borderId="54" xfId="0" applyNumberFormat="1" applyFont="1" applyFill="1" applyBorder="1"/>
    <xf numFmtId="4" fontId="10" fillId="3" borderId="59" xfId="0" applyNumberFormat="1" applyFont="1" applyFill="1" applyBorder="1"/>
    <xf numFmtId="4" fontId="10" fillId="0" borderId="35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horizontal="center" vertical="center"/>
    </xf>
    <xf numFmtId="4" fontId="10" fillId="0" borderId="57" xfId="0" applyNumberFormat="1" applyFont="1" applyBorder="1" applyAlignment="1">
      <alignment horizontal="center"/>
    </xf>
    <xf numFmtId="4" fontId="10" fillId="0" borderId="60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center" vertical="center" wrapText="1"/>
    </xf>
    <xf numFmtId="4" fontId="10" fillId="0" borderId="101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0" fillId="3" borderId="4" xfId="0" applyNumberFormat="1" applyFont="1" applyFill="1" applyBorder="1"/>
    <xf numFmtId="4" fontId="10" fillId="3" borderId="45" xfId="0" applyNumberFormat="1" applyFont="1" applyFill="1" applyBorder="1"/>
    <xf numFmtId="4" fontId="10" fillId="3" borderId="49" xfId="0" applyNumberFormat="1" applyFont="1" applyFill="1" applyBorder="1"/>
    <xf numFmtId="4" fontId="10" fillId="2" borderId="4" xfId="0" applyNumberFormat="1" applyFont="1" applyFill="1" applyBorder="1"/>
    <xf numFmtId="4" fontId="10" fillId="3" borderId="34" xfId="0" applyNumberFormat="1" applyFont="1" applyFill="1" applyBorder="1"/>
    <xf numFmtId="4" fontId="10" fillId="3" borderId="51" xfId="0" applyNumberFormat="1" applyFont="1" applyFill="1" applyBorder="1"/>
    <xf numFmtId="4" fontId="10" fillId="0" borderId="0" xfId="0" applyNumberFormat="1" applyFont="1" applyAlignment="1">
      <alignment horizontal="center"/>
    </xf>
    <xf numFmtId="4" fontId="10" fillId="0" borderId="75" xfId="0" applyNumberFormat="1" applyFont="1" applyBorder="1"/>
    <xf numFmtId="4" fontId="10" fillId="0" borderId="41" xfId="0" applyNumberFormat="1" applyFont="1" applyBorder="1" applyAlignment="1">
      <alignment wrapText="1"/>
    </xf>
    <xf numFmtId="4" fontId="10" fillId="0" borderId="41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left" wrapText="1"/>
    </xf>
    <xf numFmtId="4" fontId="10" fillId="0" borderId="63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4" fontId="10" fillId="2" borderId="19" xfId="0" applyNumberFormat="1" applyFont="1" applyFill="1" applyBorder="1"/>
    <xf numFmtId="3" fontId="10" fillId="0" borderId="22" xfId="0" applyNumberFormat="1" applyFont="1" applyBorder="1" applyAlignment="1">
      <alignment horizontal="center" vertical="center"/>
    </xf>
    <xf numFmtId="4" fontId="10" fillId="0" borderId="65" xfId="0" applyNumberFormat="1" applyFont="1" applyBorder="1" applyAlignment="1">
      <alignment horizontal="center" vertical="center"/>
    </xf>
    <xf numFmtId="4" fontId="10" fillId="0" borderId="67" xfId="0" applyNumberFormat="1" applyFont="1" applyBorder="1" applyAlignment="1">
      <alignment horizontal="center" vertical="center" wrapText="1"/>
    </xf>
    <xf numFmtId="3" fontId="10" fillId="0" borderId="68" xfId="0" applyNumberFormat="1" applyFont="1" applyBorder="1" applyAlignment="1">
      <alignment horizontal="center" vertical="center"/>
    </xf>
    <xf numFmtId="4" fontId="10" fillId="2" borderId="49" xfId="0" applyNumberFormat="1" applyFont="1" applyFill="1" applyBorder="1"/>
    <xf numFmtId="3" fontId="10" fillId="0" borderId="20" xfId="0" applyNumberFormat="1" applyFont="1" applyBorder="1" applyAlignment="1">
      <alignment horizontal="center" vertical="center"/>
    </xf>
    <xf numFmtId="4" fontId="10" fillId="0" borderId="131" xfId="0" applyNumberFormat="1" applyFont="1" applyBorder="1" applyAlignment="1">
      <alignment horizontal="center" vertical="center"/>
    </xf>
    <xf numFmtId="4" fontId="10" fillId="0" borderId="132" xfId="0" applyNumberFormat="1" applyFont="1" applyBorder="1"/>
    <xf numFmtId="4" fontId="10" fillId="0" borderId="132" xfId="0" applyNumberFormat="1" applyFont="1" applyBorder="1" applyAlignment="1">
      <alignment horizontal="center"/>
    </xf>
    <xf numFmtId="4" fontId="10" fillId="0" borderId="133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wrapText="1"/>
    </xf>
    <xf numFmtId="4" fontId="10" fillId="2" borderId="10" xfId="0" applyNumberFormat="1" applyFont="1" applyFill="1" applyBorder="1"/>
    <xf numFmtId="4" fontId="10" fillId="0" borderId="6" xfId="0" applyNumberFormat="1" applyFont="1" applyBorder="1" applyAlignment="1">
      <alignment wrapText="1"/>
    </xf>
    <xf numFmtId="4" fontId="10" fillId="2" borderId="12" xfId="0" applyNumberFormat="1" applyFont="1" applyFill="1" applyBorder="1"/>
    <xf numFmtId="4" fontId="10" fillId="0" borderId="14" xfId="0" applyNumberFormat="1" applyFont="1" applyBorder="1" applyAlignment="1">
      <alignment wrapText="1"/>
    </xf>
    <xf numFmtId="4" fontId="10" fillId="2" borderId="14" xfId="0" applyNumberFormat="1" applyFont="1" applyFill="1" applyBorder="1"/>
    <xf numFmtId="4" fontId="10" fillId="2" borderId="15" xfId="0" applyNumberFormat="1" applyFont="1" applyFill="1" applyBorder="1"/>
    <xf numFmtId="4" fontId="1" fillId="0" borderId="0" xfId="0" applyNumberFormat="1" applyFont="1"/>
    <xf numFmtId="4" fontId="9" fillId="0" borderId="60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 wrapText="1"/>
    </xf>
    <xf numFmtId="4" fontId="9" fillId="0" borderId="62" xfId="0" applyNumberFormat="1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>
      <alignment horizontal="center" wrapText="1"/>
    </xf>
    <xf numFmtId="4" fontId="10" fillId="3" borderId="72" xfId="0" applyNumberFormat="1" applyFont="1" applyFill="1" applyBorder="1"/>
    <xf numFmtId="4" fontId="6" fillId="0" borderId="138" xfId="0" applyNumberFormat="1" applyFont="1" applyBorder="1" applyAlignment="1">
      <alignment horizontal="center" vertical="center" wrapText="1"/>
    </xf>
    <xf numFmtId="4" fontId="6" fillId="0" borderId="135" xfId="0" applyNumberFormat="1" applyFont="1" applyBorder="1" applyAlignment="1">
      <alignment horizontal="center" vertical="center" wrapText="1"/>
    </xf>
    <xf numFmtId="4" fontId="6" fillId="0" borderId="98" xfId="0" applyNumberFormat="1" applyFont="1" applyBorder="1" applyAlignment="1">
      <alignment wrapText="1"/>
    </xf>
    <xf numFmtId="4" fontId="6" fillId="0" borderId="95" xfId="0" applyNumberFormat="1" applyFont="1" applyBorder="1" applyAlignment="1">
      <alignment wrapText="1"/>
    </xf>
    <xf numFmtId="4" fontId="10" fillId="0" borderId="58" xfId="0" applyNumberFormat="1" applyFont="1" applyBorder="1" applyAlignment="1">
      <alignment wrapText="1"/>
    </xf>
    <xf numFmtId="4" fontId="6" fillId="0" borderId="47" xfId="0" applyNumberFormat="1" applyFont="1" applyBorder="1" applyAlignment="1">
      <alignment wrapText="1"/>
    </xf>
    <xf numFmtId="4" fontId="10" fillId="3" borderId="59" xfId="0" applyNumberFormat="1" applyFont="1" applyFill="1" applyBorder="1" applyAlignment="1">
      <alignment wrapText="1"/>
    </xf>
    <xf numFmtId="4" fontId="6" fillId="0" borderId="81" xfId="0" applyNumberFormat="1" applyFont="1" applyBorder="1" applyAlignment="1">
      <alignment wrapText="1"/>
    </xf>
    <xf numFmtId="4" fontId="10" fillId="3" borderId="77" xfId="0" applyNumberFormat="1" applyFont="1" applyFill="1" applyBorder="1"/>
    <xf numFmtId="4" fontId="6" fillId="0" borderId="48" xfId="0" applyNumberFormat="1" applyFont="1" applyBorder="1" applyAlignment="1">
      <alignment wrapText="1"/>
    </xf>
    <xf numFmtId="4" fontId="10" fillId="2" borderId="86" xfId="0" applyNumberFormat="1" applyFont="1" applyFill="1" applyBorder="1"/>
    <xf numFmtId="4" fontId="10" fillId="2" borderId="79" xfId="0" applyNumberFormat="1" applyFont="1" applyFill="1" applyBorder="1"/>
    <xf numFmtId="4" fontId="6" fillId="0" borderId="63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 wrapText="1"/>
    </xf>
    <xf numFmtId="4" fontId="10" fillId="3" borderId="92" xfId="0" applyNumberFormat="1" applyFont="1" applyFill="1" applyBorder="1"/>
    <xf numFmtId="3" fontId="6" fillId="0" borderId="18" xfId="0" applyNumberFormat="1" applyFont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wrapText="1"/>
    </xf>
    <xf numFmtId="4" fontId="10" fillId="2" borderId="92" xfId="0" applyNumberFormat="1" applyFont="1" applyFill="1" applyBorder="1"/>
    <xf numFmtId="3" fontId="6" fillId="0" borderId="6" xfId="0" applyNumberFormat="1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wrapText="1"/>
    </xf>
    <xf numFmtId="4" fontId="1" fillId="0" borderId="21" xfId="0" applyNumberFormat="1" applyFont="1" applyBorder="1"/>
    <xf numFmtId="4" fontId="10" fillId="3" borderId="93" xfId="0" applyNumberFormat="1" applyFont="1" applyFill="1" applyBorder="1"/>
    <xf numFmtId="4" fontId="6" fillId="2" borderId="23" xfId="0" applyNumberFormat="1" applyFont="1" applyFill="1" applyBorder="1" applyAlignment="1">
      <alignment wrapText="1"/>
    </xf>
    <xf numFmtId="4" fontId="1" fillId="0" borderId="24" xfId="0" applyNumberFormat="1" applyFont="1" applyBorder="1"/>
    <xf numFmtId="4" fontId="6" fillId="2" borderId="7" xfId="0" applyNumberFormat="1" applyFont="1" applyFill="1" applyBorder="1" applyAlignment="1">
      <alignment wrapText="1"/>
    </xf>
    <xf numFmtId="4" fontId="6" fillId="2" borderId="54" xfId="0" applyNumberFormat="1" applyFont="1" applyFill="1" applyBorder="1" applyAlignment="1">
      <alignment wrapText="1"/>
    </xf>
    <xf numFmtId="4" fontId="1" fillId="0" borderId="59" xfId="0" applyNumberFormat="1" applyFont="1" applyBorder="1"/>
    <xf numFmtId="4" fontId="6" fillId="0" borderId="57" xfId="0" applyNumberFormat="1" applyFont="1" applyBorder="1" applyAlignment="1">
      <alignment horizontal="center" vertical="center"/>
    </xf>
    <xf numFmtId="4" fontId="6" fillId="0" borderId="60" xfId="0" applyNumberFormat="1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3" fontId="10" fillId="0" borderId="50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 vertical="center" wrapText="1"/>
    </xf>
    <xf numFmtId="4" fontId="10" fillId="2" borderId="123" xfId="0" applyNumberFormat="1" applyFont="1" applyFill="1" applyBorder="1"/>
    <xf numFmtId="4" fontId="10" fillId="2" borderId="119" xfId="0" applyNumberFormat="1" applyFont="1" applyFill="1" applyBorder="1"/>
    <xf numFmtId="4" fontId="10" fillId="2" borderId="114" xfId="0" applyNumberFormat="1" applyFont="1" applyFill="1" applyBorder="1"/>
    <xf numFmtId="4" fontId="10" fillId="2" borderId="124" xfId="0" applyNumberFormat="1" applyFont="1" applyFill="1" applyBorder="1"/>
    <xf numFmtId="4" fontId="10" fillId="2" borderId="8" xfId="0" applyNumberFormat="1" applyFont="1" applyFill="1" applyBorder="1"/>
    <xf numFmtId="4" fontId="10" fillId="2" borderId="67" xfId="0" applyNumberFormat="1" applyFont="1" applyFill="1" applyBorder="1"/>
    <xf numFmtId="4" fontId="10" fillId="2" borderId="125" xfId="0" applyNumberFormat="1" applyFont="1" applyFill="1" applyBorder="1"/>
    <xf numFmtId="4" fontId="10" fillId="2" borderId="126" xfId="0" applyNumberFormat="1" applyFont="1" applyFill="1" applyBorder="1"/>
    <xf numFmtId="0" fontId="6" fillId="0" borderId="106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/>
    </xf>
    <xf numFmtId="1" fontId="10" fillId="2" borderId="147" xfId="0" applyNumberFormat="1" applyFont="1" applyFill="1" applyBorder="1" applyAlignment="1">
      <alignment horizontal="center" vertical="center"/>
    </xf>
    <xf numFmtId="1" fontId="10" fillId="0" borderId="110" xfId="0" applyNumberFormat="1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1" fontId="10" fillId="2" borderId="78" xfId="0" applyNumberFormat="1" applyFont="1" applyFill="1" applyBorder="1" applyAlignment="1">
      <alignment horizontal="center" vertical="center"/>
    </xf>
    <xf numFmtId="1" fontId="10" fillId="0" borderId="141" xfId="0" applyNumberFormat="1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1" fontId="10" fillId="2" borderId="151" xfId="0" applyNumberFormat="1" applyFont="1" applyFill="1" applyBorder="1" applyAlignment="1">
      <alignment horizontal="center" vertical="center"/>
    </xf>
    <xf numFmtId="1" fontId="10" fillId="0" borderId="152" xfId="0" applyNumberFormat="1" applyFont="1" applyBorder="1" applyAlignment="1">
      <alignment horizontal="center" vertical="center"/>
    </xf>
    <xf numFmtId="44" fontId="1" fillId="0" borderId="0" xfId="0" applyNumberFormat="1" applyFont="1"/>
    <xf numFmtId="4" fontId="13" fillId="0" borderId="28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 wrapText="1"/>
    </xf>
    <xf numFmtId="4" fontId="10" fillId="3" borderId="60" xfId="0" applyNumberFormat="1" applyFont="1" applyFill="1" applyBorder="1"/>
    <xf numFmtId="4" fontId="10" fillId="3" borderId="61" xfId="0" applyNumberFormat="1" applyFont="1" applyFill="1" applyBorder="1"/>
    <xf numFmtId="4" fontId="13" fillId="0" borderId="0" xfId="0" applyNumberFormat="1" applyFont="1" applyAlignment="1">
      <alignment vertical="center"/>
    </xf>
    <xf numFmtId="4" fontId="10" fillId="0" borderId="65" xfId="0" applyNumberFormat="1" applyFont="1" applyBorder="1" applyAlignment="1">
      <alignment vertical="center"/>
    </xf>
    <xf numFmtId="4" fontId="10" fillId="3" borderId="7" xfId="0" applyNumberFormat="1" applyFont="1" applyFill="1" applyBorder="1" applyAlignment="1">
      <alignment horizontal="center"/>
    </xf>
    <xf numFmtId="4" fontId="10" fillId="3" borderId="6" xfId="0" applyNumberFormat="1" applyFont="1" applyFill="1" applyBorder="1" applyAlignment="1">
      <alignment horizontal="center"/>
    </xf>
    <xf numFmtId="4" fontId="13" fillId="0" borderId="22" xfId="0" applyNumberFormat="1" applyFont="1" applyBorder="1" applyAlignment="1">
      <alignment wrapText="1"/>
    </xf>
    <xf numFmtId="4" fontId="13" fillId="0" borderId="0" xfId="0" applyNumberFormat="1" applyFont="1" applyAlignment="1">
      <alignment horizontal="center"/>
    </xf>
    <xf numFmtId="4" fontId="10" fillId="0" borderId="37" xfId="0" applyNumberFormat="1" applyFont="1" applyBorder="1"/>
    <xf numFmtId="4" fontId="10" fillId="0" borderId="60" xfId="0" applyNumberFormat="1" applyFont="1" applyBorder="1" applyAlignment="1">
      <alignment horizontal="center" wrapText="1"/>
    </xf>
    <xf numFmtId="4" fontId="10" fillId="0" borderId="62" xfId="0" applyNumberFormat="1" applyFont="1" applyBorder="1" applyAlignment="1">
      <alignment horizontal="center" wrapText="1"/>
    </xf>
    <xf numFmtId="4" fontId="10" fillId="0" borderId="68" xfId="0" applyNumberFormat="1" applyFont="1" applyBorder="1" applyAlignment="1">
      <alignment horizontal="center" vertical="center"/>
    </xf>
    <xf numFmtId="4" fontId="13" fillId="0" borderId="63" xfId="0" applyNumberFormat="1" applyFont="1" applyBorder="1" applyAlignment="1">
      <alignment horizontal="center"/>
    </xf>
    <xf numFmtId="4" fontId="10" fillId="0" borderId="45" xfId="0" applyNumberFormat="1" applyFont="1" applyBorder="1" applyAlignment="1">
      <alignment horizontal="center" vertical="center"/>
    </xf>
    <xf numFmtId="4" fontId="10" fillId="0" borderId="102" xfId="0" applyNumberFormat="1" applyFont="1" applyBorder="1" applyAlignment="1">
      <alignment horizontal="center" vertical="center" wrapText="1"/>
    </xf>
    <xf numFmtId="4" fontId="10" fillId="3" borderId="28" xfId="0" applyNumberFormat="1" applyFont="1" applyFill="1" applyBorder="1"/>
    <xf numFmtId="4" fontId="10" fillId="2" borderId="32" xfId="0" applyNumberFormat="1" applyFont="1" applyFill="1" applyBorder="1"/>
    <xf numFmtId="4" fontId="10" fillId="2" borderId="55" xfId="0" applyNumberFormat="1" applyFont="1" applyFill="1" applyBorder="1"/>
    <xf numFmtId="4" fontId="10" fillId="2" borderId="77" xfId="0" applyNumberFormat="1" applyFont="1" applyFill="1" applyBorder="1"/>
    <xf numFmtId="4" fontId="10" fillId="3" borderId="19" xfId="0" applyNumberFormat="1" applyFont="1" applyFill="1" applyBorder="1" applyAlignment="1">
      <alignment horizontal="right" wrapText="1"/>
    </xf>
    <xf numFmtId="4" fontId="10" fillId="0" borderId="20" xfId="0" applyNumberFormat="1" applyFont="1" applyBorder="1" applyAlignment="1">
      <alignment horizontal="left" vertical="top" wrapText="1"/>
    </xf>
    <xf numFmtId="4" fontId="13" fillId="0" borderId="0" xfId="0" applyNumberFormat="1" applyFont="1" applyAlignment="1">
      <alignment horizontal="center" vertical="center"/>
    </xf>
    <xf numFmtId="4" fontId="10" fillId="0" borderId="41" xfId="0" applyNumberFormat="1" applyFont="1" applyBorder="1" applyAlignment="1">
      <alignment vertical="center"/>
    </xf>
    <xf numFmtId="4" fontId="13" fillId="0" borderId="104" xfId="0" applyNumberFormat="1" applyFont="1" applyBorder="1"/>
    <xf numFmtId="4" fontId="13" fillId="0" borderId="60" xfId="0" applyNumberFormat="1" applyFont="1" applyBorder="1"/>
    <xf numFmtId="4" fontId="10" fillId="0" borderId="23" xfId="0" applyNumberFormat="1" applyFont="1" applyBorder="1" applyAlignment="1">
      <alignment wrapText="1"/>
    </xf>
    <xf numFmtId="4" fontId="6" fillId="0" borderId="106" xfId="0" applyNumberFormat="1" applyFont="1" applyBorder="1" applyAlignment="1">
      <alignment horizontal="center" vertical="center" wrapText="1"/>
    </xf>
    <xf numFmtId="3" fontId="10" fillId="0" borderId="70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2" borderId="93" xfId="0" applyNumberFormat="1" applyFont="1" applyFill="1" applyBorder="1"/>
    <xf numFmtId="0" fontId="10" fillId="0" borderId="41" xfId="0" applyFont="1" applyBorder="1"/>
    <xf numFmtId="0" fontId="10" fillId="0" borderId="27" xfId="0" applyFont="1" applyBorder="1"/>
    <xf numFmtId="0" fontId="13" fillId="0" borderId="28" xfId="0" applyFont="1" applyBorder="1" applyAlignment="1">
      <alignment horizontal="center" vertical="center"/>
    </xf>
    <xf numFmtId="0" fontId="13" fillId="0" borderId="57" xfId="0" applyFont="1" applyBorder="1" applyAlignment="1">
      <alignment wrapText="1"/>
    </xf>
    <xf numFmtId="0" fontId="10" fillId="3" borderId="60" xfId="0" applyFont="1" applyFill="1" applyBorder="1"/>
    <xf numFmtId="0" fontId="10" fillId="0" borderId="17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2" borderId="24" xfId="0" applyFont="1" applyFill="1" applyBorder="1"/>
    <xf numFmtId="0" fontId="13" fillId="0" borderId="0" xfId="0" applyFont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69" xfId="0" applyFont="1" applyFill="1" applyBorder="1"/>
    <xf numFmtId="0" fontId="10" fillId="0" borderId="6" xfId="0" applyFont="1" applyBorder="1"/>
    <xf numFmtId="0" fontId="10" fillId="3" borderId="6" xfId="0" applyFont="1" applyFill="1" applyBorder="1" applyAlignment="1">
      <alignment horizontal="center"/>
    </xf>
    <xf numFmtId="0" fontId="13" fillId="0" borderId="23" xfId="0" applyFont="1" applyBorder="1"/>
    <xf numFmtId="0" fontId="13" fillId="3" borderId="23" xfId="0" applyFont="1" applyFill="1" applyBorder="1"/>
    <xf numFmtId="0" fontId="10" fillId="0" borderId="23" xfId="0" applyFont="1" applyBorder="1"/>
    <xf numFmtId="0" fontId="10" fillId="0" borderId="24" xfId="0" applyFont="1" applyBorder="1"/>
    <xf numFmtId="0" fontId="13" fillId="0" borderId="0" xfId="0" applyFont="1" applyAlignment="1">
      <alignment wrapText="1"/>
    </xf>
    <xf numFmtId="0" fontId="10" fillId="0" borderId="30" xfId="0" applyFont="1" applyBorder="1"/>
    <xf numFmtId="0" fontId="13" fillId="0" borderId="30" xfId="0" applyFont="1" applyBorder="1"/>
    <xf numFmtId="0" fontId="13" fillId="0" borderId="30" xfId="0" applyFont="1" applyBorder="1" applyAlignment="1">
      <alignment wrapText="1"/>
    </xf>
    <xf numFmtId="0" fontId="10" fillId="0" borderId="70" xfId="0" applyFont="1" applyBorder="1" applyAlignment="1">
      <alignment wrapText="1"/>
    </xf>
    <xf numFmtId="0" fontId="10" fillId="0" borderId="38" xfId="0" applyFont="1" applyBorder="1"/>
    <xf numFmtId="0" fontId="10" fillId="0" borderId="29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2" borderId="19" xfId="0" applyFont="1" applyFill="1" applyBorder="1"/>
    <xf numFmtId="0" fontId="10" fillId="0" borderId="17" xfId="0" applyFont="1" applyBorder="1" applyAlignment="1">
      <alignment vertical="center"/>
    </xf>
    <xf numFmtId="0" fontId="10" fillId="2" borderId="21" xfId="0" applyFont="1" applyFill="1" applyBorder="1"/>
    <xf numFmtId="0" fontId="10" fillId="0" borderId="22" xfId="0" applyFont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35" xfId="0" applyFont="1" applyBorder="1" applyAlignment="1">
      <alignment wrapText="1"/>
    </xf>
    <xf numFmtId="164" fontId="10" fillId="2" borderId="59" xfId="0" applyNumberFormat="1" applyFont="1" applyFill="1" applyBorder="1"/>
    <xf numFmtId="0" fontId="10" fillId="0" borderId="26" xfId="0" applyFont="1" applyBorder="1" applyAlignment="1">
      <alignment wrapText="1"/>
    </xf>
    <xf numFmtId="2" fontId="10" fillId="3" borderId="24" xfId="0" applyNumberFormat="1" applyFont="1" applyFill="1" applyBorder="1"/>
    <xf numFmtId="165" fontId="10" fillId="0" borderId="0" xfId="0" applyNumberFormat="1" applyFont="1"/>
    <xf numFmtId="0" fontId="13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3" borderId="28" xfId="0" applyFont="1" applyFill="1" applyBorder="1"/>
    <xf numFmtId="1" fontId="10" fillId="3" borderId="18" xfId="0" applyNumberFormat="1" applyFont="1" applyFill="1" applyBorder="1"/>
    <xf numFmtId="2" fontId="10" fillId="2" borderId="18" xfId="0" applyNumberFormat="1" applyFont="1" applyFill="1" applyBorder="1"/>
    <xf numFmtId="0" fontId="10" fillId="0" borderId="54" xfId="0" applyFont="1" applyBorder="1" applyAlignment="1">
      <alignment horizontal="center" vertical="center"/>
    </xf>
    <xf numFmtId="2" fontId="10" fillId="3" borderId="54" xfId="0" applyNumberFormat="1" applyFont="1" applyFill="1" applyBorder="1"/>
    <xf numFmtId="1" fontId="10" fillId="3" borderId="53" xfId="0" applyNumberFormat="1" applyFont="1" applyFill="1" applyBorder="1"/>
    <xf numFmtId="2" fontId="10" fillId="2" borderId="54" xfId="0" applyNumberFormat="1" applyFont="1" applyFill="1" applyBorder="1"/>
    <xf numFmtId="2" fontId="10" fillId="2" borderId="1" xfId="0" applyNumberFormat="1" applyFont="1" applyFill="1" applyBorder="1"/>
    <xf numFmtId="2" fontId="10" fillId="2" borderId="59" xfId="0" applyNumberFormat="1" applyFont="1" applyFill="1" applyBorder="1"/>
    <xf numFmtId="0" fontId="10" fillId="0" borderId="23" xfId="0" applyFont="1" applyBorder="1" applyAlignment="1">
      <alignment horizontal="center" vertical="center"/>
    </xf>
    <xf numFmtId="2" fontId="10" fillId="3" borderId="23" xfId="0" applyNumberFormat="1" applyFont="1" applyFill="1" applyBorder="1"/>
    <xf numFmtId="1" fontId="10" fillId="3" borderId="51" xfId="0" applyNumberFormat="1" applyFont="1" applyFill="1" applyBorder="1"/>
    <xf numFmtId="2" fontId="10" fillId="2" borderId="23" xfId="0" applyNumberFormat="1" applyFont="1" applyFill="1" applyBorder="1"/>
    <xf numFmtId="2" fontId="10" fillId="2" borderId="34" xfId="0" applyNumberFormat="1" applyFont="1" applyFill="1" applyBorder="1"/>
    <xf numFmtId="2" fontId="10" fillId="2" borderId="24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41" xfId="0" applyFont="1" applyBorder="1" applyAlignment="1">
      <alignment wrapText="1"/>
    </xf>
    <xf numFmtId="0" fontId="10" fillId="0" borderId="41" xfId="0" applyFont="1" applyBorder="1" applyAlignment="1">
      <alignment horizontal="center"/>
    </xf>
    <xf numFmtId="2" fontId="10" fillId="0" borderId="0" xfId="0" applyNumberFormat="1" applyFont="1"/>
    <xf numFmtId="0" fontId="10" fillId="0" borderId="17" xfId="0" applyFont="1" applyBorder="1" applyAlignment="1">
      <alignment horizontal="left" wrapText="1"/>
    </xf>
    <xf numFmtId="0" fontId="10" fillId="0" borderId="5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2" borderId="23" xfId="0" applyFont="1" applyFill="1" applyBorder="1"/>
    <xf numFmtId="44" fontId="10" fillId="2" borderId="24" xfId="0" applyNumberFormat="1" applyFont="1" applyFill="1" applyBorder="1"/>
    <xf numFmtId="0" fontId="10" fillId="0" borderId="65" xfId="0" applyFont="1" applyBorder="1" applyAlignment="1">
      <alignment horizontal="center" vertical="center"/>
    </xf>
    <xf numFmtId="2" fontId="10" fillId="2" borderId="7" xfId="0" applyNumberFormat="1" applyFont="1" applyFill="1" applyBorder="1"/>
    <xf numFmtId="2" fontId="10" fillId="2" borderId="4" xfId="0" applyNumberFormat="1" applyFont="1" applyFill="1" applyBorder="1"/>
    <xf numFmtId="2" fontId="10" fillId="2" borderId="49" xfId="0" applyNumberFormat="1" applyFont="1" applyFill="1" applyBorder="1"/>
    <xf numFmtId="2" fontId="10" fillId="2" borderId="69" xfId="0" applyNumberFormat="1" applyFont="1" applyFill="1" applyBorder="1"/>
    <xf numFmtId="0" fontId="10" fillId="0" borderId="20" xfId="0" applyFont="1" applyBorder="1" applyAlignment="1">
      <alignment horizontal="center" vertical="center"/>
    </xf>
    <xf numFmtId="2" fontId="10" fillId="2" borderId="6" xfId="0" applyNumberFormat="1" applyFont="1" applyFill="1" applyBorder="1"/>
    <xf numFmtId="2" fontId="10" fillId="2" borderId="21" xfId="0" applyNumberFormat="1" applyFont="1" applyFill="1" applyBorder="1"/>
    <xf numFmtId="0" fontId="10" fillId="0" borderId="155" xfId="0" applyFont="1" applyBorder="1" applyAlignment="1">
      <alignment wrapText="1"/>
    </xf>
    <xf numFmtId="0" fontId="10" fillId="0" borderId="155" xfId="0" applyFont="1" applyBorder="1"/>
    <xf numFmtId="0" fontId="10" fillId="0" borderId="57" xfId="0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2" borderId="6" xfId="0" applyFont="1" applyFill="1" applyBorder="1"/>
    <xf numFmtId="44" fontId="10" fillId="2" borderId="6" xfId="0" applyNumberFormat="1" applyFont="1" applyFill="1" applyBorder="1"/>
    <xf numFmtId="44" fontId="10" fillId="2" borderId="21" xfId="0" applyNumberFormat="1" applyFont="1" applyFill="1" applyBorder="1"/>
    <xf numFmtId="0" fontId="10" fillId="0" borderId="23" xfId="0" applyFont="1" applyBorder="1" applyAlignment="1">
      <alignment wrapText="1"/>
    </xf>
    <xf numFmtId="44" fontId="10" fillId="2" borderId="23" xfId="0" applyNumberFormat="1" applyFont="1" applyFill="1" applyBorder="1"/>
    <xf numFmtId="0" fontId="6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44" fontId="10" fillId="2" borderId="77" xfId="0" applyNumberFormat="1" applyFont="1" applyFill="1" applyBorder="1"/>
    <xf numFmtId="0" fontId="10" fillId="0" borderId="25" xfId="0" applyFont="1" applyBorder="1" applyAlignment="1">
      <alignment horizontal="center" vertical="center"/>
    </xf>
    <xf numFmtId="44" fontId="10" fillId="2" borderId="79" xfId="0" applyNumberFormat="1" applyFont="1" applyFill="1" applyBorder="1"/>
    <xf numFmtId="0" fontId="10" fillId="0" borderId="26" xfId="0" applyFont="1" applyBorder="1" applyAlignment="1">
      <alignment horizontal="center" vertical="center"/>
    </xf>
    <xf numFmtId="44" fontId="10" fillId="2" borderId="93" xfId="0" applyNumberFormat="1" applyFont="1" applyFill="1" applyBorder="1"/>
    <xf numFmtId="166" fontId="10" fillId="0" borderId="0" xfId="0" applyNumberFormat="1" applyFont="1"/>
    <xf numFmtId="0" fontId="10" fillId="0" borderId="159" xfId="0" applyFont="1" applyBorder="1"/>
    <xf numFmtId="0" fontId="13" fillId="0" borderId="159" xfId="0" applyFont="1" applyBorder="1" applyAlignment="1">
      <alignment wrapText="1"/>
    </xf>
    <xf numFmtId="44" fontId="10" fillId="0" borderId="159" xfId="0" applyNumberFormat="1" applyFont="1" applyBorder="1"/>
    <xf numFmtId="0" fontId="6" fillId="0" borderId="57" xfId="0" applyFont="1" applyBorder="1" applyAlignment="1">
      <alignment wrapText="1"/>
    </xf>
    <xf numFmtId="0" fontId="7" fillId="0" borderId="60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6" fillId="0" borderId="68" xfId="0" applyFont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3" borderId="69" xfId="0" applyFont="1" applyFill="1" applyBorder="1" applyAlignment="1">
      <alignment wrapText="1"/>
    </xf>
    <xf numFmtId="0" fontId="10" fillId="0" borderId="65" xfId="0" applyFont="1" applyBorder="1"/>
    <xf numFmtId="0" fontId="10" fillId="0" borderId="67" xfId="0" applyFont="1" applyBorder="1" applyAlignment="1">
      <alignment horizontal="center" vertical="center"/>
    </xf>
    <xf numFmtId="0" fontId="6" fillId="0" borderId="20" xfId="0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21" xfId="0" applyFont="1" applyFill="1" applyBorder="1" applyAlignment="1">
      <alignment wrapText="1"/>
    </xf>
    <xf numFmtId="0" fontId="10" fillId="3" borderId="66" xfId="0" applyFont="1" applyFill="1" applyBorder="1"/>
    <xf numFmtId="0" fontId="10" fillId="3" borderId="67" xfId="0" applyFont="1" applyFill="1" applyBorder="1"/>
    <xf numFmtId="0" fontId="6" fillId="0" borderId="0" xfId="0" applyFont="1" applyAlignment="1">
      <alignment wrapText="1"/>
    </xf>
    <xf numFmtId="0" fontId="6" fillId="0" borderId="22" xfId="0" applyFont="1" applyBorder="1" applyAlignment="1">
      <alignment wrapText="1"/>
    </xf>
    <xf numFmtId="0" fontId="6" fillId="3" borderId="24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6" fillId="0" borderId="70" xfId="0" applyFont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/>
    </xf>
    <xf numFmtId="164" fontId="10" fillId="2" borderId="7" xfId="0" applyNumberFormat="1" applyFont="1" applyFill="1" applyBorder="1"/>
    <xf numFmtId="0" fontId="10" fillId="2" borderId="4" xfId="0" applyFont="1" applyFill="1" applyBorder="1"/>
    <xf numFmtId="0" fontId="10" fillId="0" borderId="20" xfId="0" applyFont="1" applyBorder="1" applyAlignment="1">
      <alignment horizontal="center"/>
    </xf>
    <xf numFmtId="164" fontId="10" fillId="2" borderId="6" xfId="0" applyNumberFormat="1" applyFont="1" applyFill="1" applyBorder="1"/>
    <xf numFmtId="0" fontId="10" fillId="2" borderId="33" xfId="0" applyFont="1" applyFill="1" applyBorder="1"/>
    <xf numFmtId="0" fontId="10" fillId="0" borderId="22" xfId="0" applyFont="1" applyBorder="1" applyAlignment="1">
      <alignment horizontal="center"/>
    </xf>
    <xf numFmtId="164" fontId="10" fillId="2" borderId="23" xfId="0" applyNumberFormat="1" applyFont="1" applyFill="1" applyBorder="1"/>
    <xf numFmtId="0" fontId="10" fillId="2" borderId="34" xfId="0" applyFont="1" applyFill="1" applyBorder="1"/>
    <xf numFmtId="0" fontId="10" fillId="3" borderId="16" xfId="0" applyFont="1" applyFill="1" applyBorder="1"/>
    <xf numFmtId="0" fontId="10" fillId="2" borderId="25" xfId="0" applyFont="1" applyFill="1" applyBorder="1" applyAlignment="1">
      <alignment wrapText="1"/>
    </xf>
    <xf numFmtId="0" fontId="10" fillId="3" borderId="26" xfId="0" applyFont="1" applyFill="1" applyBorder="1" applyAlignment="1">
      <alignment wrapText="1"/>
    </xf>
    <xf numFmtId="165" fontId="10" fillId="3" borderId="24" xfId="0" applyNumberFormat="1" applyFont="1" applyFill="1" applyBorder="1"/>
    <xf numFmtId="0" fontId="13" fillId="0" borderId="3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0" fillId="0" borderId="5" xfId="0" applyFont="1" applyBorder="1"/>
    <xf numFmtId="2" fontId="10" fillId="3" borderId="32" xfId="0" applyNumberFormat="1" applyFont="1" applyFill="1" applyBorder="1"/>
    <xf numFmtId="2" fontId="10" fillId="0" borderId="18" xfId="0" applyNumberFormat="1" applyFont="1" applyBorder="1"/>
    <xf numFmtId="0" fontId="10" fillId="0" borderId="32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33" xfId="0" applyFont="1" applyBorder="1"/>
    <xf numFmtId="0" fontId="10" fillId="0" borderId="58" xfId="0" applyFont="1" applyBorder="1"/>
    <xf numFmtId="2" fontId="10" fillId="3" borderId="1" xfId="0" applyNumberFormat="1" applyFont="1" applyFill="1" applyBorder="1"/>
    <xf numFmtId="2" fontId="10" fillId="3" borderId="3" xfId="0" applyNumberFormat="1" applyFont="1" applyFill="1" applyBorder="1"/>
    <xf numFmtId="0" fontId="10" fillId="0" borderId="1" xfId="0" applyFont="1" applyBorder="1" applyAlignment="1">
      <alignment horizontal="center"/>
    </xf>
    <xf numFmtId="2" fontId="10" fillId="0" borderId="54" xfId="0" applyNumberFormat="1" applyFont="1" applyBorder="1"/>
    <xf numFmtId="0" fontId="10" fillId="0" borderId="1" xfId="0" applyFont="1" applyBorder="1"/>
    <xf numFmtId="0" fontId="10" fillId="0" borderId="54" xfId="0" applyFont="1" applyBorder="1"/>
    <xf numFmtId="0" fontId="10" fillId="0" borderId="59" xfId="0" applyFont="1" applyBorder="1"/>
    <xf numFmtId="0" fontId="10" fillId="0" borderId="55" xfId="0" applyFont="1" applyBorder="1"/>
    <xf numFmtId="0" fontId="10" fillId="3" borderId="32" xfId="0" applyFont="1" applyFill="1" applyBorder="1" applyAlignment="1">
      <alignment horizontal="center"/>
    </xf>
    <xf numFmtId="0" fontId="10" fillId="2" borderId="32" xfId="0" applyFont="1" applyFill="1" applyBorder="1"/>
    <xf numFmtId="0" fontId="10" fillId="0" borderId="2" xfId="0" applyFont="1" applyBorder="1"/>
    <xf numFmtId="0" fontId="10" fillId="3" borderId="1" xfId="0" applyFont="1" applyFill="1" applyBorder="1" applyAlignment="1">
      <alignment horizontal="center"/>
    </xf>
    <xf numFmtId="0" fontId="10" fillId="2" borderId="0" xfId="0" applyFont="1" applyFill="1"/>
    <xf numFmtId="0" fontId="13" fillId="0" borderId="1" xfId="0" applyFont="1" applyBorder="1"/>
    <xf numFmtId="0" fontId="13" fillId="0" borderId="59" xfId="0" applyFont="1" applyBorder="1"/>
    <xf numFmtId="0" fontId="10" fillId="0" borderId="50" xfId="0" applyFont="1" applyBorder="1"/>
    <xf numFmtId="2" fontId="10" fillId="0" borderId="32" xfId="0" applyNumberFormat="1" applyFont="1" applyBorder="1"/>
    <xf numFmtId="0" fontId="10" fillId="0" borderId="32" xfId="0" applyFont="1" applyBorder="1" applyAlignment="1">
      <alignment horizontal="center"/>
    </xf>
    <xf numFmtId="0" fontId="13" fillId="0" borderId="18" xfId="0" applyFont="1" applyBorder="1"/>
    <xf numFmtId="0" fontId="10" fillId="0" borderId="53" xfId="0" applyFont="1" applyBorder="1"/>
    <xf numFmtId="2" fontId="10" fillId="0" borderId="1" xfId="0" applyNumberFormat="1" applyFont="1" applyBorder="1"/>
    <xf numFmtId="0" fontId="13" fillId="0" borderId="54" xfId="0" applyFont="1" applyBorder="1"/>
    <xf numFmtId="2" fontId="10" fillId="3" borderId="31" xfId="0" applyNumberFormat="1" applyFont="1" applyFill="1" applyBorder="1"/>
    <xf numFmtId="2" fontId="10" fillId="2" borderId="28" xfId="0" applyNumberFormat="1" applyFont="1" applyFill="1" applyBorder="1"/>
    <xf numFmtId="2" fontId="10" fillId="0" borderId="28" xfId="0" applyNumberFormat="1" applyFont="1" applyBorder="1"/>
    <xf numFmtId="0" fontId="10" fillId="0" borderId="45" xfId="0" applyFont="1" applyBorder="1"/>
    <xf numFmtId="2" fontId="10" fillId="0" borderId="45" xfId="0" applyNumberFormat="1" applyFont="1" applyBorder="1"/>
    <xf numFmtId="2" fontId="10" fillId="0" borderId="3" xfId="0" applyNumberFormat="1" applyFont="1" applyBorder="1"/>
    <xf numFmtId="2" fontId="10" fillId="3" borderId="6" xfId="0" applyNumberFormat="1" applyFont="1" applyFill="1" applyBorder="1"/>
    <xf numFmtId="0" fontId="10" fillId="3" borderId="3" xfId="0" applyFont="1" applyFill="1" applyBorder="1"/>
    <xf numFmtId="2" fontId="10" fillId="2" borderId="33" xfId="0" applyNumberFormat="1" applyFont="1" applyFill="1" applyBorder="1"/>
    <xf numFmtId="2" fontId="10" fillId="0" borderId="33" xfId="0" applyNumberFormat="1" applyFont="1" applyBorder="1"/>
    <xf numFmtId="0" fontId="10" fillId="3" borderId="0" xfId="0" applyFont="1" applyFill="1"/>
    <xf numFmtId="0" fontId="10" fillId="0" borderId="3" xfId="0" applyFont="1" applyBorder="1"/>
    <xf numFmtId="0" fontId="13" fillId="0" borderId="45" xfId="0" applyFont="1" applyBorder="1"/>
    <xf numFmtId="0" fontId="10" fillId="0" borderId="72" xfId="0" applyFont="1" applyBorder="1"/>
    <xf numFmtId="2" fontId="10" fillId="2" borderId="45" xfId="0" applyNumberFormat="1" applyFont="1" applyFill="1" applyBorder="1"/>
    <xf numFmtId="0" fontId="10" fillId="3" borderId="45" xfId="0" applyFont="1" applyFill="1" applyBorder="1"/>
    <xf numFmtId="0" fontId="10" fillId="0" borderId="51" xfId="0" applyFont="1" applyBorder="1"/>
    <xf numFmtId="2" fontId="10" fillId="3" borderId="34" xfId="0" applyNumberFormat="1" applyFont="1" applyFill="1" applyBorder="1"/>
    <xf numFmtId="2" fontId="10" fillId="3" borderId="56" xfId="0" applyNumberFormat="1" applyFont="1" applyFill="1" applyBorder="1"/>
    <xf numFmtId="0" fontId="10" fillId="0" borderId="34" xfId="0" applyFont="1" applyBorder="1"/>
    <xf numFmtId="0" fontId="13" fillId="0" borderId="46" xfId="0" applyFont="1" applyBorder="1"/>
    <xf numFmtId="0" fontId="10" fillId="0" borderId="49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47" xfId="0" applyFont="1" applyBorder="1"/>
    <xf numFmtId="0" fontId="10" fillId="0" borderId="8" xfId="0" applyFont="1" applyBorder="1"/>
    <xf numFmtId="0" fontId="10" fillId="0" borderId="48" xfId="0" applyFont="1" applyBorder="1"/>
    <xf numFmtId="0" fontId="6" fillId="0" borderId="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2" borderId="21" xfId="0" applyFont="1" applyFill="1" applyBorder="1"/>
    <xf numFmtId="0" fontId="6" fillId="0" borderId="22" xfId="0" applyFont="1" applyBorder="1"/>
    <xf numFmtId="0" fontId="6" fillId="0" borderId="0" xfId="0" applyFont="1"/>
    <xf numFmtId="3" fontId="13" fillId="7" borderId="76" xfId="0" applyNumberFormat="1" applyFont="1" applyFill="1" applyBorder="1" applyAlignment="1">
      <alignment horizontal="right" wrapText="1"/>
    </xf>
    <xf numFmtId="0" fontId="13" fillId="7" borderId="76" xfId="0" applyFont="1" applyFill="1" applyBorder="1" applyAlignment="1">
      <alignment horizontal="right" wrapText="1"/>
    </xf>
    <xf numFmtId="3" fontId="10" fillId="2" borderId="19" xfId="0" applyNumberFormat="1" applyFont="1" applyFill="1" applyBorder="1"/>
    <xf numFmtId="0" fontId="10" fillId="0" borderId="87" xfId="0" applyFont="1" applyBorder="1" applyAlignment="1">
      <alignment wrapText="1"/>
    </xf>
    <xf numFmtId="0" fontId="10" fillId="0" borderId="88" xfId="0" applyFont="1" applyBorder="1" applyAlignment="1">
      <alignment horizontal="right" wrapText="1"/>
    </xf>
    <xf numFmtId="0" fontId="10" fillId="0" borderId="89" xfId="0" applyFont="1" applyBorder="1" applyAlignment="1">
      <alignment wrapText="1"/>
    </xf>
    <xf numFmtId="0" fontId="10" fillId="0" borderId="76" xfId="0" applyFont="1" applyBorder="1" applyAlignment="1">
      <alignment horizontal="right" wrapText="1"/>
    </xf>
    <xf numFmtId="0" fontId="13" fillId="8" borderId="89" xfId="0" applyFont="1" applyFill="1" applyBorder="1" applyAlignment="1">
      <alignment wrapText="1"/>
    </xf>
    <xf numFmtId="0" fontId="13" fillId="8" borderId="76" xfId="0" applyFont="1" applyFill="1" applyBorder="1" applyAlignment="1">
      <alignment wrapText="1"/>
    </xf>
    <xf numFmtId="0" fontId="10" fillId="0" borderId="90" xfId="0" applyFont="1" applyBorder="1" applyAlignment="1">
      <alignment wrapText="1"/>
    </xf>
    <xf numFmtId="0" fontId="10" fillId="0" borderId="91" xfId="0" applyFont="1" applyBorder="1" applyAlignment="1">
      <alignment wrapText="1"/>
    </xf>
    <xf numFmtId="0" fontId="13" fillId="7" borderId="89" xfId="0" applyFont="1" applyFill="1" applyBorder="1" applyAlignment="1">
      <alignment wrapText="1"/>
    </xf>
    <xf numFmtId="0" fontId="13" fillId="7" borderId="76" xfId="0" applyFont="1" applyFill="1" applyBorder="1" applyAlignment="1">
      <alignment wrapText="1"/>
    </xf>
    <xf numFmtId="0" fontId="13" fillId="8" borderId="76" xfId="0" applyFont="1" applyFill="1" applyBorder="1" applyAlignment="1">
      <alignment horizontal="right" wrapText="1"/>
    </xf>
    <xf numFmtId="0" fontId="10" fillId="3" borderId="70" xfId="0" applyFont="1" applyFill="1" applyBorder="1"/>
    <xf numFmtId="0" fontId="10" fillId="3" borderId="63" xfId="0" applyFont="1" applyFill="1" applyBorder="1"/>
    <xf numFmtId="1" fontId="10" fillId="0" borderId="0" xfId="0" applyNumberFormat="1" applyFont="1"/>
    <xf numFmtId="0" fontId="10" fillId="3" borderId="22" xfId="0" applyFont="1" applyFill="1" applyBorder="1" applyAlignment="1">
      <alignment wrapText="1"/>
    </xf>
    <xf numFmtId="10" fontId="10" fillId="3" borderId="24" xfId="0" applyNumberFormat="1" applyFont="1" applyFill="1" applyBorder="1" applyAlignment="1">
      <alignment wrapText="1"/>
    </xf>
    <xf numFmtId="10" fontId="10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3" fillId="0" borderId="57" xfId="0" applyFont="1" applyBorder="1"/>
    <xf numFmtId="0" fontId="13" fillId="0" borderId="62" xfId="0" applyFont="1" applyBorder="1" applyAlignment="1">
      <alignment horizontal="center" vertical="center" wrapText="1"/>
    </xf>
    <xf numFmtId="0" fontId="13" fillId="3" borderId="65" xfId="0" applyFont="1" applyFill="1" applyBorder="1"/>
    <xf numFmtId="164" fontId="10" fillId="3" borderId="66" xfId="0" applyNumberFormat="1" applyFont="1" applyFill="1" applyBorder="1"/>
    <xf numFmtId="0" fontId="10" fillId="3" borderId="56" xfId="0" applyFont="1" applyFill="1" applyBorder="1"/>
    <xf numFmtId="0" fontId="10" fillId="2" borderId="56" xfId="0" applyFont="1" applyFill="1" applyBorder="1"/>
    <xf numFmtId="0" fontId="10" fillId="2" borderId="67" xfId="0" applyFont="1" applyFill="1" applyBorder="1"/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2" fontId="10" fillId="2" borderId="56" xfId="0" applyNumberFormat="1" applyFont="1" applyFill="1" applyBorder="1"/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/>
    </xf>
    <xf numFmtId="0" fontId="13" fillId="0" borderId="107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06" xfId="0" applyFont="1" applyBorder="1" applyAlignment="1">
      <alignment horizontal="center"/>
    </xf>
    <xf numFmtId="0" fontId="10" fillId="0" borderId="107" xfId="0" applyFont="1" applyBorder="1" applyAlignment="1">
      <alignment horizontal="center"/>
    </xf>
    <xf numFmtId="0" fontId="10" fillId="0" borderId="108" xfId="0" applyFont="1" applyBorder="1" applyAlignment="1">
      <alignment horizontal="center"/>
    </xf>
    <xf numFmtId="4" fontId="13" fillId="0" borderId="38" xfId="0" applyNumberFormat="1" applyFont="1" applyBorder="1" applyAlignment="1">
      <alignment horizontal="center" vertical="center" wrapText="1"/>
    </xf>
    <xf numFmtId="4" fontId="13" fillId="0" borderId="39" xfId="0" applyNumberFormat="1" applyFont="1" applyBorder="1" applyAlignment="1">
      <alignment horizontal="center" vertical="center" wrapText="1"/>
    </xf>
    <xf numFmtId="4" fontId="13" fillId="0" borderId="64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4" fontId="10" fillId="0" borderId="68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center" vertical="center"/>
    </xf>
    <xf numFmtId="4" fontId="10" fillId="0" borderId="65" xfId="0" applyNumberFormat="1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center" vertical="center"/>
    </xf>
    <xf numFmtId="4" fontId="13" fillId="0" borderId="62" xfId="0" applyNumberFormat="1" applyFont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/>
    </xf>
    <xf numFmtId="4" fontId="13" fillId="0" borderId="71" xfId="0" applyNumberFormat="1" applyFont="1" applyBorder="1" applyAlignment="1">
      <alignment horizontal="center" vertical="center"/>
    </xf>
    <xf numFmtId="4" fontId="13" fillId="0" borderId="74" xfId="0" applyNumberFormat="1" applyFont="1" applyBorder="1" applyAlignment="1">
      <alignment horizontal="center" vertical="center"/>
    </xf>
    <xf numFmtId="4" fontId="18" fillId="0" borderId="38" xfId="0" applyNumberFormat="1" applyFont="1" applyBorder="1" applyAlignment="1">
      <alignment horizontal="center"/>
    </xf>
    <xf numFmtId="4" fontId="18" fillId="0" borderId="41" xfId="0" applyNumberFormat="1" applyFont="1" applyBorder="1" applyAlignment="1">
      <alignment horizontal="center"/>
    </xf>
    <xf numFmtId="4" fontId="18" fillId="0" borderId="40" xfId="0" applyNumberFormat="1" applyFont="1" applyBorder="1" applyAlignment="1">
      <alignment horizontal="center"/>
    </xf>
    <xf numFmtId="4" fontId="13" fillId="0" borderId="39" xfId="0" applyNumberFormat="1" applyFont="1" applyBorder="1" applyAlignment="1">
      <alignment horizontal="center" vertical="center"/>
    </xf>
    <xf numFmtId="4" fontId="13" fillId="0" borderId="64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4" fontId="13" fillId="0" borderId="3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4" fontId="13" fillId="0" borderId="37" xfId="0" applyNumberFormat="1" applyFont="1" applyBorder="1" applyAlignment="1">
      <alignment horizontal="center"/>
    </xf>
    <xf numFmtId="4" fontId="13" fillId="0" borderId="71" xfId="0" applyNumberFormat="1" applyFont="1" applyBorder="1" applyAlignment="1">
      <alignment horizontal="center"/>
    </xf>
    <xf numFmtId="4" fontId="13" fillId="0" borderId="74" xfId="0" applyNumberFormat="1" applyFont="1" applyBorder="1" applyAlignment="1">
      <alignment horizontal="center"/>
    </xf>
    <xf numFmtId="0" fontId="13" fillId="0" borderId="144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vertical="center" wrapText="1"/>
    </xf>
    <xf numFmtId="0" fontId="13" fillId="0" borderId="146" xfId="0" applyFont="1" applyBorder="1" applyAlignment="1">
      <alignment horizontal="center" vertical="center" wrapText="1"/>
    </xf>
    <xf numFmtId="4" fontId="6" fillId="2" borderId="84" xfId="0" applyNumberFormat="1" applyFont="1" applyFill="1" applyBorder="1" applyAlignment="1">
      <alignment horizontal="center" vertical="center" wrapText="1"/>
    </xf>
    <xf numFmtId="4" fontId="6" fillId="2" borderId="82" xfId="0" applyNumberFormat="1" applyFont="1" applyFill="1" applyBorder="1" applyAlignment="1">
      <alignment horizontal="center" vertical="center" wrapText="1"/>
    </xf>
    <xf numFmtId="4" fontId="6" fillId="3" borderId="85" xfId="0" applyNumberFormat="1" applyFont="1" applyFill="1" applyBorder="1" applyAlignment="1">
      <alignment horizontal="center" vertical="center" wrapText="1"/>
    </xf>
    <xf numFmtId="4" fontId="6" fillId="3" borderId="83" xfId="0" applyNumberFormat="1" applyFont="1" applyFill="1" applyBorder="1" applyAlignment="1">
      <alignment horizontal="center" vertical="center" wrapText="1"/>
    </xf>
    <xf numFmtId="4" fontId="10" fillId="0" borderId="32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4" fontId="10" fillId="0" borderId="77" xfId="0" applyNumberFormat="1" applyFont="1" applyBorder="1" applyAlignment="1">
      <alignment horizontal="center"/>
    </xf>
    <xf numFmtId="4" fontId="10" fillId="0" borderId="33" xfId="0" applyNumberFormat="1" applyFont="1" applyBorder="1" applyAlignment="1">
      <alignment horizontal="center"/>
    </xf>
    <xf numFmtId="4" fontId="10" fillId="0" borderId="78" xfId="0" applyNumberFormat="1" applyFont="1" applyBorder="1" applyAlignment="1">
      <alignment horizontal="center"/>
    </xf>
    <xf numFmtId="4" fontId="10" fillId="0" borderId="79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 wrapText="1"/>
    </xf>
    <xf numFmtId="4" fontId="6" fillId="0" borderId="55" xfId="0" applyNumberFormat="1" applyFont="1" applyBorder="1" applyAlignment="1">
      <alignment horizontal="center" wrapText="1"/>
    </xf>
    <xf numFmtId="4" fontId="6" fillId="0" borderId="77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10" fillId="0" borderId="68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58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center"/>
    </xf>
    <xf numFmtId="4" fontId="13" fillId="0" borderId="62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71" xfId="0" applyNumberFormat="1" applyFont="1" applyBorder="1" applyAlignment="1">
      <alignment horizontal="center"/>
    </xf>
    <xf numFmtId="4" fontId="7" fillId="0" borderId="74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4" fontId="6" fillId="0" borderId="134" xfId="0" applyNumberFormat="1" applyFont="1" applyBorder="1" applyAlignment="1">
      <alignment horizontal="center" vertical="center" wrapText="1"/>
    </xf>
    <xf numFmtId="4" fontId="6" fillId="0" borderId="111" xfId="0" applyNumberFormat="1" applyFont="1" applyBorder="1" applyAlignment="1">
      <alignment horizontal="center" vertical="center" wrapText="1"/>
    </xf>
    <xf numFmtId="4" fontId="6" fillId="0" borderId="139" xfId="0" applyNumberFormat="1" applyFont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6" fillId="2" borderId="42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3" fontId="6" fillId="3" borderId="99" xfId="0" applyNumberFormat="1" applyFont="1" applyFill="1" applyBorder="1" applyAlignment="1">
      <alignment horizontal="center" vertical="center" wrapText="1"/>
    </xf>
    <xf numFmtId="3" fontId="6" fillId="3" borderId="100" xfId="0" applyNumberFormat="1" applyFont="1" applyFill="1" applyBorder="1" applyAlignment="1">
      <alignment horizontal="center" vertical="center" wrapText="1"/>
    </xf>
    <xf numFmtId="4" fontId="13" fillId="0" borderId="37" xfId="0" applyNumberFormat="1" applyFont="1" applyBorder="1" applyAlignment="1">
      <alignment horizontal="center" wrapText="1"/>
    </xf>
    <xf numFmtId="4" fontId="13" fillId="0" borderId="68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" fontId="10" fillId="0" borderId="46" xfId="0" applyNumberFormat="1" applyFont="1" applyBorder="1" applyAlignment="1">
      <alignment horizontal="center" vertical="center"/>
    </xf>
    <xf numFmtId="4" fontId="10" fillId="0" borderId="81" xfId="0" applyNumberFormat="1" applyFont="1" applyBorder="1" applyAlignment="1">
      <alignment horizontal="center" vertical="center"/>
    </xf>
    <xf numFmtId="4" fontId="10" fillId="0" borderId="80" xfId="0" applyNumberFormat="1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4" fontId="13" fillId="0" borderId="118" xfId="0" applyNumberFormat="1" applyFont="1" applyBorder="1" applyAlignment="1">
      <alignment horizontal="center" vertical="center" wrapText="1"/>
    </xf>
    <xf numFmtId="4" fontId="13" fillId="0" borderId="112" xfId="0" applyNumberFormat="1" applyFont="1" applyBorder="1" applyAlignment="1">
      <alignment horizontal="center" vertical="center"/>
    </xf>
    <xf numFmtId="4" fontId="13" fillId="0" borderId="115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3" fontId="6" fillId="3" borderId="84" xfId="0" applyNumberFormat="1" applyFont="1" applyFill="1" applyBorder="1" applyAlignment="1">
      <alignment horizontal="center" vertical="center" wrapText="1"/>
    </xf>
    <xf numFmtId="3" fontId="6" fillId="3" borderId="82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58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8" fillId="0" borderId="37" xfId="0" applyNumberFormat="1" applyFont="1" applyBorder="1" applyAlignment="1">
      <alignment horizontal="center" vertical="center"/>
    </xf>
    <xf numFmtId="4" fontId="18" fillId="0" borderId="71" xfId="0" applyNumberFormat="1" applyFont="1" applyBorder="1" applyAlignment="1">
      <alignment horizontal="center" vertical="center"/>
    </xf>
    <xf numFmtId="4" fontId="18" fillId="0" borderId="74" xfId="0" applyNumberFormat="1" applyFont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 wrapText="1"/>
    </xf>
    <xf numFmtId="4" fontId="13" fillId="0" borderId="41" xfId="0" applyNumberFormat="1" applyFont="1" applyBorder="1" applyAlignment="1">
      <alignment horizontal="center"/>
    </xf>
    <xf numFmtId="4" fontId="13" fillId="0" borderId="40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63" xfId="0" applyNumberFormat="1" applyFont="1" applyBorder="1" applyAlignment="1">
      <alignment horizontal="center" vertical="center" wrapText="1"/>
    </xf>
    <xf numFmtId="4" fontId="13" fillId="0" borderId="65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154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2" fontId="10" fillId="2" borderId="32" xfId="0" applyNumberFormat="1" applyFont="1" applyFill="1" applyBorder="1" applyAlignment="1">
      <alignment horizontal="center"/>
    </xf>
    <xf numFmtId="2" fontId="10" fillId="2" borderId="55" xfId="0" applyNumberFormat="1" applyFont="1" applyFill="1" applyBorder="1" applyAlignment="1">
      <alignment horizontal="center"/>
    </xf>
    <xf numFmtId="2" fontId="10" fillId="2" borderId="77" xfId="0" applyNumberFormat="1" applyFont="1" applyFill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wrapText="1"/>
    </xf>
    <xf numFmtId="0" fontId="13" fillId="0" borderId="36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13" fillId="0" borderId="60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10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3" fillId="0" borderId="144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0" fontId="10" fillId="0" borderId="141" xfId="0" applyFont="1" applyBorder="1"/>
    <xf numFmtId="0" fontId="10" fillId="0" borderId="141" xfId="0" applyFont="1" applyBorder="1" applyAlignment="1">
      <alignment horizont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Scenarios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Scenario 1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Info!$I$28:$L$28</c:f>
              <c:strCache>
                <c:ptCount val="4"/>
                <c:pt idx="0">
                  <c:v>Driving distance [nm]</c:v>
                </c:pt>
                <c:pt idx="1">
                  <c:v>Trips per day</c:v>
                </c:pt>
                <c:pt idx="2">
                  <c:v>Operations days per week</c:v>
                </c:pt>
                <c:pt idx="3">
                  <c:v>Operations weeks per year</c:v>
                </c:pt>
              </c:strCache>
            </c:strRef>
          </c:cat>
          <c:val>
            <c:numRef>
              <c:f>Info!$I$29:$L$29</c:f>
              <c:numCache>
                <c:formatCode>General</c:formatCode>
                <c:ptCount val="4"/>
                <c:pt idx="0">
                  <c:v>20</c:v>
                </c:pt>
                <c:pt idx="1">
                  <c:v>4</c:v>
                </c:pt>
                <c:pt idx="2">
                  <c:v>5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F-4EA3-8426-A5F09A692EFE}"/>
            </c:ext>
          </c:extLst>
        </c:ser>
        <c:ser>
          <c:idx val="1"/>
          <c:order val="1"/>
          <c:tx>
            <c:v>Scenario 2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Info!$I$28:$L$28</c:f>
              <c:strCache>
                <c:ptCount val="4"/>
                <c:pt idx="0">
                  <c:v>Driving distance [nm]</c:v>
                </c:pt>
                <c:pt idx="1">
                  <c:v>Trips per day</c:v>
                </c:pt>
                <c:pt idx="2">
                  <c:v>Operations days per week</c:v>
                </c:pt>
                <c:pt idx="3">
                  <c:v>Operations weeks per year</c:v>
                </c:pt>
              </c:strCache>
            </c:strRef>
          </c:cat>
          <c:val>
            <c:numRef>
              <c:f>Info!$I$30:$L$30</c:f>
              <c:numCache>
                <c:formatCode>General</c:formatCode>
                <c:ptCount val="4"/>
                <c:pt idx="0">
                  <c:v>45</c:v>
                </c:pt>
                <c:pt idx="1">
                  <c:v>4</c:v>
                </c:pt>
                <c:pt idx="2">
                  <c:v>5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3F-4EA3-8426-A5F09A692EFE}"/>
            </c:ext>
          </c:extLst>
        </c:ser>
        <c:ser>
          <c:idx val="2"/>
          <c:order val="2"/>
          <c:tx>
            <c:v>Scenario 3</c:v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Info!$I$28:$L$28</c:f>
              <c:strCache>
                <c:ptCount val="4"/>
                <c:pt idx="0">
                  <c:v>Driving distance [nm]</c:v>
                </c:pt>
                <c:pt idx="1">
                  <c:v>Trips per day</c:v>
                </c:pt>
                <c:pt idx="2">
                  <c:v>Operations days per week</c:v>
                </c:pt>
                <c:pt idx="3">
                  <c:v>Operations weeks per year</c:v>
                </c:pt>
              </c:strCache>
            </c:strRef>
          </c:cat>
          <c:val>
            <c:numRef>
              <c:f>Info!$I$31:$L$31</c:f>
              <c:numCache>
                <c:formatCode>General</c:formatCode>
                <c:ptCount val="4"/>
                <c:pt idx="0">
                  <c:v>15</c:v>
                </c:pt>
                <c:pt idx="1">
                  <c:v>2</c:v>
                </c:pt>
                <c:pt idx="2">
                  <c:v>6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3F-4EA3-8426-A5F09A692EFE}"/>
            </c:ext>
          </c:extLst>
        </c:ser>
        <c:ser>
          <c:idx val="3"/>
          <c:order val="3"/>
          <c:tx>
            <c:v>Scenario 4</c:v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Info!$I$28:$L$28</c:f>
              <c:strCache>
                <c:ptCount val="4"/>
                <c:pt idx="0">
                  <c:v>Driving distance [nm]</c:v>
                </c:pt>
                <c:pt idx="1">
                  <c:v>Trips per day</c:v>
                </c:pt>
                <c:pt idx="2">
                  <c:v>Operations days per week</c:v>
                </c:pt>
                <c:pt idx="3">
                  <c:v>Operations weeks per year</c:v>
                </c:pt>
              </c:strCache>
            </c:strRef>
          </c:cat>
          <c:val>
            <c:numRef>
              <c:f>Info!$I$32:$L$32</c:f>
              <c:numCache>
                <c:formatCode>General</c:formatCode>
                <c:ptCount val="4"/>
                <c:pt idx="0">
                  <c:v>50</c:v>
                </c:pt>
                <c:pt idx="1">
                  <c:v>2</c:v>
                </c:pt>
                <c:pt idx="2">
                  <c:v>6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3F-4EA3-8426-A5F09A692E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8560728"/>
        <c:axId val="63459479"/>
      </c:barChart>
      <c:catAx>
        <c:axId val="95856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459479"/>
        <c:crosses val="autoZero"/>
        <c:auto val="0"/>
        <c:lblAlgn val="ctr"/>
        <c:lblOffset val="100"/>
        <c:noMultiLvlLbl val="0"/>
      </c:catAx>
      <c:valAx>
        <c:axId val="63459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856072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Volumetric energy density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Fuel!$A$6:$A$13</c:f>
              <c:strCache>
                <c:ptCount val="8"/>
                <c:pt idx="0">
                  <c:v>Litium-Ion</c:v>
                </c:pt>
                <c:pt idx="1">
                  <c:v>Liquefied Hydrogen</c:v>
                </c:pt>
                <c:pt idx="2">
                  <c:v>Liquefied Ammonia</c:v>
                </c:pt>
                <c:pt idx="3">
                  <c:v>Methanol</c:v>
                </c:pt>
                <c:pt idx="4">
                  <c:v>Methane</c:v>
                </c:pt>
                <c:pt idx="5">
                  <c:v>HFO</c:v>
                </c:pt>
                <c:pt idx="6">
                  <c:v>MGO</c:v>
                </c:pt>
                <c:pt idx="7">
                  <c:v>EN 950</c:v>
                </c:pt>
              </c:strCache>
            </c:strRef>
          </c:cat>
          <c:val>
            <c:numRef>
              <c:f>Fuel!$C$6:$C$13</c:f>
              <c:numCache>
                <c:formatCode>0.0</c:formatCode>
                <c:ptCount val="8"/>
                <c:pt idx="0">
                  <c:v>0.27777777777777779</c:v>
                </c:pt>
                <c:pt idx="1">
                  <c:v>2.5</c:v>
                </c:pt>
                <c:pt idx="2">
                  <c:v>3.5277777777777777</c:v>
                </c:pt>
                <c:pt idx="3">
                  <c:v>4.3888888888888893</c:v>
                </c:pt>
                <c:pt idx="4">
                  <c:v>6.5277777777777777</c:v>
                </c:pt>
                <c:pt idx="5">
                  <c:v>9.7222222222222214</c:v>
                </c:pt>
                <c:pt idx="6">
                  <c:v>10.166666666666666</c:v>
                </c:pt>
                <c:pt idx="7">
                  <c:v>10.777777777777777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1-7242-8D77-565A7D46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12919"/>
        <c:axId val="466280632"/>
      </c:barChart>
      <c:catAx>
        <c:axId val="38212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466280632"/>
        <c:crosses val="autoZero"/>
        <c:auto val="1"/>
        <c:lblAlgn val="ctr"/>
        <c:lblOffset val="100"/>
        <c:noMultiLvlLbl val="0"/>
      </c:catAx>
      <c:valAx>
        <c:axId val="46628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kWh/L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/>
                  <a:ea typeface="Times New Roman"/>
                  <a:cs typeface="Times New Roman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212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Well-to-wake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0549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.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Fuel!$A$22:$A$30</c:f>
              <c:strCache>
                <c:ptCount val="9"/>
                <c:pt idx="0">
                  <c:v>Bio-LNG</c:v>
                </c:pt>
                <c:pt idx="1">
                  <c:v>Green Hydrogen</c:v>
                </c:pt>
                <c:pt idx="2">
                  <c:v>Green Methanol</c:v>
                </c:pt>
                <c:pt idx="3">
                  <c:v>Green Ammonia</c:v>
                </c:pt>
                <c:pt idx="4">
                  <c:v>LNG</c:v>
                </c:pt>
                <c:pt idx="5">
                  <c:v>VLSFO</c:v>
                </c:pt>
                <c:pt idx="6">
                  <c:v>Grey Methanol</c:v>
                </c:pt>
                <c:pt idx="7">
                  <c:v>Grey Ammonia</c:v>
                </c:pt>
                <c:pt idx="8">
                  <c:v>Grey Hydrogen</c:v>
                </c:pt>
              </c:strCache>
            </c:strRef>
          </c:cat>
          <c:val>
            <c:numRef>
              <c:f>Fuel!$B$22:$B$30</c:f>
              <c:numCache>
                <c:formatCode>General</c:formatCode>
                <c:ptCount val="9"/>
                <c:pt idx="0">
                  <c:v>-0.1</c:v>
                </c:pt>
                <c:pt idx="1">
                  <c:v>0</c:v>
                </c:pt>
                <c:pt idx="2">
                  <c:v>0.05</c:v>
                </c:pt>
                <c:pt idx="3">
                  <c:v>0.17</c:v>
                </c:pt>
                <c:pt idx="4">
                  <c:v>0.84</c:v>
                </c:pt>
                <c:pt idx="5">
                  <c:v>1</c:v>
                </c:pt>
                <c:pt idx="6" formatCode="0.00">
                  <c:v>1.1399999999999999</c:v>
                </c:pt>
                <c:pt idx="7">
                  <c:v>1.48</c:v>
                </c:pt>
                <c:pt idx="8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E-8046-A01B-A23D44971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3056303"/>
        <c:axId val="1773088975"/>
      </c:barChart>
      <c:catAx>
        <c:axId val="177305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773088975"/>
        <c:crosses val="autoZero"/>
        <c:auto val="1"/>
        <c:lblAlgn val="ctr"/>
        <c:lblOffset val="100"/>
        <c:noMultiLvlLbl val="0"/>
      </c:catAx>
      <c:valAx>
        <c:axId val="1773088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 CO2/t fuel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/>
                  <a:ea typeface="Times New Roman"/>
                  <a:cs typeface="Times New Roman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77305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2</xdr:row>
      <xdr:rowOff>152400</xdr:rowOff>
    </xdr:from>
    <xdr:to>
      <xdr:col>16</xdr:col>
      <xdr:colOff>371475</xdr:colOff>
      <xdr:row>25</xdr:row>
      <xdr:rowOff>76200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079D7FE8-E14E-0199-8EF9-D5FBB322A88C}"/>
            </a:ext>
            <a:ext uri="{147F2762-F138-4A5C-976F-8EAC2B608ADB}">
              <a16:predDERef xmlns:a16="http://schemas.microsoft.com/office/drawing/2014/main" pred="{18B7DD72-C614-60BC-1D46-096F7C3B1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3</xdr:row>
      <xdr:rowOff>38100</xdr:rowOff>
    </xdr:from>
    <xdr:to>
      <xdr:col>12</xdr:col>
      <xdr:colOff>438150</xdr:colOff>
      <xdr:row>16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A712D3E-C888-1963-810B-BBC5CF9408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253999</xdr:colOff>
      <xdr:row>18</xdr:row>
      <xdr:rowOff>179265</xdr:rowOff>
    </xdr:from>
    <xdr:to>
      <xdr:col>11</xdr:col>
      <xdr:colOff>0</xdr:colOff>
      <xdr:row>34</xdr:row>
      <xdr:rowOff>36634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A522143-A7AB-9524-0233-81EA11B29DA9}"/>
            </a:ext>
            <a:ext uri="{147F2762-F138-4A5C-976F-8EAC2B608ADB}">
              <a16:predDERef xmlns:a16="http://schemas.microsoft.com/office/drawing/2014/main" pred="{FA712D3E-C888-1963-810B-BBC5CF9408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ra Haga Rosenvold" id="{7501AD03-080E-43FF-8A54-8414712CF016}" userId="S::584463@stud.hvl.no::29fc8d9d-0b44-447b-b8ac-143fbee1fff4" providerId="AD"/>
  <person displayName="Anette Ydstie Røe" id="{E2860C74-896F-4ADB-8B38-1BCA02075D91}" userId="S::587722@stud.hvl.no::7703ed0f-d00c-4d2a-b0ee-c5cff300511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8" dT="2022-05-25T19:09:17.93" personId="{E2860C74-896F-4ADB-8B38-1BCA02075D91}" id="{41D8A524-C824-46CB-969F-BD1B94F9727B}">
    <text>https://fwpower.co.uk/wp-content/uploads/2018/12/Diesel-Generator-Fuel-Consumption-Chart-in-Litres.pdf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B5" dT="2022-02-24T12:51:44.35" personId="{E2860C74-896F-4ADB-8B38-1BCA02075D91}" id="{D3226639-35BA-43B1-8554-90C696F44B97}">
    <text>https://onlinelibrary.wiley.com/doi/10.1002/er.4440</text>
  </threadedComment>
  <threadedComment ref="B5" dT="2022-05-16T10:33:35.33" personId="{E2860C74-896F-4ADB-8B38-1BCA02075D91}" id="{36E713C1-E8F7-498B-B4E2-CC9AD33B4B68}" parentId="{D3226639-35BA-43B1-8554-90C696F44B97}">
    <text>https://onlinelibrary.wiley.com/doi/10.1002/er.4440</text>
  </threadedComment>
  <threadedComment ref="B8" dT="2022-02-21T09:49:34.14" personId="{E2860C74-896F-4ADB-8B38-1BCA02075D91}" id="{D843C132-08F3-49C6-9CB1-7A9522E9559D}">
    <text>http://www.fuelcell.no/hydrogen_mainpage_no.htm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17" dT="2022-02-04T12:48:28.48" personId="{E2860C74-896F-4ADB-8B38-1BCA02075D91}" id="{1F54EB90-E53B-4C26-8407-D945F4633F0B}">
    <text>https://www.goldfishboat.com/boats/x9</text>
  </threadedComment>
  <threadedComment ref="J17" dT="2022-02-04T12:32:21.25" personId="{E2860C74-896F-4ADB-8B38-1BCA02075D91}" id="{FE1D9436-6AEC-4F6E-893A-EA68F3E7615A}">
    <text>https://skarsvaag.com/skarsvaag799/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21" dT="2022-02-24T12:51:44.35" personId="{E2860C74-896F-4ADB-8B38-1BCA02075D91}" id="{26AD1A2E-EF33-4FC2-B6A3-F24B28BD17C7}">
    <text>https://onlinelibrary.wiley.com/doi/10.1002/er.4440</text>
  </threadedComment>
  <threadedComment ref="D27" dT="2022-02-21T09:49:34.14" personId="{E2860C74-896F-4ADB-8B38-1BCA02075D91}" id="{69007267-3424-4D0A-96D1-8B9AB927B7B5}">
    <text>http://www.fuelcell.no/hydrogen_mainpage_no.htm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24" dT="2022-02-24T12:51:44.35" personId="{E2860C74-896F-4ADB-8B38-1BCA02075D91}" id="{C5F67EA8-FAD0-4002-8B6F-7F91F0758B94}">
    <text>https://onlinelibrary.wiley.com/doi/10.1002/er.4440</text>
  </threadedComment>
  <threadedComment ref="C30" dT="2022-02-21T09:49:34.14" personId="{E2860C74-896F-4ADB-8B38-1BCA02075D91}" id="{6688C23F-8E14-4574-BDC0-DBC2C4B4992C}">
    <text>http://www.fuelcell.no/hydrogen_mainpage_no.htm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21" dT="2022-02-24T12:51:44.35" personId="{E2860C74-896F-4ADB-8B38-1BCA02075D91}" id="{C5231C7D-74D6-4CCE-A2DB-745B9CE2C39D}">
    <text>https://onlinelibrary.wiley.com/doi/10.1002/er.4440</text>
  </threadedComment>
  <threadedComment ref="D27" dT="2022-02-21T09:49:34.14" personId="{E2860C74-896F-4ADB-8B38-1BCA02075D91}" id="{CF49A121-ABAF-4C40-B768-5EB20DD3641A}">
    <text>http://www.fuelcell.no/hydrogen_mainpage_no.htm</text>
  </threadedComment>
  <threadedComment ref="D27" dT="2022-05-20T16:57:01.08" personId="{E2860C74-896F-4ADB-8B38-1BCA02075D91}" id="{1FB67272-DBBC-4EF4-887C-5CA1F8104331}" parentId="{CF49A121-ABAF-4C40-B768-5EB20DD3641A}">
    <text>https://maritimecleantech.no/wp-content/uploads/2016/11/Report-liquid-hydrogen.pdf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D21" dT="2022-02-24T12:51:44.35" personId="{E2860C74-896F-4ADB-8B38-1BCA02075D91}" id="{17FE23B9-AF60-4127-A8B7-536B3D4ACC76}">
    <text>https://onlinelibrary.wiley.com/doi/10.1002/er.4440</text>
  </threadedComment>
  <threadedComment ref="D27" dT="2022-02-21T09:49:34.14" personId="{E2860C74-896F-4ADB-8B38-1BCA02075D91}" id="{EB191622-B1F6-4AB8-9A71-D7120DCDB369}">
    <text>http://www.fuelcell.no/hydrogen_mainpage_no.htm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F5" dT="2022-04-18T08:47:37.45" personId="{E2860C74-896F-4ADB-8B38-1BCA02075D91}" id="{5D74FD07-9289-4575-A096-8B5CCDD85F60}">
    <text>https://onlinelibrary.wiley.com/doi/10.1002/er.4440</text>
  </threadedComment>
  <threadedComment ref="E7" dT="2022-04-12T10:57:25.16" personId="{E2860C74-896F-4ADB-8B38-1BCA02075D91}" id="{BAD62E7A-51AD-423F-ADFE-A03FE561B8FE}">
    <text>http://www.it.hiof.no/tressfysikk/scan/tabell1.pdf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D2" dT="2022-02-24T12:51:44.35" personId="{E2860C74-896F-4ADB-8B38-1BCA02075D91}" id="{134EB35F-2E6F-4947-B999-DA062D259D95}">
    <text>https://onlinelibrary.wiley.com/doi/10.1002/er.4440</text>
  </threadedComment>
  <threadedComment ref="D5" dT="2022-02-21T09:49:34.14" personId="{E2860C74-896F-4ADB-8B38-1BCA02075D91}" id="{3E28C9AA-6C2A-4AC6-A4C7-31375FCFBE47}">
    <text>http://www.fuelcell.no/hydrogen_mainpage_no.htm</text>
  </threadedComment>
  <threadedComment ref="B8" dT="2022-02-25T10:24:03.22" personId="{E2860C74-896F-4ADB-8B38-1BCA02075D91}" id="{CF5301C6-F1FE-4C33-B071-0F62D9521842}">
    <text>https://www.bloomenergy.com/wp-content/uploads/hydrogen-data-sheet.pdf</text>
  </threadedComment>
  <threadedComment ref="B9" dT="2022-02-28T07:45:36.38" personId="{E2860C74-896F-4ADB-8B38-1BCA02075D91}" id="{B8F292C7-1AED-433B-8B15-A22AFF331AA6}">
    <text>https://global.kyocera.com/prdct/ecd/sofc/</text>
  </threadedComment>
  <threadedComment ref="B10" dT="2022-02-28T09:23:02.21" personId="{E2860C74-896F-4ADB-8B38-1BCA02075D91}" id="{C0220C8F-744E-476E-9418-31BAAA3D6F01}">
    <text>https://www.efoy-pro.com/wp-content/uploads/sites/10/Data-Sheet-EFOY-80_150_Pro-900_1800_2800_EN.pdf</text>
  </threadedComment>
  <threadedComment ref="B12" dT="2022-02-28T10:03:59.39" personId="{E2860C74-896F-4ADB-8B38-1BCA02075D91}" id="{CCCC643F-8DF7-4CDE-B2AD-65929D979F23}">
    <text>https://www.afcenergy.com/products/hydrox-cell_l/</text>
  </threadedComment>
  <threadedComment ref="B14" dT="2022-02-25T10:19:33.55" personId="{E2860C74-896F-4ADB-8B38-1BCA02075D91}" id="{F18A1196-0DFD-4101-A4D3-3627DB0A24E5}">
    <text>https://www.blue.world/markets/maritime/</text>
  </threadedComment>
  <threadedComment ref="B16" dT="2022-02-25T10:45:49.05" personId="{E2860C74-896F-4ADB-8B38-1BCA02075D91}" id="{3636DDDA-60F4-44A6-9950-2E81ED339717}">
    <text>http://donar.messe.de/exhibitor/hannovermesse/2017/Y280404/serenergy-htpem-stack-s165l-datasheet-eng-190056.pdf</text>
  </threadedComment>
  <threadedComment ref="B17" dT="2022-02-28T09:46:42.31" personId="{E2860C74-896F-4ADB-8B38-1BCA02075D91}" id="{C6C0E065-7BEF-49F3-ABD3-B966477F7063}">
    <text>https://www.sfc.com/en/technology/hydrogen-technology/</text>
  </threadedComment>
  <threadedComment ref="B18" dT="2022-03-31T11:35:18.78" personId="{E2860C74-896F-4ADB-8B38-1BCA02075D91}" id="{113A14A0-7CD9-425E-B2DD-118D92B5BA9D}">
    <text xml:space="preserve">link i celle C26
</text>
  </threadedComment>
  <threadedComment ref="B19" dT="2022-02-28T08:29:54.13" personId="{E2860C74-896F-4ADB-8B38-1BCA02075D91}" id="{BD83142C-A1E7-49A5-9472-6C747383A6AF}">
    <text>https://www.mvsengg.com/products/hydrogen/pure-hydrogen/#footer-form</text>
  </threadedComment>
  <threadedComment ref="B20" dT="2022-03-10T10:29:47.58" personId="{E2860C74-896F-4ADB-8B38-1BCA02075D91}" id="{B673C5C2-E840-47A0-B196-2877F159A2D2}">
    <text>https://www.methanol.org/wp-content/uploads/2020/04/Methanol-Fuel-Cell-Powering-the-Future-webinar-presentation.pdf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B5" dT="2022-03-07T12:34:19.90" personId="{7501AD03-080E-43FF-8A54-8414712CF016}" id="{41249CF4-0189-43D0-8431-1CA0ABB7B1EF}">
    <text>Power point og mail</text>
  </threadedComment>
  <threadedComment ref="B6" dT="2022-03-07T12:34:05.67" personId="{7501AD03-080E-43FF-8A54-8414712CF016}" id="{B2A3CAB1-F168-43AC-8216-F5BBCBC370E0}">
    <text>Datablad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thanol.org/wp-content/uploads/2020/04/Methanol-Fuel-Cells-Blue-World-Technologies-Chongqing-2019.pdf" TargetMode="External"/><Relationship Id="rId7" Type="http://schemas.microsoft.com/office/2017/10/relationships/threadedComment" Target="../threadedComments/threadedComment8.xml"/><Relationship Id="rId2" Type="http://schemas.openxmlformats.org/officeDocument/2006/relationships/hyperlink" Target="https://www.efoy-pro.com/wp-content/uploads/sites/10/datasheet-efoy-pro-12000-en.pdf" TargetMode="External"/><Relationship Id="rId1" Type="http://schemas.openxmlformats.org/officeDocument/2006/relationships/hyperlink" Target="https://www.efoy-pro.com/service/downloads/" TargetMode="External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hyperlink" Target="https://www.cummins.com/new-power/technology/fuel-cel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hyperlink" Target="https://www.methanol.org/wp-content/uploads/2020/04/Methanol-Fuel-Cells-Blue-World-Technologies-Chongqing-2019.pdf" TargetMode="External"/><Relationship Id="rId4" Type="http://schemas.microsoft.com/office/2017/10/relationships/threadedComment" Target="../threadedComments/threadedComment9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0.xml"/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6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7.xml"/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opLeftCell="A19" zoomScale="92" workbookViewId="0">
      <selection activeCell="C40" sqref="C40"/>
    </sheetView>
  </sheetViews>
  <sheetFormatPr baseColWidth="10" defaultColWidth="8.88671875" defaultRowHeight="14.4"/>
  <cols>
    <col min="1" max="1" width="21.109375" customWidth="1"/>
    <col min="2" max="2" width="17.109375" customWidth="1"/>
    <col min="3" max="3" width="24.44140625" bestFit="1" customWidth="1"/>
    <col min="4" max="4" width="15.88671875" customWidth="1"/>
    <col min="5" max="5" width="16.88671875" customWidth="1"/>
    <col min="6" max="6" width="15.33203125" customWidth="1"/>
    <col min="7" max="7" width="14.6640625" customWidth="1"/>
    <col min="9" max="9" width="21.6640625" customWidth="1"/>
    <col min="10" max="10" width="13.44140625" bestFit="1" customWidth="1"/>
    <col min="11" max="11" width="29.44140625" customWidth="1"/>
    <col min="12" max="12" width="26.5546875" customWidth="1"/>
  </cols>
  <sheetData>
    <row r="1" spans="1:12" ht="15.6">
      <c r="A1" s="155" t="s">
        <v>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5.6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5.6">
      <c r="A3" s="240"/>
      <c r="B3" s="240"/>
      <c r="C3" s="241" t="s">
        <v>0</v>
      </c>
      <c r="D3" s="242">
        <v>63</v>
      </c>
      <c r="E3" s="243">
        <v>126</v>
      </c>
      <c r="F3" s="244">
        <v>252</v>
      </c>
      <c r="G3" s="240"/>
      <c r="H3" s="240"/>
      <c r="I3" s="240"/>
      <c r="J3" s="240"/>
      <c r="K3" s="240"/>
      <c r="L3" s="240"/>
    </row>
    <row r="4" spans="1:12" ht="15.6">
      <c r="A4" s="240"/>
      <c r="B4" s="240"/>
      <c r="C4" s="245" t="s">
        <v>1</v>
      </c>
      <c r="D4" s="246">
        <v>70</v>
      </c>
      <c r="E4" s="247">
        <v>70</v>
      </c>
      <c r="F4" s="248">
        <v>70</v>
      </c>
      <c r="G4" s="240"/>
      <c r="H4" s="240"/>
      <c r="I4" s="240"/>
      <c r="J4" s="240"/>
      <c r="K4" s="240"/>
      <c r="L4" s="240"/>
    </row>
    <row r="5" spans="1:12" ht="15.6">
      <c r="A5" s="240"/>
      <c r="B5" s="240"/>
      <c r="C5" s="249" t="s">
        <v>2</v>
      </c>
      <c r="D5" s="250">
        <f>D3*(D4/100)</f>
        <v>44.099999999999994</v>
      </c>
      <c r="E5" s="251">
        <f t="shared" ref="E5:F5" si="0">E3*(E4/100)</f>
        <v>88.199999999999989</v>
      </c>
      <c r="F5" s="252">
        <f t="shared" si="0"/>
        <v>176.39999999999998</v>
      </c>
      <c r="G5" s="240"/>
      <c r="H5" s="240"/>
      <c r="I5" s="240"/>
      <c r="J5" s="240"/>
      <c r="K5" s="240"/>
      <c r="L5" s="240"/>
    </row>
    <row r="6" spans="1:12" ht="15.6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2" ht="15.6">
      <c r="A7" s="253" t="s">
        <v>3</v>
      </c>
      <c r="B7" s="254" t="s">
        <v>4</v>
      </c>
      <c r="C7" s="254" t="s">
        <v>5</v>
      </c>
      <c r="D7" s="254" t="s">
        <v>6</v>
      </c>
      <c r="E7" s="254" t="s">
        <v>7</v>
      </c>
      <c r="F7" s="255" t="s">
        <v>7</v>
      </c>
      <c r="G7" s="240"/>
      <c r="H7" s="240"/>
      <c r="I7" s="240"/>
      <c r="J7" s="240"/>
      <c r="K7" s="240"/>
      <c r="L7" s="240"/>
    </row>
    <row r="8" spans="1:12" ht="15.6">
      <c r="A8" s="256" t="s">
        <v>8</v>
      </c>
      <c r="B8" s="257">
        <v>10</v>
      </c>
      <c r="C8" s="258" t="s">
        <v>9</v>
      </c>
      <c r="D8" s="259">
        <v>0.20972222222222223</v>
      </c>
      <c r="E8" s="259">
        <v>0.41944444444444445</v>
      </c>
      <c r="F8" s="260">
        <v>0.83958333333333324</v>
      </c>
      <c r="G8" s="240"/>
      <c r="H8" s="240"/>
      <c r="I8" s="240"/>
      <c r="J8" s="240"/>
      <c r="K8" s="240"/>
      <c r="L8" s="240"/>
    </row>
    <row r="9" spans="1:12" ht="15.6">
      <c r="A9" s="261" t="s">
        <v>8</v>
      </c>
      <c r="B9" s="262">
        <v>22</v>
      </c>
      <c r="C9" s="247" t="s">
        <v>10</v>
      </c>
      <c r="D9" s="263">
        <v>9.5138888888888884E-2</v>
      </c>
      <c r="E9" s="263">
        <v>0.19027777777777777</v>
      </c>
      <c r="F9" s="264">
        <v>0.38125000000000003</v>
      </c>
      <c r="G9" s="240"/>
      <c r="H9" s="240"/>
      <c r="I9" s="240"/>
      <c r="J9" s="240"/>
      <c r="K9" s="240"/>
      <c r="L9" s="240"/>
    </row>
    <row r="10" spans="1:12" ht="15.6">
      <c r="A10" s="261" t="s">
        <v>8</v>
      </c>
      <c r="B10" s="262">
        <v>44</v>
      </c>
      <c r="C10" s="265" t="s">
        <v>11</v>
      </c>
      <c r="D10" s="263">
        <v>4.7222222222222221E-2</v>
      </c>
      <c r="E10" s="263">
        <v>9.5138888888888884E-2</v>
      </c>
      <c r="F10" s="264">
        <v>0.19027777777777777</v>
      </c>
      <c r="G10" s="240"/>
      <c r="H10" s="240"/>
      <c r="I10" s="240"/>
      <c r="J10" s="240"/>
      <c r="K10" s="240"/>
      <c r="L10" s="240"/>
    </row>
    <row r="11" spans="1:12" ht="15.6">
      <c r="A11" s="261" t="s">
        <v>12</v>
      </c>
      <c r="B11" s="262">
        <v>120</v>
      </c>
      <c r="C11" s="265" t="s">
        <v>13</v>
      </c>
      <c r="D11" s="263">
        <v>3.3333333333333333E-2</v>
      </c>
      <c r="E11" s="263">
        <v>3.4722222222222224E-2</v>
      </c>
      <c r="F11" s="264">
        <v>6.9444444444444434E-2</v>
      </c>
      <c r="G11" s="240"/>
      <c r="H11" s="240"/>
      <c r="I11" s="240"/>
      <c r="J11" s="240"/>
      <c r="K11" s="240"/>
      <c r="L11" s="240"/>
    </row>
    <row r="12" spans="1:12" ht="15.6">
      <c r="A12" s="266" t="s">
        <v>12</v>
      </c>
      <c r="B12" s="267">
        <v>150</v>
      </c>
      <c r="C12" s="268" t="s">
        <v>13</v>
      </c>
      <c r="D12" s="269">
        <v>3.3333333333333333E-2</v>
      </c>
      <c r="E12" s="269">
        <v>3.3333333333333333E-2</v>
      </c>
      <c r="F12" s="270">
        <v>5.5555555555555552E-2</v>
      </c>
      <c r="G12" s="240"/>
      <c r="H12" s="240"/>
      <c r="I12" s="240"/>
      <c r="J12" s="240"/>
      <c r="K12" s="240"/>
      <c r="L12" s="240"/>
    </row>
    <row r="13" spans="1:12" ht="15.6">
      <c r="A13" s="111" t="s">
        <v>14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4" spans="1:12" ht="15.6">
      <c r="A14" s="240" t="s">
        <v>15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</row>
    <row r="15" spans="1:12" ht="15.6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</row>
    <row r="16" spans="1:12" ht="15.6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ht="31.2">
      <c r="A17" s="271"/>
      <c r="B17" s="234" t="s">
        <v>16</v>
      </c>
      <c r="C17" s="234" t="s">
        <v>17</v>
      </c>
      <c r="D17" s="235" t="s">
        <v>18</v>
      </c>
      <c r="E17" s="234" t="s">
        <v>19</v>
      </c>
      <c r="F17" s="235" t="s">
        <v>20</v>
      </c>
      <c r="G17" s="236" t="s">
        <v>21</v>
      </c>
      <c r="H17" s="240"/>
      <c r="I17" s="240"/>
      <c r="J17" s="240"/>
      <c r="K17" s="240"/>
      <c r="L17" s="240"/>
    </row>
    <row r="18" spans="1:12" ht="15.6">
      <c r="A18" s="783" t="s">
        <v>22</v>
      </c>
      <c r="B18" s="272">
        <v>1</v>
      </c>
      <c r="C18" s="273">
        <v>20</v>
      </c>
      <c r="D18" s="274">
        <v>25</v>
      </c>
      <c r="E18" s="273">
        <v>4</v>
      </c>
      <c r="F18" s="274">
        <v>5</v>
      </c>
      <c r="G18" s="275">
        <v>40</v>
      </c>
      <c r="H18" s="240"/>
      <c r="I18" s="240"/>
      <c r="J18" s="240"/>
      <c r="K18" s="240"/>
      <c r="L18" s="240"/>
    </row>
    <row r="19" spans="1:12" ht="15.6">
      <c r="A19" s="785"/>
      <c r="B19" s="276">
        <v>2</v>
      </c>
      <c r="C19" s="277">
        <v>45</v>
      </c>
      <c r="D19" s="278">
        <v>25</v>
      </c>
      <c r="E19" s="277">
        <v>4</v>
      </c>
      <c r="F19" s="278">
        <v>5</v>
      </c>
      <c r="G19" s="279">
        <v>40</v>
      </c>
      <c r="H19" s="240"/>
      <c r="I19" s="240"/>
      <c r="J19" s="240"/>
      <c r="K19" s="240"/>
      <c r="L19" s="240"/>
    </row>
    <row r="20" spans="1:12" ht="15.6">
      <c r="A20" s="783" t="s">
        <v>23</v>
      </c>
      <c r="B20" s="272">
        <v>3</v>
      </c>
      <c r="C20" s="273">
        <v>15</v>
      </c>
      <c r="D20" s="274">
        <v>25</v>
      </c>
      <c r="E20" s="273">
        <v>2</v>
      </c>
      <c r="F20" s="274">
        <v>6</v>
      </c>
      <c r="G20" s="275">
        <v>52</v>
      </c>
      <c r="H20" s="240"/>
      <c r="I20" s="240"/>
      <c r="J20" s="240"/>
      <c r="K20" s="240"/>
      <c r="L20" s="240"/>
    </row>
    <row r="21" spans="1:12" ht="15.6">
      <c r="A21" s="784"/>
      <c r="B21" s="280">
        <v>4</v>
      </c>
      <c r="C21" s="251">
        <v>50</v>
      </c>
      <c r="D21" s="281">
        <v>25</v>
      </c>
      <c r="E21" s="251">
        <v>2</v>
      </c>
      <c r="F21" s="281">
        <v>6</v>
      </c>
      <c r="G21" s="252">
        <v>52</v>
      </c>
      <c r="H21" s="240"/>
      <c r="I21" s="240"/>
      <c r="J21" s="240"/>
      <c r="K21" s="240"/>
      <c r="L21" s="240"/>
    </row>
    <row r="22" spans="1:12" ht="15.6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</row>
    <row r="23" spans="1:12" ht="31.2">
      <c r="A23" s="282" t="s">
        <v>24</v>
      </c>
      <c r="B23" s="283" t="s">
        <v>25</v>
      </c>
      <c r="C23" s="284" t="s">
        <v>26</v>
      </c>
      <c r="D23" s="236" t="s">
        <v>27</v>
      </c>
      <c r="E23" s="240"/>
      <c r="F23" s="240"/>
      <c r="G23" s="240"/>
      <c r="H23" s="240"/>
      <c r="I23" s="240"/>
      <c r="J23" s="240"/>
      <c r="K23" s="240"/>
      <c r="L23" s="240"/>
    </row>
    <row r="24" spans="1:12" ht="15.6">
      <c r="A24" s="285" t="s">
        <v>28</v>
      </c>
      <c r="B24" s="286" t="s">
        <v>29</v>
      </c>
      <c r="C24" s="287" t="s">
        <v>30</v>
      </c>
      <c r="D24" s="156" t="s">
        <v>31</v>
      </c>
      <c r="E24" s="240"/>
      <c r="F24" s="240"/>
      <c r="G24" s="240"/>
      <c r="H24" s="240"/>
      <c r="I24" s="240"/>
      <c r="J24" s="240"/>
      <c r="K24" s="240"/>
      <c r="L24" s="240"/>
    </row>
    <row r="25" spans="1:12" ht="15.6">
      <c r="A25" s="288" t="s">
        <v>32</v>
      </c>
      <c r="B25" s="251" t="s">
        <v>29</v>
      </c>
      <c r="C25" s="289" t="s">
        <v>33</v>
      </c>
      <c r="D25" s="157" t="s">
        <v>31</v>
      </c>
      <c r="E25" s="240"/>
      <c r="F25" s="240"/>
      <c r="G25" s="240"/>
      <c r="H25" s="240"/>
      <c r="I25" s="240"/>
      <c r="J25" s="240"/>
      <c r="K25" s="240"/>
      <c r="L25" s="240"/>
    </row>
    <row r="26" spans="1:12" ht="15.6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</row>
    <row r="27" spans="1:12" ht="31.2">
      <c r="A27" s="290"/>
      <c r="B27" s="291" t="s">
        <v>34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</row>
    <row r="28" spans="1:12" ht="15.6">
      <c r="A28" s="292" t="s">
        <v>35</v>
      </c>
      <c r="B28" s="293">
        <v>25</v>
      </c>
      <c r="C28" s="240"/>
      <c r="D28" s="240"/>
      <c r="E28" s="240"/>
      <c r="F28" s="240"/>
      <c r="G28" s="240"/>
      <c r="H28" s="240"/>
      <c r="I28" s="294" t="s">
        <v>36</v>
      </c>
      <c r="J28" s="237" t="s">
        <v>19</v>
      </c>
      <c r="K28" s="237" t="s">
        <v>20</v>
      </c>
      <c r="L28" s="238" t="s">
        <v>21</v>
      </c>
    </row>
    <row r="29" spans="1:12" ht="15.6">
      <c r="A29" s="295" t="s">
        <v>37</v>
      </c>
      <c r="B29" s="248">
        <v>35</v>
      </c>
      <c r="C29" s="240"/>
      <c r="D29" s="240"/>
      <c r="E29" s="240"/>
      <c r="F29" s="240"/>
      <c r="G29" s="240"/>
      <c r="H29" s="240"/>
      <c r="I29" s="296">
        <v>20</v>
      </c>
      <c r="J29" s="297">
        <v>4</v>
      </c>
      <c r="K29" s="298">
        <v>5</v>
      </c>
      <c r="L29" s="293">
        <v>40</v>
      </c>
    </row>
    <row r="30" spans="1:12" ht="15.6">
      <c r="A30" s="288" t="s">
        <v>38</v>
      </c>
      <c r="B30" s="252">
        <v>25</v>
      </c>
      <c r="C30" s="240"/>
      <c r="D30" s="240"/>
      <c r="E30" s="240"/>
      <c r="F30" s="240"/>
      <c r="G30" s="240"/>
      <c r="H30" s="240"/>
      <c r="I30" s="299">
        <v>45</v>
      </c>
      <c r="J30" s="251">
        <v>4</v>
      </c>
      <c r="K30" s="281">
        <v>5</v>
      </c>
      <c r="L30" s="252">
        <v>40</v>
      </c>
    </row>
    <row r="31" spans="1:12" ht="15.6">
      <c r="A31" s="240"/>
      <c r="B31" s="240"/>
      <c r="C31" s="240"/>
      <c r="D31" s="240"/>
      <c r="E31" s="240"/>
      <c r="F31" s="240"/>
      <c r="G31" s="240"/>
      <c r="H31" s="240"/>
      <c r="I31" s="296">
        <v>15</v>
      </c>
      <c r="J31" s="297">
        <v>2</v>
      </c>
      <c r="K31" s="298">
        <v>6</v>
      </c>
      <c r="L31" s="293">
        <v>52</v>
      </c>
    </row>
    <row r="32" spans="1:12" ht="15.6">
      <c r="A32" s="240"/>
      <c r="B32" s="240"/>
      <c r="C32" s="240"/>
      <c r="D32" s="240"/>
      <c r="E32" s="240"/>
      <c r="F32" s="240"/>
      <c r="G32" s="240"/>
      <c r="H32" s="240"/>
      <c r="I32" s="299">
        <v>50</v>
      </c>
      <c r="J32" s="251">
        <v>2</v>
      </c>
      <c r="K32" s="281">
        <v>6</v>
      </c>
      <c r="L32" s="252">
        <v>52</v>
      </c>
    </row>
    <row r="33" spans="1:12" ht="15.6">
      <c r="A33" s="786" t="s">
        <v>39</v>
      </c>
      <c r="B33" s="787"/>
      <c r="C33" s="787"/>
      <c r="D33" s="787"/>
      <c r="E33" s="788"/>
      <c r="F33" s="240"/>
      <c r="G33" s="240"/>
      <c r="H33" s="240"/>
      <c r="I33" s="240"/>
      <c r="J33" s="240"/>
      <c r="K33" s="240"/>
      <c r="L33" s="240"/>
    </row>
    <row r="34" spans="1:12" ht="15.6">
      <c r="A34" s="300"/>
      <c r="B34" s="301" t="s">
        <v>40</v>
      </c>
      <c r="C34" s="301" t="s">
        <v>41</v>
      </c>
      <c r="D34" s="301" t="s">
        <v>42</v>
      </c>
      <c r="E34" s="302" t="s">
        <v>43</v>
      </c>
      <c r="F34" s="240"/>
      <c r="G34" s="240"/>
      <c r="H34" s="240"/>
      <c r="I34" s="240"/>
      <c r="J34" s="240"/>
      <c r="K34" s="240"/>
      <c r="L34" s="240"/>
    </row>
    <row r="35" spans="1:12" ht="46.8">
      <c r="A35" s="303" t="s">
        <v>44</v>
      </c>
      <c r="B35" s="304">
        <v>13300</v>
      </c>
      <c r="C35" s="304">
        <v>15600</v>
      </c>
      <c r="D35" s="304">
        <v>12100</v>
      </c>
      <c r="E35" s="305"/>
      <c r="F35" s="240"/>
      <c r="G35" s="240"/>
      <c r="H35" s="240"/>
      <c r="I35" s="240"/>
      <c r="J35" s="240"/>
      <c r="K35" s="240"/>
      <c r="L35" s="240"/>
    </row>
    <row r="36" spans="1:12" ht="46.8">
      <c r="A36" s="303" t="s">
        <v>457</v>
      </c>
      <c r="B36" s="306">
        <v>13528</v>
      </c>
      <c r="C36" s="306">
        <v>11134</v>
      </c>
      <c r="D36" s="306">
        <v>10200</v>
      </c>
      <c r="E36" s="307"/>
      <c r="F36" s="240"/>
      <c r="G36" s="240"/>
      <c r="H36" s="240"/>
      <c r="I36" s="240"/>
      <c r="J36" s="240"/>
      <c r="K36" s="240"/>
      <c r="L36" s="240"/>
    </row>
    <row r="37" spans="1:12" ht="31.8" thickBot="1">
      <c r="A37" s="308" t="s">
        <v>456</v>
      </c>
      <c r="B37" s="309">
        <f>B36/B35</f>
        <v>1.0171428571428571</v>
      </c>
      <c r="C37" s="309">
        <f>C36/C35</f>
        <v>0.71371794871794869</v>
      </c>
      <c r="D37" s="309">
        <f>D36/D35</f>
        <v>0.84297520661157022</v>
      </c>
      <c r="E37" s="310">
        <f>(B37+C37+D37)/3</f>
        <v>0.85794533749079205</v>
      </c>
      <c r="F37" s="240"/>
      <c r="G37" s="240"/>
      <c r="H37" s="240"/>
      <c r="I37" s="240"/>
      <c r="J37" s="240"/>
      <c r="K37" s="240"/>
      <c r="L37" s="240"/>
    </row>
    <row r="38" spans="1:12" ht="16.2" thickTop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</row>
    <row r="39" spans="1:12" ht="15.6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</row>
    <row r="40" spans="1:12" ht="15.6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</row>
    <row r="41" spans="1:12">
      <c r="A41" s="2"/>
      <c r="B41" s="2"/>
      <c r="C41" s="2"/>
      <c r="D41" s="2"/>
      <c r="E41" s="2"/>
    </row>
    <row r="43" spans="1:12">
      <c r="A43" s="15"/>
    </row>
    <row r="44" spans="1:12">
      <c r="A44" s="15"/>
    </row>
    <row r="45" spans="1:12">
      <c r="A45" s="15"/>
    </row>
  </sheetData>
  <mergeCells count="3">
    <mergeCell ref="A20:A21"/>
    <mergeCell ref="A18:A19"/>
    <mergeCell ref="A33:E3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82379-539A-4850-85AB-B2952AD1DDA5}">
  <dimension ref="A1:AA32"/>
  <sheetViews>
    <sheetView topLeftCell="A4" workbookViewId="0">
      <pane xSplit="1" topLeftCell="B1" activePane="topRight" state="frozen"/>
      <selection pane="topRight" activeCell="V11" sqref="V11"/>
    </sheetView>
  </sheetViews>
  <sheetFormatPr baseColWidth="10" defaultColWidth="8.88671875" defaultRowHeight="14.4"/>
  <cols>
    <col min="1" max="1" width="17.44140625" bestFit="1" customWidth="1"/>
    <col min="2" max="2" width="14" bestFit="1" customWidth="1"/>
    <col min="3" max="3" width="22" customWidth="1"/>
    <col min="4" max="4" width="8.44140625" customWidth="1"/>
    <col min="5" max="6" width="11.109375" bestFit="1" customWidth="1"/>
    <col min="7" max="7" width="11.33203125" customWidth="1"/>
    <col min="8" max="8" width="13.6640625" customWidth="1"/>
    <col min="9" max="9" width="14" bestFit="1" customWidth="1"/>
    <col min="10" max="10" width="14.88671875" bestFit="1" customWidth="1"/>
    <col min="11" max="12" width="14.88671875" customWidth="1"/>
    <col min="13" max="13" width="15.44140625" customWidth="1"/>
    <col min="14" max="14" width="11.44140625" customWidth="1"/>
    <col min="15" max="15" width="13.88671875" customWidth="1"/>
    <col min="16" max="16" width="14.33203125" customWidth="1"/>
    <col min="17" max="17" width="17.6640625" customWidth="1"/>
    <col min="18" max="20" width="18.109375" customWidth="1"/>
    <col min="21" max="21" width="15.33203125" customWidth="1"/>
    <col min="22" max="23" width="20.6640625" bestFit="1" customWidth="1"/>
    <col min="24" max="24" width="24.44140625" customWidth="1"/>
    <col min="25" max="25" width="15.88671875" bestFit="1" customWidth="1"/>
  </cols>
  <sheetData>
    <row r="1" spans="1:27" ht="15.6">
      <c r="A1" s="311" t="s">
        <v>45</v>
      </c>
      <c r="B1" s="240"/>
      <c r="C1" s="922" t="s">
        <v>310</v>
      </c>
      <c r="D1" s="924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7" ht="15.6">
      <c r="A2" s="312" t="s">
        <v>47</v>
      </c>
      <c r="B2" s="240"/>
      <c r="C2" s="680" t="s">
        <v>311</v>
      </c>
      <c r="D2" s="275">
        <v>796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7" ht="31.2">
      <c r="A3" s="610"/>
      <c r="B3" s="240"/>
      <c r="C3" s="681" t="s">
        <v>312</v>
      </c>
      <c r="D3" s="583">
        <f>D2*D5</f>
        <v>4457.5999999999995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</row>
    <row r="4" spans="1:27" ht="31.2">
      <c r="A4" s="240"/>
      <c r="B4" s="240"/>
      <c r="C4" s="681" t="s">
        <v>313</v>
      </c>
      <c r="D4" s="583">
        <f>D3/1000</f>
        <v>4.4575999999999993</v>
      </c>
      <c r="E4" s="240"/>
      <c r="F4" s="240"/>
      <c r="G4" s="112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7" ht="31.2">
      <c r="A5" s="240"/>
      <c r="B5" s="240"/>
      <c r="C5" s="682" t="s">
        <v>159</v>
      </c>
      <c r="D5" s="683">
        <v>5.6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</row>
    <row r="6" spans="1:27" ht="15.6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7" ht="62.4">
      <c r="A7" s="684" t="s">
        <v>314</v>
      </c>
      <c r="B7" s="685" t="s">
        <v>315</v>
      </c>
      <c r="C7" s="552" t="s">
        <v>316</v>
      </c>
      <c r="D7" s="336" t="s">
        <v>85</v>
      </c>
      <c r="E7" s="336" t="s">
        <v>86</v>
      </c>
      <c r="F7" s="686" t="s">
        <v>87</v>
      </c>
      <c r="G7" s="336" t="s">
        <v>84</v>
      </c>
      <c r="H7" s="336" t="s">
        <v>227</v>
      </c>
      <c r="I7" s="336" t="s">
        <v>317</v>
      </c>
      <c r="J7" s="336" t="s">
        <v>81</v>
      </c>
      <c r="K7" s="336" t="s">
        <v>318</v>
      </c>
      <c r="L7" s="336" t="s">
        <v>319</v>
      </c>
      <c r="M7" s="336" t="s">
        <v>320</v>
      </c>
      <c r="N7" s="336" t="s">
        <v>321</v>
      </c>
      <c r="O7" s="687" t="s">
        <v>322</v>
      </c>
      <c r="P7" s="687" t="s">
        <v>323</v>
      </c>
      <c r="Q7" s="336" t="s">
        <v>324</v>
      </c>
      <c r="R7" s="336" t="s">
        <v>325</v>
      </c>
      <c r="S7" s="336" t="s">
        <v>326</v>
      </c>
      <c r="T7" s="182" t="s">
        <v>327</v>
      </c>
      <c r="U7" s="336" t="s">
        <v>328</v>
      </c>
      <c r="V7" s="552" t="s">
        <v>329</v>
      </c>
      <c r="W7" s="688" t="s">
        <v>330</v>
      </c>
      <c r="X7" s="689" t="s">
        <v>331</v>
      </c>
      <c r="Y7" s="240"/>
    </row>
    <row r="8" spans="1:27" ht="15.6">
      <c r="A8" s="948" t="s">
        <v>332</v>
      </c>
      <c r="B8" s="690" t="s">
        <v>333</v>
      </c>
      <c r="C8" s="285"/>
      <c r="D8" s="286">
        <v>0.43459399999999998</v>
      </c>
      <c r="E8" s="286">
        <v>0.22352</v>
      </c>
      <c r="F8" s="286">
        <v>0.17526</v>
      </c>
      <c r="G8" s="691">
        <f>D8*E8*F8</f>
        <v>1.7024835421228797E-2</v>
      </c>
      <c r="H8" s="691">
        <f>G8*1000</f>
        <v>17.024835421228797</v>
      </c>
      <c r="I8" s="183" t="s">
        <v>334</v>
      </c>
      <c r="J8" s="273">
        <v>15800</v>
      </c>
      <c r="K8" s="597">
        <f>J8/M8</f>
        <v>52.666666666666664</v>
      </c>
      <c r="L8" s="692"/>
      <c r="M8" s="273">
        <v>300</v>
      </c>
      <c r="N8" s="274">
        <v>52</v>
      </c>
      <c r="O8" s="693"/>
      <c r="P8" s="273">
        <v>18.809999999999999</v>
      </c>
      <c r="Q8" s="273">
        <v>7199.9965359999997</v>
      </c>
      <c r="R8" s="694"/>
      <c r="S8" s="694"/>
      <c r="T8" s="273">
        <v>480</v>
      </c>
      <c r="U8" s="273">
        <v>60</v>
      </c>
      <c r="V8" s="273" t="s">
        <v>335</v>
      </c>
      <c r="W8" s="693"/>
      <c r="X8" s="695" t="s">
        <v>532</v>
      </c>
      <c r="Y8" s="240"/>
    </row>
    <row r="9" spans="1:27" ht="15.6">
      <c r="A9" s="949"/>
      <c r="B9" s="696" t="s">
        <v>336</v>
      </c>
      <c r="C9" s="697" t="s">
        <v>337</v>
      </c>
      <c r="D9" s="599">
        <v>0.26</v>
      </c>
      <c r="E9" s="599">
        <v>0.12</v>
      </c>
      <c r="F9" s="599">
        <v>0.19</v>
      </c>
      <c r="G9" s="698">
        <f>D9*E9*F9</f>
        <v>5.9280000000000001E-3</v>
      </c>
      <c r="H9" s="699">
        <f t="shared" ref="H9:H20" si="0">G9*1000</f>
        <v>5.9279999999999999</v>
      </c>
      <c r="I9" s="700"/>
      <c r="J9" s="277">
        <v>5</v>
      </c>
      <c r="K9" s="601">
        <f>J9/M9</f>
        <v>7.1428571428571432</v>
      </c>
      <c r="L9" s="701"/>
      <c r="M9" s="277">
        <v>0.7</v>
      </c>
      <c r="N9" s="278">
        <v>55</v>
      </c>
      <c r="O9" s="702"/>
      <c r="P9" s="703"/>
      <c r="Q9" s="703"/>
      <c r="R9" s="703"/>
      <c r="S9" s="703"/>
      <c r="T9" s="703"/>
      <c r="U9" s="703"/>
      <c r="V9" s="703"/>
      <c r="W9" s="702"/>
      <c r="X9" s="704"/>
      <c r="Y9" s="240"/>
    </row>
    <row r="10" spans="1:27" ht="15.6">
      <c r="A10" s="948" t="s">
        <v>338</v>
      </c>
      <c r="B10" s="705" t="s">
        <v>339</v>
      </c>
      <c r="C10" s="285" t="s">
        <v>340</v>
      </c>
      <c r="D10" s="286">
        <v>0.44800000000000001</v>
      </c>
      <c r="E10" s="286">
        <v>0.19800000000000001</v>
      </c>
      <c r="F10" s="286">
        <v>0.27500000000000002</v>
      </c>
      <c r="G10" s="691">
        <f>D10*E10*F10</f>
        <v>2.4393600000000005E-2</v>
      </c>
      <c r="H10" s="691">
        <f t="shared" si="0"/>
        <v>24.393600000000006</v>
      </c>
      <c r="I10" s="706" t="s">
        <v>341</v>
      </c>
      <c r="J10" s="273">
        <v>7.8</v>
      </c>
      <c r="K10" s="597">
        <f>J10/M10</f>
        <v>62.4</v>
      </c>
      <c r="L10" s="597">
        <f>O10*D4</f>
        <v>0.50147999999999993</v>
      </c>
      <c r="M10" s="273">
        <v>0.125</v>
      </c>
      <c r="N10" s="707">
        <f>(M10/L10)*100</f>
        <v>24.926218393555079</v>
      </c>
      <c r="O10" s="707">
        <f>R10*M10</f>
        <v>0.1125</v>
      </c>
      <c r="P10" s="694"/>
      <c r="Q10" s="694"/>
      <c r="R10" s="273">
        <v>0.9</v>
      </c>
      <c r="S10" s="273">
        <v>66.7</v>
      </c>
      <c r="T10" s="694"/>
      <c r="U10" s="694"/>
      <c r="V10" s="273" t="s">
        <v>54</v>
      </c>
      <c r="W10" s="693"/>
      <c r="X10" s="695"/>
      <c r="Y10" s="240"/>
    </row>
    <row r="11" spans="1:27" ht="15.6">
      <c r="A11" s="950"/>
      <c r="B11" s="708" t="s">
        <v>339</v>
      </c>
      <c r="C11" s="697" t="s">
        <v>342</v>
      </c>
      <c r="D11" s="599">
        <v>0.64</v>
      </c>
      <c r="E11" s="599">
        <v>0.441</v>
      </c>
      <c r="F11" s="599">
        <v>0.31</v>
      </c>
      <c r="G11" s="698">
        <f>D11*E11*F11</f>
        <v>8.74944E-2</v>
      </c>
      <c r="H11" s="699">
        <f t="shared" si="0"/>
        <v>87.494399999999999</v>
      </c>
      <c r="I11" s="709" t="s">
        <v>341</v>
      </c>
      <c r="J11" s="277">
        <v>32</v>
      </c>
      <c r="K11" s="601">
        <f>J11/M11</f>
        <v>64</v>
      </c>
      <c r="L11" s="701"/>
      <c r="M11" s="277">
        <v>0.5</v>
      </c>
      <c r="N11" s="710"/>
      <c r="O11" s="702"/>
      <c r="P11" s="703"/>
      <c r="Q11" s="703"/>
      <c r="R11" s="277">
        <v>0.9</v>
      </c>
      <c r="S11" s="703"/>
      <c r="T11" s="703"/>
      <c r="U11" s="703"/>
      <c r="V11" s="277" t="s">
        <v>54</v>
      </c>
      <c r="W11" s="711"/>
      <c r="X11" s="712"/>
      <c r="Y11" s="347"/>
      <c r="Z11" s="2"/>
      <c r="AA11" s="2"/>
    </row>
    <row r="12" spans="1:27" ht="15.6">
      <c r="A12" s="948" t="s">
        <v>343</v>
      </c>
      <c r="B12" s="713" t="s">
        <v>344</v>
      </c>
      <c r="C12" s="694" t="s">
        <v>345</v>
      </c>
      <c r="D12" s="692"/>
      <c r="E12" s="692"/>
      <c r="F12" s="692"/>
      <c r="G12" s="714"/>
      <c r="H12" s="691">
        <f t="shared" si="0"/>
        <v>0</v>
      </c>
      <c r="I12" s="715"/>
      <c r="J12" s="694"/>
      <c r="K12" s="692"/>
      <c r="L12" s="692"/>
      <c r="M12" s="694"/>
      <c r="N12" s="693"/>
      <c r="O12" s="693"/>
      <c r="P12" s="694"/>
      <c r="Q12" s="694"/>
      <c r="R12" s="694"/>
      <c r="S12" s="694"/>
      <c r="T12" s="694"/>
      <c r="U12" s="694"/>
      <c r="V12" s="716"/>
      <c r="W12" s="693"/>
      <c r="X12" s="695"/>
      <c r="Y12" s="240"/>
    </row>
    <row r="13" spans="1:27" ht="15.6">
      <c r="A13" s="950"/>
      <c r="B13" s="717" t="s">
        <v>346</v>
      </c>
      <c r="C13" s="703"/>
      <c r="D13" s="701"/>
      <c r="E13" s="701"/>
      <c r="F13" s="701"/>
      <c r="G13" s="718"/>
      <c r="H13" s="699">
        <f t="shared" si="0"/>
        <v>0</v>
      </c>
      <c r="I13" s="700"/>
      <c r="J13" s="703"/>
      <c r="K13" s="701"/>
      <c r="L13" s="701"/>
      <c r="M13" s="703"/>
      <c r="N13" s="702"/>
      <c r="O13" s="702"/>
      <c r="P13" s="703"/>
      <c r="Q13" s="703"/>
      <c r="R13" s="703"/>
      <c r="S13" s="703"/>
      <c r="T13" s="703"/>
      <c r="U13" s="703"/>
      <c r="V13" s="719"/>
      <c r="W13" s="702"/>
      <c r="X13" s="704"/>
      <c r="Y13" s="240"/>
    </row>
    <row r="14" spans="1:27" ht="15.6">
      <c r="A14" s="948" t="s">
        <v>347</v>
      </c>
      <c r="B14" s="705" t="s">
        <v>348</v>
      </c>
      <c r="C14" s="694"/>
      <c r="D14" s="692"/>
      <c r="E14" s="692"/>
      <c r="F14" s="692"/>
      <c r="G14" s="714"/>
      <c r="H14" s="720">
        <f t="shared" si="0"/>
        <v>0</v>
      </c>
      <c r="I14" s="715"/>
      <c r="J14" s="273">
        <v>200</v>
      </c>
      <c r="K14" s="721">
        <f>J14/M14</f>
        <v>10</v>
      </c>
      <c r="L14" s="722"/>
      <c r="M14" s="595">
        <v>20</v>
      </c>
      <c r="N14" s="274">
        <v>45</v>
      </c>
      <c r="O14" s="693"/>
      <c r="P14" s="694"/>
      <c r="Q14" s="694"/>
      <c r="R14" s="694"/>
      <c r="S14" s="694"/>
      <c r="T14" s="694"/>
      <c r="U14" s="694"/>
      <c r="V14" s="716"/>
      <c r="W14" s="693"/>
      <c r="X14" s="695"/>
      <c r="Y14" s="240"/>
    </row>
    <row r="15" spans="1:27" ht="15.6">
      <c r="A15" s="950"/>
      <c r="B15" s="240" t="s">
        <v>349</v>
      </c>
      <c r="C15" s="723"/>
      <c r="D15" s="724"/>
      <c r="E15" s="724"/>
      <c r="F15" s="724"/>
      <c r="G15" s="725"/>
      <c r="H15" s="726"/>
      <c r="I15" s="610"/>
      <c r="J15" s="727"/>
      <c r="K15" s="728"/>
      <c r="L15" s="729"/>
      <c r="M15" s="247"/>
      <c r="N15" s="730"/>
      <c r="O15" s="731"/>
      <c r="P15" s="723"/>
      <c r="Q15" s="723"/>
      <c r="R15" s="723"/>
      <c r="S15" s="723"/>
      <c r="T15" s="723"/>
      <c r="U15" s="723"/>
      <c r="V15" s="732"/>
      <c r="W15" s="731"/>
      <c r="X15" s="733"/>
      <c r="Y15" s="240"/>
    </row>
    <row r="16" spans="1:27" ht="15.6">
      <c r="A16" s="950"/>
      <c r="B16" s="703" t="s">
        <v>350</v>
      </c>
      <c r="C16" s="703" t="s">
        <v>351</v>
      </c>
      <c r="D16" s="599">
        <v>0.33100000000000002</v>
      </c>
      <c r="E16" s="599">
        <v>0.14799999999999999</v>
      </c>
      <c r="F16" s="599">
        <v>0.22700000000000001</v>
      </c>
      <c r="G16" s="698">
        <f>D16*E16*F16</f>
        <v>1.1120276E-2</v>
      </c>
      <c r="H16" s="699">
        <f t="shared" si="0"/>
        <v>11.120276</v>
      </c>
      <c r="I16" s="709" t="s">
        <v>352</v>
      </c>
      <c r="J16" s="277">
        <v>13.7</v>
      </c>
      <c r="K16" s="734">
        <f>J16/M16</f>
        <v>5.0740740740740735</v>
      </c>
      <c r="L16" s="724"/>
      <c r="M16" s="735">
        <v>2.7</v>
      </c>
      <c r="N16" s="702"/>
      <c r="O16" s="702"/>
      <c r="P16" s="703"/>
      <c r="Q16" s="703"/>
      <c r="R16" s="703"/>
      <c r="S16" s="703"/>
      <c r="T16" s="703"/>
      <c r="U16" s="723"/>
      <c r="V16" s="735" t="s">
        <v>353</v>
      </c>
      <c r="W16" s="727">
        <v>3250</v>
      </c>
      <c r="X16" s="704"/>
      <c r="Y16" s="240"/>
    </row>
    <row r="17" spans="1:25" ht="15.6">
      <c r="A17" s="948" t="s">
        <v>354</v>
      </c>
      <c r="B17" s="713" t="s">
        <v>339</v>
      </c>
      <c r="C17" s="694" t="s">
        <v>355</v>
      </c>
      <c r="D17" s="286">
        <v>0.53600000000000003</v>
      </c>
      <c r="E17" s="286">
        <v>0.48299999999999998</v>
      </c>
      <c r="F17" s="286">
        <v>0.311</v>
      </c>
      <c r="G17" s="691">
        <f>D17*E17*F17</f>
        <v>8.0514167999999997E-2</v>
      </c>
      <c r="H17" s="691">
        <f t="shared" si="0"/>
        <v>80.514167999999998</v>
      </c>
      <c r="I17" s="693"/>
      <c r="J17" s="273">
        <v>27</v>
      </c>
      <c r="K17" s="597">
        <f>J17/M17</f>
        <v>10.8</v>
      </c>
      <c r="L17" s="692"/>
      <c r="M17" s="273">
        <v>2.5</v>
      </c>
      <c r="N17" s="693"/>
      <c r="O17" s="274">
        <f>11*(60/1000)</f>
        <v>0.65999999999999992</v>
      </c>
      <c r="P17" s="694"/>
      <c r="Q17" s="694"/>
      <c r="R17" s="694"/>
      <c r="S17" s="694"/>
      <c r="T17" s="273" t="s">
        <v>356</v>
      </c>
      <c r="U17" s="694"/>
      <c r="V17" s="716"/>
      <c r="W17" s="693"/>
      <c r="X17" s="695"/>
      <c r="Y17" s="240"/>
    </row>
    <row r="18" spans="1:25" ht="15.6">
      <c r="A18" s="950"/>
      <c r="B18" s="717" t="s">
        <v>357</v>
      </c>
      <c r="C18" s="703" t="s">
        <v>358</v>
      </c>
      <c r="D18" s="599">
        <v>0.84799999999999998</v>
      </c>
      <c r="E18" s="599">
        <v>0.40600000000000003</v>
      </c>
      <c r="F18" s="599">
        <v>0.255</v>
      </c>
      <c r="G18" s="698">
        <f>D18*E18*F18</f>
        <v>8.7793440000000014E-2</v>
      </c>
      <c r="H18" s="699">
        <f t="shared" si="0"/>
        <v>87.793440000000018</v>
      </c>
      <c r="I18" s="702"/>
      <c r="J18" s="277">
        <v>95</v>
      </c>
      <c r="K18" s="601">
        <f>J18/M18</f>
        <v>2.1111111111111112</v>
      </c>
      <c r="L18" s="701"/>
      <c r="M18" s="277">
        <v>45</v>
      </c>
      <c r="N18" s="278" t="s">
        <v>359</v>
      </c>
      <c r="O18" s="702"/>
      <c r="P18" s="703"/>
      <c r="Q18" s="703"/>
      <c r="R18" s="703"/>
      <c r="S18" s="703"/>
      <c r="T18" s="703"/>
      <c r="U18" s="703"/>
      <c r="V18" s="719"/>
      <c r="W18" s="702"/>
      <c r="X18" s="704"/>
      <c r="Y18" s="240"/>
    </row>
    <row r="19" spans="1:25" ht="15.6">
      <c r="A19" s="948" t="s">
        <v>360</v>
      </c>
      <c r="B19" s="713" t="s">
        <v>361</v>
      </c>
      <c r="C19" s="694"/>
      <c r="D19" s="692"/>
      <c r="E19" s="692"/>
      <c r="F19" s="692"/>
      <c r="G19" s="714"/>
      <c r="H19" s="691">
        <f t="shared" si="0"/>
        <v>0</v>
      </c>
      <c r="I19" s="693"/>
      <c r="J19" s="694"/>
      <c r="K19" s="694"/>
      <c r="L19" s="694"/>
      <c r="M19" s="694"/>
      <c r="N19" s="693"/>
      <c r="O19" s="693"/>
      <c r="P19" s="694"/>
      <c r="Q19" s="694"/>
      <c r="R19" s="694"/>
      <c r="S19" s="694"/>
      <c r="T19" s="694"/>
      <c r="U19" s="694"/>
      <c r="V19" s="694"/>
      <c r="W19" s="693"/>
      <c r="X19" s="695"/>
      <c r="Y19" s="240"/>
    </row>
    <row r="20" spans="1:25" ht="15.6">
      <c r="A20" s="949"/>
      <c r="B20" s="736" t="s">
        <v>362</v>
      </c>
      <c r="C20" s="571"/>
      <c r="D20" s="605">
        <v>0.86099999999999999</v>
      </c>
      <c r="E20" s="605">
        <v>0.54300000000000004</v>
      </c>
      <c r="F20" s="605">
        <v>0.54300000000000004</v>
      </c>
      <c r="G20" s="737">
        <v>0.25</v>
      </c>
      <c r="H20" s="738">
        <f t="shared" si="0"/>
        <v>250</v>
      </c>
      <c r="I20" s="739"/>
      <c r="J20" s="571"/>
      <c r="K20" s="571"/>
      <c r="L20" s="571"/>
      <c r="M20" s="571"/>
      <c r="N20" s="739"/>
      <c r="O20" s="739"/>
      <c r="P20" s="571"/>
      <c r="Q20" s="571"/>
      <c r="R20" s="571"/>
      <c r="S20" s="571"/>
      <c r="T20" s="571"/>
      <c r="U20" s="571"/>
      <c r="V20" s="571"/>
      <c r="W20" s="739"/>
      <c r="X20" s="572"/>
      <c r="Y20" s="240"/>
    </row>
    <row r="21" spans="1:25" ht="15.6">
      <c r="A21" s="740"/>
      <c r="B21" s="741"/>
      <c r="C21" s="742"/>
      <c r="D21" s="742"/>
      <c r="E21" s="742"/>
      <c r="F21" s="742"/>
      <c r="G21" s="743"/>
      <c r="H21" s="743"/>
      <c r="I21" s="743"/>
      <c r="J21" s="742"/>
      <c r="K21" s="742"/>
      <c r="L21" s="742"/>
      <c r="M21" s="742"/>
      <c r="N21" s="743"/>
      <c r="O21" s="743"/>
      <c r="P21" s="742"/>
      <c r="Q21" s="742"/>
      <c r="R21" s="742"/>
      <c r="S21" s="742"/>
      <c r="T21" s="742"/>
      <c r="U21" s="742"/>
      <c r="V21" s="742"/>
      <c r="W21" s="743"/>
      <c r="X21" s="743"/>
      <c r="Y21" s="240"/>
    </row>
    <row r="22" spans="1:25" ht="15.6">
      <c r="A22" s="744"/>
      <c r="B22" s="745"/>
      <c r="C22" s="567"/>
      <c r="D22" s="567"/>
      <c r="E22" s="567"/>
      <c r="F22" s="567"/>
      <c r="G22" s="696"/>
      <c r="H22" s="696"/>
      <c r="I22" s="696"/>
      <c r="J22" s="567"/>
      <c r="K22" s="567"/>
      <c r="L22" s="567"/>
      <c r="M22" s="567"/>
      <c r="N22" s="696"/>
      <c r="O22" s="696"/>
      <c r="P22" s="567"/>
      <c r="Q22" s="567"/>
      <c r="R22" s="567"/>
      <c r="S22" s="567"/>
      <c r="T22" s="567"/>
      <c r="U22" s="567"/>
      <c r="V22" s="567"/>
      <c r="W22" s="696"/>
      <c r="X22" s="696"/>
      <c r="Y22" s="240"/>
    </row>
    <row r="23" spans="1:25" ht="15.6">
      <c r="A23" s="746"/>
      <c r="B23" s="745"/>
      <c r="C23" s="567"/>
      <c r="D23" s="567"/>
      <c r="E23" s="567"/>
      <c r="F23" s="567"/>
      <c r="G23" s="696"/>
      <c r="H23" s="696"/>
      <c r="I23" s="696"/>
      <c r="J23" s="567"/>
      <c r="K23" s="567"/>
      <c r="L23" s="567"/>
      <c r="M23" s="567"/>
      <c r="N23" s="696"/>
      <c r="O23" s="696"/>
      <c r="P23" s="567"/>
      <c r="Q23" s="567"/>
      <c r="R23" s="567"/>
      <c r="S23" s="567"/>
      <c r="T23" s="567"/>
      <c r="U23" s="567"/>
      <c r="V23" s="567"/>
      <c r="W23" s="696"/>
      <c r="X23" s="696"/>
      <c r="Y23" s="240"/>
    </row>
    <row r="24" spans="1:25" ht="15.6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</row>
    <row r="25" spans="1:25" ht="15.6">
      <c r="A25" s="240"/>
      <c r="B25" s="240"/>
      <c r="C25" s="113" t="s">
        <v>363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</row>
    <row r="26" spans="1:25" ht="15.6">
      <c r="A26" s="240"/>
      <c r="B26" s="240"/>
      <c r="C26" s="113" t="s">
        <v>364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>
        <f>R10*D4</f>
        <v>4.0118399999999994</v>
      </c>
      <c r="Q26" s="240"/>
      <c r="R26" s="240"/>
      <c r="S26" s="240"/>
      <c r="T26" s="240"/>
      <c r="U26" s="240"/>
      <c r="V26" s="240"/>
      <c r="W26" s="240"/>
      <c r="X26" s="240"/>
      <c r="Y26" s="240"/>
    </row>
    <row r="27" spans="1:25" ht="15.6">
      <c r="A27" s="240"/>
      <c r="B27" s="240"/>
      <c r="C27" s="113" t="s">
        <v>365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</row>
    <row r="28" spans="1:25" ht="15.6">
      <c r="A28" s="240"/>
      <c r="B28" s="240"/>
      <c r="C28" s="113" t="s">
        <v>366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</row>
    <row r="29" spans="1:25" ht="15.6">
      <c r="A29" s="240"/>
      <c r="B29" s="240"/>
      <c r="C29" s="113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</row>
    <row r="30" spans="1:25" ht="15.6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</row>
    <row r="31" spans="1:25" ht="15.6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</row>
    <row r="32" spans="1:25" ht="15.6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</row>
  </sheetData>
  <mergeCells count="7">
    <mergeCell ref="C1:D1"/>
    <mergeCell ref="A19:A20"/>
    <mergeCell ref="A8:A9"/>
    <mergeCell ref="A10:A11"/>
    <mergeCell ref="A12:A13"/>
    <mergeCell ref="A14:A16"/>
    <mergeCell ref="A17:A18"/>
  </mergeCells>
  <hyperlinks>
    <hyperlink ref="C26" r:id="rId1" location="cat-technische-daten" xr:uid="{528F83E9-237D-431D-B6FD-C3062028EE2E}"/>
    <hyperlink ref="C27" r:id="rId2" xr:uid="{D2B6DBFD-0C70-4DD6-8F65-1E1E433D9E86}"/>
    <hyperlink ref="C25" r:id="rId3" xr:uid="{E828D742-CB68-4662-85DC-1AA3DD746EC0}"/>
    <hyperlink ref="C28" r:id="rId4" xr:uid="{1C7F25CA-646A-46F8-B830-F437207636F9}"/>
  </hyperlinks>
  <pageMargins left="0.7" right="0.7" top="0.75" bottom="0.75" header="0.3" footer="0.3"/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553B-2B4C-41ED-8F07-AFDF254E04DD}">
  <dimension ref="A1:AL43"/>
  <sheetViews>
    <sheetView workbookViewId="0">
      <selection activeCell="E24" sqref="E24"/>
    </sheetView>
  </sheetViews>
  <sheetFormatPr baseColWidth="10" defaultColWidth="8.88671875" defaultRowHeight="14.4"/>
  <cols>
    <col min="1" max="1" width="17.44140625" bestFit="1" customWidth="1"/>
    <col min="2" max="2" width="24.44140625" customWidth="1"/>
    <col min="3" max="3" width="11.109375" bestFit="1" customWidth="1"/>
    <col min="4" max="4" width="13.109375" customWidth="1"/>
    <col min="5" max="5" width="17.44140625" customWidth="1"/>
    <col min="6" max="6" width="12.109375" customWidth="1"/>
    <col min="7" max="7" width="16.88671875" customWidth="1"/>
    <col min="8" max="8" width="15.109375" bestFit="1" customWidth="1"/>
    <col min="9" max="9" width="9.88671875" customWidth="1"/>
    <col min="10" max="10" width="9.33203125" bestFit="1" customWidth="1"/>
    <col min="11" max="11" width="14.6640625" customWidth="1"/>
    <col min="12" max="12" width="28.109375" customWidth="1"/>
    <col min="13" max="13" width="24.88671875" customWidth="1"/>
    <col min="14" max="14" width="24.33203125" customWidth="1"/>
    <col min="15" max="15" width="15.88671875" customWidth="1"/>
  </cols>
  <sheetData>
    <row r="1" spans="1:38" ht="15.6">
      <c r="A1" s="311" t="s">
        <v>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</row>
    <row r="2" spans="1:38" ht="15.6">
      <c r="A2" s="312" t="s">
        <v>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1:38" ht="15.6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</row>
    <row r="4" spans="1:38" ht="31.2">
      <c r="A4" s="240"/>
      <c r="B4" s="271" t="s">
        <v>367</v>
      </c>
      <c r="C4" s="552" t="s">
        <v>368</v>
      </c>
      <c r="D4" s="552" t="s">
        <v>369</v>
      </c>
      <c r="E4" s="336" t="s">
        <v>370</v>
      </c>
      <c r="F4" s="336" t="s">
        <v>371</v>
      </c>
      <c r="G4" s="336" t="s">
        <v>372</v>
      </c>
      <c r="H4" s="336" t="s">
        <v>373</v>
      </c>
      <c r="I4" s="336" t="s">
        <v>374</v>
      </c>
      <c r="J4" s="336" t="s">
        <v>375</v>
      </c>
      <c r="K4" s="336" t="s">
        <v>266</v>
      </c>
      <c r="L4" s="336" t="s">
        <v>376</v>
      </c>
      <c r="M4" s="336" t="s">
        <v>377</v>
      </c>
      <c r="N4" s="336" t="s">
        <v>378</v>
      </c>
      <c r="O4" s="689" t="s">
        <v>379</v>
      </c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</row>
    <row r="5" spans="1:38" ht="15.6">
      <c r="A5" s="240"/>
      <c r="B5" s="285" t="s">
        <v>380</v>
      </c>
      <c r="C5" s="694" t="s">
        <v>381</v>
      </c>
      <c r="D5" s="273" t="s">
        <v>382</v>
      </c>
      <c r="E5" s="273">
        <v>10</v>
      </c>
      <c r="F5" s="273">
        <v>200</v>
      </c>
      <c r="G5" s="273">
        <v>1.3</v>
      </c>
      <c r="H5" s="273">
        <v>1</v>
      </c>
      <c r="I5" s="273">
        <v>0.19</v>
      </c>
      <c r="J5" s="273">
        <v>350</v>
      </c>
      <c r="K5" s="114">
        <v>45</v>
      </c>
      <c r="L5" s="114">
        <v>0.5</v>
      </c>
      <c r="M5" s="114">
        <v>160</v>
      </c>
      <c r="N5" s="114">
        <v>300</v>
      </c>
      <c r="O5" s="275" t="s">
        <v>383</v>
      </c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</row>
    <row r="6" spans="1:38" ht="15.6">
      <c r="A6" s="240"/>
      <c r="B6" s="288" t="s">
        <v>349</v>
      </c>
      <c r="C6" s="571" t="s">
        <v>384</v>
      </c>
      <c r="D6" s="251">
        <v>5</v>
      </c>
      <c r="E6" s="251"/>
      <c r="F6" s="251">
        <v>60</v>
      </c>
      <c r="G6" s="251">
        <v>0.69</v>
      </c>
      <c r="H6" s="251">
        <v>0.45300000000000001</v>
      </c>
      <c r="I6" s="251">
        <v>0.26600000000000001</v>
      </c>
      <c r="J6" s="251"/>
      <c r="K6" s="115">
        <v>47</v>
      </c>
      <c r="L6" s="115">
        <v>1</v>
      </c>
      <c r="M6" s="116"/>
      <c r="N6" s="116"/>
      <c r="O6" s="252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</row>
    <row r="7" spans="1:38" ht="15.6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</row>
    <row r="8" spans="1:38" ht="15.6">
      <c r="A8" s="240"/>
      <c r="B8" s="113" t="s">
        <v>363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</row>
    <row r="9" spans="1:38" ht="15.6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</row>
    <row r="10" spans="1:38" ht="15.6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</row>
    <row r="11" spans="1:38" ht="15.6">
      <c r="A11" s="240"/>
      <c r="B11" s="958" t="s">
        <v>280</v>
      </c>
      <c r="C11" s="956" t="s">
        <v>81</v>
      </c>
      <c r="D11" s="951" t="s">
        <v>385</v>
      </c>
      <c r="E11" s="951" t="s">
        <v>86</v>
      </c>
      <c r="F11" s="951" t="s">
        <v>87</v>
      </c>
      <c r="G11" s="953" t="s">
        <v>386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</row>
    <row r="12" spans="1:38" ht="15.6">
      <c r="A12" s="240"/>
      <c r="B12" s="959"/>
      <c r="C12" s="957"/>
      <c r="D12" s="952"/>
      <c r="E12" s="952"/>
      <c r="F12" s="952"/>
      <c r="G12" s="954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</row>
    <row r="13" spans="1:38" ht="15.6">
      <c r="A13" s="240"/>
      <c r="B13" s="651" t="s">
        <v>387</v>
      </c>
      <c r="C13" s="652">
        <v>200</v>
      </c>
      <c r="D13" s="652">
        <v>1.3</v>
      </c>
      <c r="E13" s="652">
        <v>1</v>
      </c>
      <c r="F13" s="652">
        <v>0.19</v>
      </c>
      <c r="G13" s="653">
        <f>(D13*E13*F13)*1000</f>
        <v>247.00000000000003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</row>
    <row r="14" spans="1:38" ht="15.6">
      <c r="A14" s="240"/>
      <c r="B14" s="656" t="s">
        <v>265</v>
      </c>
      <c r="C14" s="747" t="s">
        <v>280</v>
      </c>
      <c r="D14" s="747" t="s">
        <v>280</v>
      </c>
      <c r="E14" s="747" t="s">
        <v>280</v>
      </c>
      <c r="F14" s="747" t="s">
        <v>280</v>
      </c>
      <c r="G14" s="748" t="s">
        <v>280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</row>
    <row r="15" spans="1:38" ht="15.6">
      <c r="A15" s="240"/>
      <c r="B15" s="656" t="s">
        <v>388</v>
      </c>
      <c r="C15" s="664">
        <f>1.23*G15</f>
        <v>100.49099999999999</v>
      </c>
      <c r="D15" s="664">
        <v>0.43</v>
      </c>
      <c r="E15" s="664">
        <v>1</v>
      </c>
      <c r="F15" s="664">
        <v>0.19</v>
      </c>
      <c r="G15" s="749">
        <f>(D15*E15*F15)*1000</f>
        <v>81.699999999999989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</row>
    <row r="16" spans="1:38" ht="15.6">
      <c r="A16" s="240"/>
      <c r="B16" s="750" t="s">
        <v>389</v>
      </c>
      <c r="C16" s="667">
        <f>C13-C15</f>
        <v>99.509000000000015</v>
      </c>
      <c r="D16" s="667">
        <f>D13-D15</f>
        <v>0.87000000000000011</v>
      </c>
      <c r="E16" s="667">
        <v>1</v>
      </c>
      <c r="F16" s="667">
        <v>0.19</v>
      </c>
      <c r="G16" s="668">
        <f>(D16*E16*F16)*1000</f>
        <v>165.30000000000004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5.6">
      <c r="A17" s="240"/>
      <c r="B17" s="751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</row>
    <row r="18" spans="1:38" ht="15.6">
      <c r="A18" s="240"/>
      <c r="B18" s="661"/>
      <c r="C18" s="661"/>
      <c r="D18" s="661"/>
      <c r="E18" s="661"/>
      <c r="F18" s="661"/>
      <c r="G18" s="661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</row>
    <row r="19" spans="1:38" ht="15.6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</row>
    <row r="20" spans="1:38" ht="15.6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</row>
    <row r="21" spans="1:38" ht="15.6">
      <c r="A21" s="240"/>
      <c r="B21" s="945" t="s">
        <v>390</v>
      </c>
      <c r="C21" s="947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</row>
    <row r="22" spans="1:38" ht="31.2">
      <c r="A22" s="240"/>
      <c r="B22" s="555" t="s">
        <v>391</v>
      </c>
      <c r="C22" s="275">
        <v>200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</row>
    <row r="23" spans="1:38" ht="15.6">
      <c r="A23" s="240"/>
      <c r="B23" s="288" t="s">
        <v>538</v>
      </c>
      <c r="C23" s="252">
        <v>2600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</row>
    <row r="24" spans="1:38" ht="15.6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</row>
    <row r="25" spans="1:38" ht="15.6">
      <c r="A25" s="240"/>
      <c r="B25" s="939" t="s">
        <v>392</v>
      </c>
      <c r="C25" s="955"/>
      <c r="D25" s="955"/>
      <c r="E25" s="940"/>
      <c r="F25" s="240"/>
      <c r="G25" s="789" t="s">
        <v>534</v>
      </c>
      <c r="H25" s="791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</row>
    <row r="26" spans="1:38" ht="31.2">
      <c r="A26" s="240"/>
      <c r="B26" s="154" t="s">
        <v>541</v>
      </c>
      <c r="C26" s="752">
        <v>30100</v>
      </c>
      <c r="D26" s="752">
        <v>18250</v>
      </c>
      <c r="E26" s="753">
        <v>6199</v>
      </c>
      <c r="F26" s="240"/>
      <c r="G26" s="555" t="s">
        <v>533</v>
      </c>
      <c r="H26" s="754">
        <f>D26</f>
        <v>18250</v>
      </c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</row>
    <row r="27" spans="1:38" ht="31.2">
      <c r="A27" s="240"/>
      <c r="B27" s="755" t="s">
        <v>393</v>
      </c>
      <c r="C27" s="756" t="s">
        <v>394</v>
      </c>
      <c r="D27" s="756" t="s">
        <v>395</v>
      </c>
      <c r="E27" s="756" t="s">
        <v>396</v>
      </c>
      <c r="F27" s="240"/>
      <c r="G27" s="556" t="s">
        <v>480</v>
      </c>
      <c r="H27" s="583">
        <v>20</v>
      </c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</row>
    <row r="28" spans="1:38" ht="46.8">
      <c r="A28" s="240"/>
      <c r="B28" s="755" t="s">
        <v>397</v>
      </c>
      <c r="C28" s="756" t="s">
        <v>398</v>
      </c>
      <c r="D28" s="756" t="s">
        <v>399</v>
      </c>
      <c r="E28" s="756" t="s">
        <v>400</v>
      </c>
      <c r="F28" s="240"/>
      <c r="G28" s="557" t="s">
        <v>535</v>
      </c>
      <c r="H28" s="618">
        <f>H26*H27</f>
        <v>365000</v>
      </c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</row>
    <row r="29" spans="1:38" ht="15.6">
      <c r="A29" s="240"/>
      <c r="B29" s="755" t="s">
        <v>401</v>
      </c>
      <c r="C29" s="756" t="s">
        <v>402</v>
      </c>
      <c r="D29" s="756" t="s">
        <v>403</v>
      </c>
      <c r="E29" s="756" t="s">
        <v>404</v>
      </c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</row>
    <row r="30" spans="1:38" ht="15.6">
      <c r="A30" s="240"/>
      <c r="B30" s="755" t="s">
        <v>405</v>
      </c>
      <c r="C30" s="756" t="s">
        <v>406</v>
      </c>
      <c r="D30" s="756" t="s">
        <v>407</v>
      </c>
      <c r="E30" s="756" t="s">
        <v>408</v>
      </c>
      <c r="F30" s="240"/>
      <c r="G30" s="344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</row>
    <row r="31" spans="1:38" ht="15.6">
      <c r="A31" s="240"/>
      <c r="B31" s="755" t="s">
        <v>409</v>
      </c>
      <c r="C31" s="756" t="s">
        <v>410</v>
      </c>
      <c r="D31" s="756" t="s">
        <v>411</v>
      </c>
      <c r="E31" s="756" t="s">
        <v>412</v>
      </c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</row>
    <row r="32" spans="1:38" ht="15.6">
      <c r="A32" s="240"/>
      <c r="B32" s="755" t="s">
        <v>413</v>
      </c>
      <c r="C32" s="756" t="s">
        <v>414</v>
      </c>
      <c r="D32" s="756" t="s">
        <v>415</v>
      </c>
      <c r="E32" s="756" t="s">
        <v>416</v>
      </c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</row>
    <row r="33" spans="1:38" ht="15.6">
      <c r="A33" s="240"/>
      <c r="B33" s="755" t="s">
        <v>417</v>
      </c>
      <c r="C33" s="756" t="s">
        <v>418</v>
      </c>
      <c r="D33" s="756" t="s">
        <v>419</v>
      </c>
      <c r="E33" s="756" t="s">
        <v>420</v>
      </c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</row>
    <row r="34" spans="1:38" ht="15.6">
      <c r="A34" s="240"/>
      <c r="B34" s="755" t="s">
        <v>421</v>
      </c>
      <c r="C34" s="756" t="s">
        <v>422</v>
      </c>
      <c r="D34" s="756" t="s">
        <v>423</v>
      </c>
      <c r="E34" s="756" t="s">
        <v>424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</row>
    <row r="35" spans="1:38" ht="15.6">
      <c r="A35" s="240"/>
      <c r="B35" s="757" t="s">
        <v>425</v>
      </c>
      <c r="C35" s="758" t="s">
        <v>426</v>
      </c>
      <c r="D35" s="758" t="s">
        <v>427</v>
      </c>
      <c r="E35" s="758" t="s">
        <v>428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</row>
    <row r="36" spans="1:38" ht="31.2">
      <c r="A36" s="240"/>
      <c r="B36" s="759" t="s">
        <v>536</v>
      </c>
      <c r="C36" s="760" t="s">
        <v>429</v>
      </c>
      <c r="D36" s="760" t="s">
        <v>430</v>
      </c>
      <c r="E36" s="760" t="s">
        <v>431</v>
      </c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</row>
    <row r="37" spans="1:38" ht="15.6">
      <c r="A37" s="240"/>
      <c r="B37" s="761"/>
      <c r="C37" s="762"/>
      <c r="D37" s="762"/>
      <c r="E37" s="762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</row>
    <row r="38" spans="1:38" ht="31.2">
      <c r="A38" s="240"/>
      <c r="B38" s="763" t="s">
        <v>537</v>
      </c>
      <c r="C38" s="764" t="s">
        <v>432</v>
      </c>
      <c r="D38" s="764" t="s">
        <v>433</v>
      </c>
      <c r="E38" s="764" t="s">
        <v>434</v>
      </c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</row>
    <row r="39" spans="1:38" ht="15.6">
      <c r="A39" s="240"/>
      <c r="B39" s="755" t="s">
        <v>435</v>
      </c>
      <c r="C39" s="756" t="s">
        <v>429</v>
      </c>
      <c r="D39" s="756" t="s">
        <v>430</v>
      </c>
      <c r="E39" s="756" t="s">
        <v>431</v>
      </c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</row>
    <row r="40" spans="1:38" ht="15.6">
      <c r="A40" s="240"/>
      <c r="B40" s="755" t="s">
        <v>436</v>
      </c>
      <c r="C40" s="756" t="s">
        <v>437</v>
      </c>
      <c r="D40" s="756" t="s">
        <v>438</v>
      </c>
      <c r="E40" s="756" t="s">
        <v>439</v>
      </c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</row>
    <row r="41" spans="1:38" ht="15.6">
      <c r="A41" s="240"/>
      <c r="B41" s="757" t="s">
        <v>440</v>
      </c>
      <c r="C41" s="758" t="s">
        <v>441</v>
      </c>
      <c r="D41" s="758" t="s">
        <v>441</v>
      </c>
      <c r="E41" s="758" t="s">
        <v>441</v>
      </c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</row>
    <row r="42" spans="1:38" ht="15.6">
      <c r="A42" s="240"/>
      <c r="B42" s="759" t="s">
        <v>537</v>
      </c>
      <c r="C42" s="765" t="s">
        <v>442</v>
      </c>
      <c r="D42" s="765" t="s">
        <v>443</v>
      </c>
      <c r="E42" s="765" t="s">
        <v>444</v>
      </c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</row>
    <row r="43" spans="1:38" ht="15.6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</row>
  </sheetData>
  <mergeCells count="9">
    <mergeCell ref="F11:F12"/>
    <mergeCell ref="G11:G12"/>
    <mergeCell ref="B25:E25"/>
    <mergeCell ref="B21:C21"/>
    <mergeCell ref="C11:C12"/>
    <mergeCell ref="D11:D12"/>
    <mergeCell ref="E11:E12"/>
    <mergeCell ref="B11:B12"/>
    <mergeCell ref="G25:H25"/>
  </mergeCells>
  <hyperlinks>
    <hyperlink ref="B8" r:id="rId1" xr:uid="{35D8F9B2-FEC1-44A3-8DF0-565FC2A0E43C}"/>
  </hyperlinks>
  <pageMargins left="0.7" right="0.7" top="0.75" bottom="0.75" header="0.3" footer="0.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1246-628E-41E5-8B3B-A19A6A9D78A8}">
  <dimension ref="A1:J16"/>
  <sheetViews>
    <sheetView topLeftCell="A13" workbookViewId="0">
      <selection activeCell="E13" sqref="E13"/>
    </sheetView>
  </sheetViews>
  <sheetFormatPr baseColWidth="10" defaultColWidth="8.88671875" defaultRowHeight="14.4"/>
  <cols>
    <col min="1" max="1" width="30.88671875" customWidth="1"/>
    <col min="2" max="2" width="11.6640625" bestFit="1" customWidth="1"/>
    <col min="3" max="3" width="13.6640625" bestFit="1" customWidth="1"/>
    <col min="4" max="4" width="17.88671875" bestFit="1" customWidth="1"/>
    <col min="5" max="5" width="16" customWidth="1"/>
    <col min="6" max="6" width="12.33203125" bestFit="1" customWidth="1"/>
    <col min="8" max="8" width="13.6640625" customWidth="1"/>
    <col min="9" max="9" width="10.33203125" customWidth="1"/>
  </cols>
  <sheetData>
    <row r="1" spans="1:10" ht="15.6">
      <c r="A1" s="311" t="s">
        <v>45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5.6">
      <c r="A2" s="312" t="s">
        <v>47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5.6">
      <c r="A3" s="610"/>
      <c r="B3" s="240"/>
      <c r="C3" s="240"/>
      <c r="D3" s="240"/>
      <c r="E3" s="240"/>
      <c r="F3" s="240"/>
      <c r="G3" s="240"/>
      <c r="H3" s="240"/>
      <c r="I3" s="240"/>
      <c r="J3" s="240"/>
    </row>
    <row r="4" spans="1:10" ht="15.6">
      <c r="A4" s="825" t="s">
        <v>445</v>
      </c>
      <c r="B4" s="827"/>
      <c r="C4" s="240"/>
      <c r="D4" s="825" t="s">
        <v>446</v>
      </c>
      <c r="E4" s="827"/>
      <c r="F4" s="240"/>
      <c r="G4" s="240"/>
      <c r="H4" s="240"/>
      <c r="I4" s="240"/>
      <c r="J4" s="240"/>
    </row>
    <row r="5" spans="1:10" ht="15.6">
      <c r="A5" s="766" t="s">
        <v>311</v>
      </c>
      <c r="B5" s="293">
        <v>791</v>
      </c>
      <c r="C5" s="347"/>
      <c r="D5" s="767" t="s">
        <v>447</v>
      </c>
      <c r="E5" s="117">
        <v>0.7</v>
      </c>
      <c r="F5" s="240"/>
      <c r="G5" s="240"/>
      <c r="H5" s="240"/>
      <c r="I5" s="240"/>
      <c r="J5" s="240"/>
    </row>
    <row r="6" spans="1:10" ht="31.2">
      <c r="A6" s="681" t="s">
        <v>152</v>
      </c>
      <c r="B6" s="583">
        <f>B5*B8</f>
        <v>4397.96</v>
      </c>
      <c r="C6" s="768"/>
      <c r="D6" s="769" t="s">
        <v>448</v>
      </c>
      <c r="E6" s="770">
        <v>0.45</v>
      </c>
      <c r="F6" s="771"/>
      <c r="G6" s="240"/>
      <c r="H6" s="240"/>
      <c r="I6" s="240"/>
      <c r="J6" s="240"/>
    </row>
    <row r="7" spans="1:10" ht="31.2">
      <c r="A7" s="681" t="s">
        <v>449</v>
      </c>
      <c r="B7" s="583">
        <f>B6/1000</f>
        <v>4.3979600000000003</v>
      </c>
      <c r="C7" s="768"/>
      <c r="D7" s="240"/>
      <c r="E7" s="240"/>
      <c r="F7" s="240"/>
      <c r="G7" s="240"/>
      <c r="H7" s="772"/>
      <c r="I7" s="240"/>
      <c r="J7" s="240"/>
    </row>
    <row r="8" spans="1:10" ht="31.2">
      <c r="A8" s="682" t="s">
        <v>159</v>
      </c>
      <c r="B8" s="589">
        <v>5.56</v>
      </c>
      <c r="C8" s="768"/>
      <c r="D8" s="240"/>
      <c r="E8" s="240"/>
      <c r="F8" s="240"/>
      <c r="G8" s="240"/>
      <c r="H8" s="240"/>
      <c r="I8" s="240"/>
      <c r="J8" s="240"/>
    </row>
    <row r="9" spans="1:10" ht="15.6">
      <c r="A9" s="240"/>
      <c r="B9" s="240"/>
      <c r="C9" s="240"/>
      <c r="D9" s="240"/>
      <c r="E9" s="240"/>
      <c r="F9" s="240"/>
      <c r="G9" s="240"/>
      <c r="H9" s="240"/>
      <c r="I9" s="240"/>
      <c r="J9" s="240"/>
    </row>
    <row r="10" spans="1:10" ht="62.4">
      <c r="A10" s="773"/>
      <c r="B10" s="350" t="s">
        <v>450</v>
      </c>
      <c r="C10" s="350" t="s">
        <v>85</v>
      </c>
      <c r="D10" s="350" t="s">
        <v>451</v>
      </c>
      <c r="E10" s="354" t="s">
        <v>87</v>
      </c>
      <c r="F10" s="354" t="s">
        <v>81</v>
      </c>
      <c r="G10" s="350" t="s">
        <v>452</v>
      </c>
      <c r="H10" s="354" t="s">
        <v>539</v>
      </c>
      <c r="I10" s="774" t="s">
        <v>453</v>
      </c>
      <c r="J10" s="240"/>
    </row>
    <row r="11" spans="1:10" ht="15.6">
      <c r="A11" s="775" t="s">
        <v>388</v>
      </c>
      <c r="B11" s="776">
        <f>C11*D11*E11</f>
        <v>0.31001899500000002</v>
      </c>
      <c r="C11" s="659">
        <v>1.111</v>
      </c>
      <c r="D11" s="659">
        <v>0.79500000000000004</v>
      </c>
      <c r="E11" s="777">
        <v>0.35099999999999998</v>
      </c>
      <c r="F11" s="777">
        <v>380</v>
      </c>
      <c r="G11" s="659">
        <v>63</v>
      </c>
      <c r="H11" s="778">
        <f>G11*E5</f>
        <v>44.099999999999994</v>
      </c>
      <c r="I11" s="779">
        <f>F11/B11</f>
        <v>1225.7313459131753</v>
      </c>
      <c r="J11" s="240"/>
    </row>
    <row r="12" spans="1:10" ht="15.6">
      <c r="A12" s="240"/>
      <c r="B12" s="240"/>
      <c r="C12" s="240"/>
      <c r="D12" s="240"/>
      <c r="E12" s="240"/>
      <c r="F12" s="240"/>
      <c r="G12" s="240"/>
      <c r="H12" s="240"/>
      <c r="I12" s="240"/>
      <c r="J12" s="240"/>
    </row>
    <row r="13" spans="1:10" ht="31.2">
      <c r="A13" s="184"/>
      <c r="B13" s="185" t="s">
        <v>450</v>
      </c>
      <c r="C13" s="186" t="s">
        <v>452</v>
      </c>
      <c r="D13" s="780" t="s">
        <v>454</v>
      </c>
      <c r="E13" s="781" t="s">
        <v>540</v>
      </c>
      <c r="F13" s="240"/>
      <c r="G13" s="240"/>
      <c r="H13" s="240"/>
      <c r="I13" s="240"/>
      <c r="J13" s="240"/>
    </row>
    <row r="14" spans="1:10" ht="15.6">
      <c r="A14" s="118" t="s">
        <v>455</v>
      </c>
      <c r="B14" s="119">
        <f>B11</f>
        <v>0.31001899500000002</v>
      </c>
      <c r="C14" s="120">
        <f>B14*B6</f>
        <v>1363.4511392502002</v>
      </c>
      <c r="D14" s="782">
        <f>C14/B8</f>
        <v>245.22502504500005</v>
      </c>
      <c r="E14" s="779">
        <f>C14*E6</f>
        <v>613.55301266259005</v>
      </c>
      <c r="F14" s="240"/>
      <c r="G14" s="240"/>
      <c r="H14" s="240"/>
      <c r="I14" s="240"/>
      <c r="J14" s="240"/>
    </row>
    <row r="15" spans="1:10" ht="15.6">
      <c r="A15" s="240"/>
      <c r="B15" s="240"/>
      <c r="C15" s="240"/>
      <c r="D15" s="240"/>
      <c r="E15" s="240"/>
      <c r="F15" s="240"/>
      <c r="G15" s="240"/>
      <c r="H15" s="240"/>
      <c r="I15" s="240"/>
      <c r="J15" s="240"/>
    </row>
    <row r="16" spans="1:10" ht="15.6">
      <c r="A16" s="240"/>
      <c r="B16" s="240"/>
      <c r="C16" s="240"/>
      <c r="D16" s="240"/>
      <c r="E16" s="240"/>
      <c r="F16" s="240"/>
      <c r="G16" s="240"/>
      <c r="H16" s="240"/>
      <c r="I16" s="240"/>
      <c r="J16" s="240"/>
    </row>
  </sheetData>
  <mergeCells count="2">
    <mergeCell ref="D4:E4"/>
    <mergeCell ref="A4:B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65F9F-9A81-4967-82EE-BD1A7F6B4221}">
  <dimension ref="A1:O77"/>
  <sheetViews>
    <sheetView topLeftCell="A16" zoomScale="116" workbookViewId="0">
      <selection activeCell="C2" sqref="C2"/>
    </sheetView>
  </sheetViews>
  <sheetFormatPr baseColWidth="10" defaultColWidth="8.88671875" defaultRowHeight="14.4"/>
  <cols>
    <col min="1" max="1" width="18.44140625" bestFit="1" customWidth="1"/>
    <col min="2" max="2" width="24.109375" customWidth="1"/>
    <col min="3" max="3" width="13.44140625" customWidth="1"/>
    <col min="5" max="5" width="9.88671875" customWidth="1"/>
    <col min="9" max="9" width="14" customWidth="1"/>
  </cols>
  <sheetData>
    <row r="1" spans="1:15" ht="15.6">
      <c r="A1" s="311" t="s">
        <v>45</v>
      </c>
      <c r="B1" s="240"/>
      <c r="C1" s="964" t="s">
        <v>46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5.6">
      <c r="A2" s="312" t="s">
        <v>47</v>
      </c>
      <c r="B2" s="240"/>
      <c r="C2" s="963">
        <v>3.6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16.2" thickBo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ht="16.8" thickTop="1" thickBot="1">
      <c r="A4" s="794" t="s">
        <v>48</v>
      </c>
      <c r="B4" s="795"/>
      <c r="C4" s="796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6.8" thickTop="1" thickBot="1">
      <c r="A5" s="313"/>
      <c r="B5" s="314" t="s">
        <v>49</v>
      </c>
      <c r="C5" s="315" t="s">
        <v>50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6.2" thickTop="1">
      <c r="A6" s="316" t="s">
        <v>51</v>
      </c>
      <c r="B6" s="298">
        <v>1</v>
      </c>
      <c r="C6" s="317">
        <f>B6/C2</f>
        <v>0.27777777777777779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5.6">
      <c r="A7" s="318" t="s">
        <v>52</v>
      </c>
      <c r="B7" s="319">
        <v>9</v>
      </c>
      <c r="C7" s="320">
        <f>B7/C2</f>
        <v>2.5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5.6">
      <c r="A8" s="318" t="s">
        <v>53</v>
      </c>
      <c r="B8" s="319">
        <v>12.7</v>
      </c>
      <c r="C8" s="320">
        <f>B8/C2</f>
        <v>3.5277777777777777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</row>
    <row r="9" spans="1:15" ht="15.6">
      <c r="A9" s="318" t="s">
        <v>54</v>
      </c>
      <c r="B9" s="319">
        <v>15.8</v>
      </c>
      <c r="C9" s="320">
        <f>B9/C2</f>
        <v>4.3888888888888893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0" spans="1:15" ht="15.6">
      <c r="A10" s="318" t="s">
        <v>55</v>
      </c>
      <c r="B10" s="319">
        <v>23.5</v>
      </c>
      <c r="C10" s="320">
        <f>B10/C2</f>
        <v>6.5277777777777777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</row>
    <row r="11" spans="1:15" ht="15.6">
      <c r="A11" s="318" t="s">
        <v>56</v>
      </c>
      <c r="B11" s="319">
        <v>35</v>
      </c>
      <c r="C11" s="320">
        <f>B11/C2</f>
        <v>9.7222222222222214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</row>
    <row r="12" spans="1:15" ht="15.6">
      <c r="A12" s="318" t="s">
        <v>57</v>
      </c>
      <c r="B12" s="319">
        <v>36.6</v>
      </c>
      <c r="C12" s="320">
        <f>B12/C2</f>
        <v>10.166666666666666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1:15" ht="16.2" thickBot="1">
      <c r="A13" s="321" t="s">
        <v>58</v>
      </c>
      <c r="B13" s="322">
        <v>38.799999999999997</v>
      </c>
      <c r="C13" s="323">
        <f>B13/C2</f>
        <v>10.777777777777777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</row>
    <row r="14" spans="1:15" ht="16.2" thickTop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</row>
    <row r="15" spans="1:15" ht="15.6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</row>
    <row r="16" spans="1:15" ht="15.6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</row>
    <row r="17" spans="1:15" ht="15.6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</row>
    <row r="18" spans="1:15" ht="15.6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</row>
    <row r="19" spans="1:15" ht="15.6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</row>
    <row r="20" spans="1:15" ht="16.8" thickTop="1" thickBot="1">
      <c r="A20" s="792" t="s">
        <v>59</v>
      </c>
      <c r="B20" s="793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</row>
    <row r="21" spans="1:15" ht="16.8" thickTop="1" thickBot="1">
      <c r="A21" s="313"/>
      <c r="B21" s="315" t="s">
        <v>60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</row>
    <row r="22" spans="1:15" ht="16.2" thickTop="1">
      <c r="A22" s="292" t="s">
        <v>61</v>
      </c>
      <c r="B22" s="293">
        <v>-0.1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</row>
    <row r="23" spans="1:15" ht="15.6">
      <c r="A23" s="295" t="s">
        <v>62</v>
      </c>
      <c r="B23" s="248">
        <v>0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</row>
    <row r="24" spans="1:15" ht="15.6">
      <c r="A24" s="295" t="s">
        <v>63</v>
      </c>
      <c r="B24" s="248">
        <v>0.05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</row>
    <row r="25" spans="1:15" ht="15.6">
      <c r="A25" s="295" t="s">
        <v>64</v>
      </c>
      <c r="B25" s="248">
        <v>0.17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</row>
    <row r="26" spans="1:15" ht="15.6">
      <c r="A26" s="295" t="s">
        <v>65</v>
      </c>
      <c r="B26" s="248">
        <v>0.84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</row>
    <row r="27" spans="1:15" ht="15.6">
      <c r="A27" s="295" t="s">
        <v>66</v>
      </c>
      <c r="B27" s="248">
        <v>1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</row>
    <row r="28" spans="1:15" ht="15.6">
      <c r="A28" s="295" t="s">
        <v>67</v>
      </c>
      <c r="B28" s="324">
        <v>1.1399999999999999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</row>
    <row r="29" spans="1:15" ht="15.6">
      <c r="A29" s="295" t="s">
        <v>68</v>
      </c>
      <c r="B29" s="248">
        <v>1.48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</row>
    <row r="30" spans="1:15" ht="15.6">
      <c r="A30" s="288" t="s">
        <v>69</v>
      </c>
      <c r="B30" s="252">
        <v>1.64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</row>
    <row r="31" spans="1:15" ht="15.6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5.6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5.6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5.6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15.6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</row>
    <row r="36" spans="1:15" ht="15.6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</row>
    <row r="37" spans="1:15" ht="15.6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</row>
    <row r="38" spans="1:15" ht="15.6">
      <c r="A38" s="789" t="s">
        <v>70</v>
      </c>
      <c r="B38" s="790"/>
      <c r="C38" s="790"/>
      <c r="D38" s="790"/>
      <c r="E38" s="790"/>
      <c r="F38" s="791"/>
      <c r="G38" s="240"/>
      <c r="H38" s="240"/>
      <c r="I38" s="240"/>
      <c r="J38" s="240"/>
      <c r="K38" s="240"/>
      <c r="L38" s="240"/>
      <c r="M38" s="240"/>
      <c r="N38" s="240"/>
      <c r="O38" s="240"/>
    </row>
    <row r="39" spans="1:15" ht="31.2">
      <c r="A39" s="325" t="s">
        <v>71</v>
      </c>
      <c r="B39" s="326" t="s">
        <v>72</v>
      </c>
      <c r="C39" s="326" t="s">
        <v>73</v>
      </c>
      <c r="D39" s="326" t="s">
        <v>74</v>
      </c>
      <c r="E39" s="326" t="s">
        <v>75</v>
      </c>
      <c r="F39" s="327"/>
      <c r="G39" s="240"/>
      <c r="H39" s="240"/>
      <c r="I39" s="121" t="s">
        <v>76</v>
      </c>
      <c r="J39" s="122">
        <v>10.8</v>
      </c>
      <c r="K39" s="122">
        <v>18.8</v>
      </c>
      <c r="L39" s="123">
        <v>27</v>
      </c>
      <c r="M39" s="123">
        <v>36</v>
      </c>
      <c r="N39" s="240"/>
      <c r="O39" s="240"/>
    </row>
    <row r="40" spans="1:15" ht="31.2">
      <c r="A40" s="328">
        <v>120</v>
      </c>
      <c r="B40" s="297">
        <v>8</v>
      </c>
      <c r="C40" s="297">
        <v>16</v>
      </c>
      <c r="D40" s="297">
        <v>24</v>
      </c>
      <c r="E40" s="298">
        <v>32</v>
      </c>
      <c r="F40" s="329"/>
      <c r="G40" s="240"/>
      <c r="H40" s="240"/>
      <c r="I40" s="121" t="s">
        <v>77</v>
      </c>
      <c r="J40" s="122">
        <v>14.4</v>
      </c>
      <c r="K40" s="123">
        <v>25</v>
      </c>
      <c r="L40" s="123">
        <v>36</v>
      </c>
      <c r="M40" s="123">
        <v>48</v>
      </c>
      <c r="N40" s="240"/>
      <c r="O40" s="240"/>
    </row>
    <row r="41" spans="1:15" ht="31.2">
      <c r="A41" s="261">
        <v>160</v>
      </c>
      <c r="B41" s="247">
        <v>10</v>
      </c>
      <c r="C41" s="247">
        <v>20</v>
      </c>
      <c r="D41" s="247">
        <v>30</v>
      </c>
      <c r="E41" s="319">
        <v>40</v>
      </c>
      <c r="F41" s="330"/>
      <c r="G41" s="240"/>
      <c r="H41" s="240"/>
      <c r="I41" s="121" t="s">
        <v>78</v>
      </c>
      <c r="J41" s="123">
        <v>18</v>
      </c>
      <c r="K41" s="123">
        <v>31.2</v>
      </c>
      <c r="L41" s="123">
        <v>45</v>
      </c>
      <c r="M41" s="123">
        <v>60</v>
      </c>
      <c r="N41" s="240"/>
      <c r="O41" s="240"/>
    </row>
    <row r="42" spans="1:15" ht="31.2">
      <c r="A42" s="261">
        <v>200</v>
      </c>
      <c r="B42" s="247">
        <v>13</v>
      </c>
      <c r="C42" s="247">
        <v>25</v>
      </c>
      <c r="D42" s="247">
        <v>38</v>
      </c>
      <c r="E42" s="319">
        <v>50</v>
      </c>
      <c r="F42" s="330"/>
      <c r="G42" s="240"/>
      <c r="H42" s="240"/>
      <c r="I42" s="121" t="s">
        <v>79</v>
      </c>
      <c r="J42" s="122">
        <v>25.2</v>
      </c>
      <c r="K42" s="123">
        <v>43.7</v>
      </c>
      <c r="L42" s="123">
        <v>63</v>
      </c>
      <c r="M42" s="123">
        <v>84</v>
      </c>
      <c r="N42" s="240"/>
      <c r="O42" s="240"/>
    </row>
    <row r="43" spans="1:15" ht="31.2">
      <c r="A43" s="261">
        <v>280</v>
      </c>
      <c r="B43" s="247">
        <v>19</v>
      </c>
      <c r="C43" s="247">
        <v>38</v>
      </c>
      <c r="D43" s="247">
        <v>56</v>
      </c>
      <c r="E43" s="319">
        <v>75</v>
      </c>
      <c r="F43" s="330"/>
      <c r="G43" s="240"/>
      <c r="H43" s="240"/>
      <c r="I43" s="121" t="s">
        <v>80</v>
      </c>
      <c r="J43" s="123">
        <v>36</v>
      </c>
      <c r="K43" s="123">
        <v>62.4</v>
      </c>
      <c r="L43" s="123">
        <v>90</v>
      </c>
      <c r="M43" s="123">
        <v>120</v>
      </c>
      <c r="N43" s="240"/>
      <c r="O43" s="240"/>
    </row>
    <row r="44" spans="1:15" ht="15.6">
      <c r="A44" s="331">
        <v>400</v>
      </c>
      <c r="B44" s="277">
        <v>27</v>
      </c>
      <c r="C44" s="277">
        <v>53</v>
      </c>
      <c r="D44" s="277">
        <v>80</v>
      </c>
      <c r="E44" s="278">
        <v>106</v>
      </c>
      <c r="F44" s="330"/>
      <c r="G44" s="240"/>
      <c r="H44" s="240"/>
      <c r="I44" s="240"/>
      <c r="J44" s="240">
        <f>(J39+J40+J41+J42+J43)/5</f>
        <v>20.880000000000003</v>
      </c>
      <c r="K44" s="240">
        <f t="shared" ref="K44:M44" si="0">(K39+K40+K41+K42+K43)/5</f>
        <v>36.22</v>
      </c>
      <c r="L44" s="240">
        <f t="shared" si="0"/>
        <v>52.2</v>
      </c>
      <c r="M44" s="240">
        <f t="shared" si="0"/>
        <v>69.599999999999994</v>
      </c>
      <c r="N44" s="240">
        <f>(J44+L44+K44+M44)/4</f>
        <v>44.725000000000001</v>
      </c>
      <c r="O44" s="240"/>
    </row>
    <row r="45" spans="1:15" ht="15.6">
      <c r="A45" s="332" t="s">
        <v>43</v>
      </c>
      <c r="B45" s="333">
        <f>(B40+B41+B42+B43+B44)/5</f>
        <v>15.4</v>
      </c>
      <c r="C45" s="333">
        <f t="shared" ref="C45:E45" si="1">(C40+C41+C42+C43+C44)/5</f>
        <v>30.4</v>
      </c>
      <c r="D45" s="333">
        <f t="shared" si="1"/>
        <v>45.6</v>
      </c>
      <c r="E45" s="333">
        <f t="shared" si="1"/>
        <v>60.6</v>
      </c>
      <c r="F45" s="334">
        <f>(B45+C45+D45+E45)/4</f>
        <v>38</v>
      </c>
      <c r="G45" s="240"/>
      <c r="H45" s="240"/>
      <c r="I45" s="240"/>
      <c r="J45" s="240"/>
      <c r="K45" s="240"/>
      <c r="L45" s="240"/>
      <c r="M45" s="240"/>
      <c r="N45" s="240"/>
      <c r="O45" s="240"/>
    </row>
    <row r="46" spans="1:15" ht="15.6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</row>
    <row r="47" spans="1:15" ht="15.6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</row>
    <row r="48" spans="1:15" ht="15.6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</row>
    <row r="49" spans="1:15" ht="15.6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</row>
    <row r="50" spans="1:15" ht="15.6">
      <c r="A50" s="240"/>
      <c r="B50" s="240"/>
      <c r="C50" s="240"/>
      <c r="D50" s="240"/>
      <c r="E50" s="240"/>
      <c r="F50" s="240"/>
      <c r="G50" s="124"/>
      <c r="H50" s="240"/>
      <c r="I50" s="240"/>
      <c r="J50" s="240"/>
      <c r="K50" s="240"/>
      <c r="L50" s="240"/>
      <c r="M50" s="240"/>
      <c r="N50" s="240"/>
      <c r="O50" s="240"/>
    </row>
    <row r="51" spans="1:15" ht="15.6">
      <c r="A51" s="240"/>
      <c r="B51" s="240"/>
      <c r="C51" s="240"/>
      <c r="D51" s="240"/>
      <c r="E51" s="240"/>
      <c r="F51" s="240"/>
      <c r="G51" s="124"/>
      <c r="H51" s="240"/>
      <c r="I51" s="240"/>
      <c r="J51" s="240"/>
      <c r="K51" s="240"/>
      <c r="L51" s="240"/>
      <c r="M51" s="240"/>
      <c r="N51" s="240"/>
      <c r="O51" s="240"/>
    </row>
    <row r="52" spans="1:15" ht="15.6">
      <c r="A52" s="240"/>
      <c r="B52" s="240"/>
      <c r="C52" s="240"/>
      <c r="D52" s="240"/>
      <c r="E52" s="240"/>
      <c r="F52" s="240"/>
      <c r="G52" s="124"/>
      <c r="H52" s="240"/>
      <c r="I52" s="240"/>
      <c r="J52" s="240"/>
      <c r="K52" s="240"/>
      <c r="L52" s="240"/>
      <c r="M52" s="240"/>
      <c r="N52" s="240"/>
      <c r="O52" s="240"/>
    </row>
    <row r="53" spans="1:15" ht="15.6">
      <c r="A53" s="240"/>
      <c r="B53" s="240"/>
      <c r="C53" s="240"/>
      <c r="D53" s="240"/>
      <c r="E53" s="240"/>
      <c r="F53" s="240"/>
      <c r="G53" s="124"/>
      <c r="H53" s="240"/>
      <c r="I53" s="240"/>
      <c r="J53" s="240"/>
      <c r="K53" s="240"/>
      <c r="L53" s="240"/>
      <c r="M53" s="240"/>
      <c r="N53" s="240"/>
      <c r="O53" s="240"/>
    </row>
    <row r="54" spans="1:15" ht="15.6">
      <c r="A54" s="240"/>
      <c r="B54" s="240"/>
      <c r="C54" s="240"/>
      <c r="D54" s="240"/>
      <c r="E54" s="240"/>
      <c r="F54" s="240"/>
      <c r="G54" s="125"/>
      <c r="H54" s="240"/>
      <c r="I54" s="240"/>
      <c r="J54" s="240"/>
      <c r="K54" s="240"/>
      <c r="L54" s="240"/>
      <c r="M54" s="240"/>
      <c r="N54" s="240"/>
      <c r="O54" s="240"/>
    </row>
    <row r="55" spans="1:15" ht="15.6">
      <c r="A55" s="240"/>
      <c r="B55" s="240"/>
      <c r="C55" s="240"/>
      <c r="D55" s="240"/>
      <c r="E55" s="240"/>
      <c r="F55" s="240"/>
      <c r="G55" s="124"/>
      <c r="H55" s="240"/>
      <c r="I55" s="240"/>
      <c r="J55" s="240"/>
      <c r="K55" s="240"/>
      <c r="L55" s="240"/>
      <c r="M55" s="240"/>
      <c r="N55" s="240"/>
      <c r="O55" s="240"/>
    </row>
    <row r="56" spans="1:15" ht="15.6">
      <c r="A56" s="240"/>
      <c r="B56" s="240"/>
      <c r="C56" s="240"/>
      <c r="D56" s="240"/>
      <c r="E56" s="240"/>
      <c r="F56" s="240"/>
      <c r="G56" s="124"/>
      <c r="H56" s="240"/>
      <c r="I56" s="240"/>
      <c r="J56" s="240"/>
      <c r="K56" s="240"/>
      <c r="L56" s="240"/>
      <c r="M56" s="240"/>
      <c r="N56" s="240"/>
      <c r="O56" s="240"/>
    </row>
    <row r="57" spans="1:15" ht="15.6">
      <c r="A57" s="240"/>
      <c r="B57" s="240"/>
      <c r="C57" s="240"/>
      <c r="D57" s="240"/>
      <c r="E57" s="240"/>
      <c r="F57" s="240"/>
      <c r="G57" s="124"/>
      <c r="H57" s="240"/>
      <c r="I57" s="240"/>
      <c r="J57" s="240"/>
      <c r="K57" s="240"/>
      <c r="L57" s="240"/>
      <c r="M57" s="240"/>
      <c r="N57" s="240"/>
      <c r="O57" s="240"/>
    </row>
    <row r="58" spans="1:15" ht="15.6">
      <c r="A58" s="240"/>
      <c r="B58" s="240"/>
      <c r="C58" s="240"/>
      <c r="D58" s="240"/>
      <c r="E58" s="240"/>
      <c r="F58" s="240"/>
      <c r="G58" s="124"/>
      <c r="H58" s="240"/>
      <c r="I58" s="240"/>
      <c r="J58" s="240"/>
      <c r="K58" s="240"/>
      <c r="L58" s="240"/>
      <c r="M58" s="240"/>
      <c r="N58" s="240"/>
      <c r="O58" s="240"/>
    </row>
    <row r="59" spans="1:15" ht="15.6">
      <c r="A59" s="240"/>
      <c r="B59" s="240"/>
      <c r="C59" s="240"/>
      <c r="D59" s="240"/>
      <c r="E59" s="240"/>
      <c r="F59" s="240"/>
      <c r="G59" s="124"/>
      <c r="H59" s="240"/>
      <c r="I59" s="240"/>
      <c r="J59" s="240"/>
      <c r="K59" s="240"/>
      <c r="L59" s="240"/>
      <c r="M59" s="240"/>
      <c r="N59" s="240"/>
      <c r="O59" s="240"/>
    </row>
    <row r="60" spans="1:15">
      <c r="G60" s="84"/>
    </row>
    <row r="61" spans="1:15">
      <c r="G61" s="82"/>
    </row>
    <row r="62" spans="1:15">
      <c r="G62" s="83"/>
    </row>
    <row r="63" spans="1:15">
      <c r="G63" s="83"/>
    </row>
    <row r="64" spans="1:15">
      <c r="G64" s="83"/>
    </row>
    <row r="65" spans="7:7">
      <c r="G65" s="83"/>
    </row>
    <row r="66" spans="7:7">
      <c r="G66" s="84"/>
    </row>
    <row r="67" spans="7:7">
      <c r="G67" s="82"/>
    </row>
    <row r="68" spans="7:7">
      <c r="G68" s="83"/>
    </row>
    <row r="69" spans="7:7">
      <c r="G69" s="83"/>
    </row>
    <row r="70" spans="7:7">
      <c r="G70" s="83"/>
    </row>
    <row r="71" spans="7:7">
      <c r="G71" s="83"/>
    </row>
    <row r="72" spans="7:7">
      <c r="G72" s="84"/>
    </row>
    <row r="73" spans="7:7">
      <c r="G73" s="82"/>
    </row>
    <row r="74" spans="7:7">
      <c r="G74" s="83"/>
    </row>
    <row r="75" spans="7:7">
      <c r="G75" s="83"/>
    </row>
    <row r="76" spans="7:7">
      <c r="G76" s="83"/>
    </row>
    <row r="77" spans="7:7">
      <c r="G77" s="83"/>
    </row>
  </sheetData>
  <mergeCells count="3">
    <mergeCell ref="A38:F38"/>
    <mergeCell ref="A20:B20"/>
    <mergeCell ref="A4:C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3F800-DFB1-4626-9056-D1663AA752EA}">
  <dimension ref="A1:P74"/>
  <sheetViews>
    <sheetView topLeftCell="A25" workbookViewId="0">
      <pane xSplit="1" topLeftCell="B1" activePane="topRight" state="frozen"/>
      <selection pane="topRight" activeCell="C32" sqref="C32"/>
    </sheetView>
  </sheetViews>
  <sheetFormatPr baseColWidth="10" defaultColWidth="8.88671875" defaultRowHeight="14.4"/>
  <cols>
    <col min="1" max="1" width="27.44140625" customWidth="1"/>
    <col min="2" max="2" width="15.6640625" customWidth="1"/>
    <col min="3" max="3" width="18.44140625" customWidth="1"/>
    <col min="4" max="4" width="20.44140625" customWidth="1"/>
    <col min="5" max="5" width="16.33203125" customWidth="1"/>
    <col min="6" max="6" width="18.44140625" customWidth="1"/>
    <col min="7" max="7" width="22" customWidth="1"/>
    <col min="8" max="9" width="18.33203125" customWidth="1"/>
    <col min="10" max="10" width="21.77734375" customWidth="1"/>
    <col min="11" max="11" width="23.109375" bestFit="1" customWidth="1"/>
    <col min="12" max="13" width="17.88671875" customWidth="1"/>
    <col min="14" max="14" width="13" customWidth="1"/>
  </cols>
  <sheetData>
    <row r="1" spans="1:16" ht="15.6">
      <c r="A1" s="311" t="s">
        <v>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15.6">
      <c r="A2" s="312" t="s">
        <v>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.6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ht="31.2">
      <c r="A4" s="335"/>
      <c r="B4" s="336" t="s">
        <v>81</v>
      </c>
      <c r="C4" s="336" t="s">
        <v>82</v>
      </c>
      <c r="D4" s="336" t="s">
        <v>83</v>
      </c>
      <c r="E4" s="336" t="s">
        <v>84</v>
      </c>
      <c r="F4" s="336" t="s">
        <v>85</v>
      </c>
      <c r="G4" s="336" t="s">
        <v>86</v>
      </c>
      <c r="H4" s="337" t="s">
        <v>87</v>
      </c>
      <c r="I4" s="240"/>
      <c r="J4" s="338" t="s">
        <v>466</v>
      </c>
      <c r="K4" s="240"/>
      <c r="L4" s="240"/>
      <c r="M4" s="240"/>
      <c r="N4" s="240"/>
      <c r="O4" s="240"/>
      <c r="P4" s="240"/>
    </row>
    <row r="5" spans="1:16" ht="15.6">
      <c r="A5" s="339" t="s">
        <v>88</v>
      </c>
      <c r="B5" s="189">
        <v>380</v>
      </c>
      <c r="C5" s="190">
        <v>349000</v>
      </c>
      <c r="D5" s="191">
        <f>B5/(E5*1000)</f>
        <v>1.2257313459131753</v>
      </c>
      <c r="E5" s="192">
        <f>(F5*G5*H5)</f>
        <v>0.31001899500000002</v>
      </c>
      <c r="F5" s="193">
        <v>1.111</v>
      </c>
      <c r="G5" s="193">
        <v>0.79500000000000004</v>
      </c>
      <c r="H5" s="194">
        <v>0.35099999999999998</v>
      </c>
      <c r="I5" s="240"/>
      <c r="J5" s="340" t="s">
        <v>467</v>
      </c>
      <c r="K5" s="240"/>
      <c r="L5" s="240"/>
      <c r="M5" s="240"/>
      <c r="N5" s="240"/>
      <c r="O5" s="240"/>
      <c r="P5" s="240"/>
    </row>
    <row r="6" spans="1:16" ht="15.6">
      <c r="A6" s="341" t="s">
        <v>458</v>
      </c>
      <c r="B6" s="158">
        <v>220</v>
      </c>
      <c r="C6" s="125"/>
      <c r="D6" s="125"/>
      <c r="E6" s="187">
        <f>(F6*G6*H6)</f>
        <v>0.29399999999999998</v>
      </c>
      <c r="F6" s="188">
        <v>0.6</v>
      </c>
      <c r="G6" s="188">
        <v>0.7</v>
      </c>
      <c r="H6" s="195">
        <v>0.7</v>
      </c>
      <c r="I6" s="240"/>
      <c r="J6" s="342" t="s">
        <v>468</v>
      </c>
      <c r="K6" s="240"/>
      <c r="L6" s="240"/>
      <c r="M6" s="240"/>
      <c r="N6" s="240"/>
      <c r="O6" s="240"/>
      <c r="P6" s="240"/>
    </row>
    <row r="7" spans="1:16" ht="15.6">
      <c r="A7" s="341" t="s">
        <v>89</v>
      </c>
      <c r="B7" s="158">
        <v>15</v>
      </c>
      <c r="C7" s="125"/>
      <c r="D7" s="125"/>
      <c r="E7" s="188">
        <f>F7*G7*H7</f>
        <v>1.6119884999999997E-2</v>
      </c>
      <c r="F7" s="187">
        <v>0.48899999999999999</v>
      </c>
      <c r="G7" s="187">
        <v>0.34699999999999998</v>
      </c>
      <c r="H7" s="106">
        <v>9.5000000000000001E-2</v>
      </c>
      <c r="I7" s="240"/>
      <c r="J7" s="240"/>
      <c r="K7" s="127"/>
      <c r="L7" s="240"/>
      <c r="M7" s="240"/>
      <c r="N7" s="240"/>
      <c r="O7" s="240"/>
      <c r="P7" s="240"/>
    </row>
    <row r="8" spans="1:16" ht="15.6">
      <c r="A8" s="341" t="s">
        <v>90</v>
      </c>
      <c r="B8" s="158">
        <v>10</v>
      </c>
      <c r="C8" s="125"/>
      <c r="D8" s="125"/>
      <c r="E8" s="125"/>
      <c r="F8" s="125"/>
      <c r="G8" s="125"/>
      <c r="H8" s="126"/>
      <c r="I8" s="240"/>
      <c r="J8" s="240"/>
      <c r="K8" s="111"/>
      <c r="L8" s="240"/>
      <c r="M8" s="240"/>
      <c r="N8" s="240"/>
      <c r="O8" s="240"/>
      <c r="P8" s="240"/>
    </row>
    <row r="9" spans="1:16" ht="15.6">
      <c r="A9" s="341" t="s">
        <v>91</v>
      </c>
      <c r="B9" s="158">
        <v>50</v>
      </c>
      <c r="C9" s="125"/>
      <c r="D9" s="125"/>
      <c r="E9" s="125"/>
      <c r="F9" s="125"/>
      <c r="G9" s="125"/>
      <c r="H9" s="126"/>
      <c r="I9" s="222"/>
      <c r="J9" s="343"/>
      <c r="K9" s="128"/>
      <c r="L9" s="240"/>
      <c r="M9" s="240"/>
      <c r="N9" s="240"/>
      <c r="O9" s="240"/>
      <c r="P9" s="240"/>
    </row>
    <row r="10" spans="1:16" ht="15.6">
      <c r="A10" s="341" t="s">
        <v>92</v>
      </c>
      <c r="B10" s="158">
        <v>40</v>
      </c>
      <c r="C10" s="196"/>
      <c r="D10" s="196"/>
      <c r="E10" s="125"/>
      <c r="F10" s="125"/>
      <c r="G10" s="125"/>
      <c r="H10" s="126"/>
      <c r="I10" s="222"/>
      <c r="J10" s="240"/>
      <c r="K10" s="129"/>
      <c r="L10" s="240"/>
      <c r="M10" s="240"/>
      <c r="N10" s="240"/>
      <c r="O10" s="240"/>
      <c r="P10" s="240"/>
    </row>
    <row r="11" spans="1:16" ht="15.6">
      <c r="A11" s="341" t="s">
        <v>93</v>
      </c>
      <c r="B11" s="158">
        <v>5</v>
      </c>
      <c r="C11" s="196"/>
      <c r="D11" s="196"/>
      <c r="E11" s="125"/>
      <c r="F11" s="125"/>
      <c r="G11" s="125"/>
      <c r="H11" s="126"/>
      <c r="I11" s="222"/>
      <c r="J11" s="344"/>
      <c r="K11" s="130"/>
      <c r="L11" s="240"/>
      <c r="M11" s="240"/>
      <c r="N11" s="240"/>
      <c r="O11" s="240"/>
      <c r="P11" s="240"/>
    </row>
    <row r="12" spans="1:16" ht="15.6">
      <c r="A12" s="341" t="s">
        <v>94</v>
      </c>
      <c r="B12" s="158">
        <v>2</v>
      </c>
      <c r="C12" s="196"/>
      <c r="D12" s="196"/>
      <c r="E12" s="125"/>
      <c r="F12" s="125"/>
      <c r="G12" s="125"/>
      <c r="H12" s="126"/>
      <c r="I12" s="240"/>
      <c r="J12" s="240"/>
      <c r="K12" s="240"/>
      <c r="L12" s="240"/>
      <c r="M12" s="240"/>
      <c r="N12" s="240"/>
      <c r="O12" s="240"/>
      <c r="P12" s="240"/>
    </row>
    <row r="13" spans="1:16" ht="15.6">
      <c r="A13" s="345" t="s">
        <v>95</v>
      </c>
      <c r="B13" s="159">
        <v>1</v>
      </c>
      <c r="C13" s="161"/>
      <c r="D13" s="161"/>
      <c r="E13" s="131"/>
      <c r="F13" s="131"/>
      <c r="G13" s="131"/>
      <c r="H13" s="162"/>
      <c r="I13" s="240"/>
      <c r="J13" s="344"/>
      <c r="K13" s="240"/>
      <c r="L13" s="240"/>
      <c r="M13" s="240"/>
      <c r="N13" s="240"/>
      <c r="O13" s="240"/>
      <c r="P13" s="240"/>
    </row>
    <row r="14" spans="1:16" ht="15.6">
      <c r="A14" s="346" t="s">
        <v>96</v>
      </c>
      <c r="B14" s="197">
        <f>SUM(B6:B13)</f>
        <v>343</v>
      </c>
      <c r="C14" s="160">
        <v>749000</v>
      </c>
      <c r="D14" s="160"/>
      <c r="E14" s="164">
        <f>E6+E7</f>
        <v>0.31011988499999998</v>
      </c>
      <c r="F14" s="163">
        <f>F6+F7</f>
        <v>1.089</v>
      </c>
      <c r="G14" s="163">
        <f t="shared" ref="G14:H14" si="0">G6+G7</f>
        <v>1.0469999999999999</v>
      </c>
      <c r="H14" s="165">
        <f t="shared" si="0"/>
        <v>0.79499999999999993</v>
      </c>
      <c r="I14" s="240"/>
      <c r="J14" s="240"/>
      <c r="K14" s="240"/>
      <c r="L14" s="240"/>
      <c r="M14" s="240"/>
      <c r="N14" s="240"/>
      <c r="O14" s="240"/>
      <c r="P14" s="240"/>
    </row>
    <row r="15" spans="1:16" ht="15.6">
      <c r="A15" s="347"/>
      <c r="B15" s="240"/>
      <c r="C15" s="343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</row>
    <row r="16" spans="1:16" ht="15.9" customHeight="1">
      <c r="A16" s="240"/>
      <c r="B16" s="347"/>
      <c r="C16" s="347"/>
      <c r="D16" s="347"/>
      <c r="E16" s="347"/>
      <c r="F16" s="347"/>
      <c r="G16" s="347"/>
      <c r="H16" s="240"/>
      <c r="I16" s="240"/>
      <c r="J16" s="240"/>
      <c r="K16" s="240"/>
      <c r="L16" s="240"/>
      <c r="M16" s="240"/>
      <c r="N16" s="240"/>
      <c r="O16" s="240"/>
      <c r="P16" s="240"/>
    </row>
    <row r="17" spans="1:16" ht="33" customHeight="1">
      <c r="A17" s="348"/>
      <c r="B17" s="349" t="s">
        <v>35</v>
      </c>
      <c r="C17" s="350" t="s">
        <v>97</v>
      </c>
      <c r="D17" s="350" t="s">
        <v>98</v>
      </c>
      <c r="E17" s="350" t="s">
        <v>99</v>
      </c>
      <c r="F17" s="350" t="s">
        <v>100</v>
      </c>
      <c r="G17" s="350" t="s">
        <v>101</v>
      </c>
      <c r="H17" s="351" t="s">
        <v>102</v>
      </c>
      <c r="I17" s="350" t="s">
        <v>103</v>
      </c>
      <c r="J17" s="352" t="s">
        <v>104</v>
      </c>
      <c r="K17" s="353" t="s">
        <v>105</v>
      </c>
      <c r="L17" s="350" t="s">
        <v>106</v>
      </c>
      <c r="M17" s="354" t="s">
        <v>107</v>
      </c>
      <c r="N17" s="166" t="s">
        <v>108</v>
      </c>
      <c r="O17" s="240"/>
      <c r="P17" s="240"/>
    </row>
    <row r="18" spans="1:16" ht="15.6">
      <c r="A18" s="355" t="s">
        <v>109</v>
      </c>
      <c r="B18" s="167">
        <v>12</v>
      </c>
      <c r="C18" s="168">
        <v>11.2</v>
      </c>
      <c r="D18" s="168">
        <v>11.2</v>
      </c>
      <c r="E18" s="168">
        <v>10.3</v>
      </c>
      <c r="F18" s="168">
        <v>9</v>
      </c>
      <c r="G18" s="168">
        <v>9</v>
      </c>
      <c r="H18" s="169">
        <v>9.6999999999999993</v>
      </c>
      <c r="I18" s="170">
        <v>7.99</v>
      </c>
      <c r="J18" s="171">
        <v>7.99</v>
      </c>
      <c r="K18" s="170">
        <v>9.8000000000000007</v>
      </c>
      <c r="L18" s="170"/>
      <c r="M18" s="172">
        <v>14.99</v>
      </c>
      <c r="N18" s="173"/>
      <c r="O18" s="240"/>
      <c r="P18" s="240"/>
    </row>
    <row r="19" spans="1:16" ht="15.6">
      <c r="A19" s="356" t="s">
        <v>110</v>
      </c>
      <c r="B19" s="132">
        <v>40</v>
      </c>
      <c r="C19" s="133">
        <v>37</v>
      </c>
      <c r="D19" s="133">
        <v>37</v>
      </c>
      <c r="E19" s="133">
        <v>33</v>
      </c>
      <c r="F19" s="133">
        <v>30</v>
      </c>
      <c r="G19" s="133">
        <v>30</v>
      </c>
      <c r="H19" s="134">
        <v>32.299999999999997</v>
      </c>
      <c r="I19" s="135">
        <f>I18*3.3</f>
        <v>26.367000000000001</v>
      </c>
      <c r="J19" s="136">
        <f>J18*3.3</f>
        <v>26.367000000000001</v>
      </c>
      <c r="K19" s="135">
        <v>32.67</v>
      </c>
      <c r="L19" s="135"/>
      <c r="M19" s="137">
        <f>M18*3.3</f>
        <v>49.466999999999999</v>
      </c>
      <c r="N19" s="138"/>
      <c r="O19" s="240"/>
      <c r="P19" s="240"/>
    </row>
    <row r="20" spans="1:16" ht="15.6">
      <c r="A20" s="356" t="s">
        <v>111</v>
      </c>
      <c r="B20" s="132">
        <v>3</v>
      </c>
      <c r="C20" s="133">
        <v>3.3</v>
      </c>
      <c r="D20" s="133">
        <v>3.3</v>
      </c>
      <c r="E20" s="133">
        <v>3.3</v>
      </c>
      <c r="F20" s="133">
        <v>3.3</v>
      </c>
      <c r="G20" s="133">
        <v>3.3</v>
      </c>
      <c r="H20" s="134">
        <v>3.1</v>
      </c>
      <c r="I20" s="135"/>
      <c r="J20" s="136">
        <v>3.6</v>
      </c>
      <c r="K20" s="135"/>
      <c r="L20" s="135"/>
      <c r="M20" s="137">
        <v>8.5</v>
      </c>
      <c r="N20" s="138"/>
      <c r="O20" s="240"/>
      <c r="P20" s="240"/>
    </row>
    <row r="21" spans="1:16" ht="15.6">
      <c r="A21" s="356" t="s">
        <v>459</v>
      </c>
      <c r="B21" s="132">
        <v>12</v>
      </c>
      <c r="C21" s="133">
        <v>12</v>
      </c>
      <c r="D21" s="133">
        <v>12</v>
      </c>
      <c r="E21" s="139" t="s">
        <v>112</v>
      </c>
      <c r="F21" s="139" t="s">
        <v>113</v>
      </c>
      <c r="G21" s="133" t="s">
        <v>112</v>
      </c>
      <c r="H21" s="134">
        <v>12</v>
      </c>
      <c r="I21" s="135"/>
      <c r="J21" s="136">
        <v>6</v>
      </c>
      <c r="K21" s="135"/>
      <c r="L21" s="135"/>
      <c r="M21" s="137"/>
      <c r="N21" s="138"/>
      <c r="O21" s="240"/>
      <c r="P21" s="240"/>
    </row>
    <row r="22" spans="1:16" ht="15.6">
      <c r="A22" s="356"/>
      <c r="B22" s="132"/>
      <c r="C22" s="133"/>
      <c r="D22" s="133"/>
      <c r="E22" s="133"/>
      <c r="F22" s="133"/>
      <c r="G22" s="133"/>
      <c r="H22" s="134"/>
      <c r="I22" s="135"/>
      <c r="J22" s="136"/>
      <c r="K22" s="135"/>
      <c r="L22" s="135"/>
      <c r="M22" s="137"/>
      <c r="N22" s="138"/>
      <c r="O22" s="240"/>
      <c r="P22" s="240"/>
    </row>
    <row r="23" spans="1:16" ht="46.8">
      <c r="A23" s="239" t="s">
        <v>462</v>
      </c>
      <c r="B23" s="132">
        <v>1</v>
      </c>
      <c r="C23" s="133">
        <v>1</v>
      </c>
      <c r="D23" s="133">
        <v>1</v>
      </c>
      <c r="E23" s="133">
        <v>1</v>
      </c>
      <c r="F23" s="133">
        <v>1</v>
      </c>
      <c r="G23" s="133">
        <v>1</v>
      </c>
      <c r="H23" s="134"/>
      <c r="I23" s="135"/>
      <c r="J23" s="136"/>
      <c r="K23" s="135"/>
      <c r="L23" s="135"/>
      <c r="M23" s="137"/>
      <c r="N23" s="138"/>
      <c r="O23" s="240"/>
      <c r="P23" s="240"/>
    </row>
    <row r="24" spans="1:16" ht="31.2">
      <c r="A24" s="239" t="s">
        <v>463</v>
      </c>
      <c r="B24" s="132">
        <v>2</v>
      </c>
      <c r="C24" s="133">
        <v>2</v>
      </c>
      <c r="D24" s="133">
        <v>2</v>
      </c>
      <c r="E24" s="133">
        <v>2</v>
      </c>
      <c r="F24" s="133"/>
      <c r="G24" s="133"/>
      <c r="H24" s="134"/>
      <c r="I24" s="135"/>
      <c r="J24" s="136"/>
      <c r="K24" s="135"/>
      <c r="L24" s="135"/>
      <c r="M24" s="137"/>
      <c r="N24" s="138"/>
      <c r="O24" s="240"/>
      <c r="P24" s="240"/>
    </row>
    <row r="25" spans="1:16" ht="31.2">
      <c r="A25" s="356" t="s">
        <v>460</v>
      </c>
      <c r="B25" s="140" t="s">
        <v>114</v>
      </c>
      <c r="C25" s="141" t="s">
        <v>114</v>
      </c>
      <c r="D25" s="141" t="s">
        <v>114</v>
      </c>
      <c r="E25" s="141" t="s">
        <v>114</v>
      </c>
      <c r="F25" s="141" t="s">
        <v>114</v>
      </c>
      <c r="G25" s="141" t="s">
        <v>114</v>
      </c>
      <c r="H25" s="134" t="s">
        <v>115</v>
      </c>
      <c r="I25" s="135" t="s">
        <v>116</v>
      </c>
      <c r="J25" s="136" t="s">
        <v>116</v>
      </c>
      <c r="K25" s="135"/>
      <c r="L25" s="135"/>
      <c r="M25" s="137"/>
      <c r="N25" s="138" t="s">
        <v>117</v>
      </c>
      <c r="O25" s="240"/>
      <c r="P25" s="240"/>
    </row>
    <row r="26" spans="1:16" ht="31.2">
      <c r="A26" s="239" t="s">
        <v>461</v>
      </c>
      <c r="B26" s="140">
        <v>4</v>
      </c>
      <c r="C26" s="141">
        <v>2</v>
      </c>
      <c r="D26" s="141">
        <v>2</v>
      </c>
      <c r="E26" s="141">
        <v>2</v>
      </c>
      <c r="F26" s="141">
        <v>2</v>
      </c>
      <c r="G26" s="141">
        <v>2</v>
      </c>
      <c r="H26" s="134"/>
      <c r="I26" s="135"/>
      <c r="J26" s="136"/>
      <c r="K26" s="135"/>
      <c r="L26" s="135"/>
      <c r="M26" s="137"/>
      <c r="N26" s="138"/>
      <c r="O26" s="240"/>
      <c r="P26" s="240"/>
    </row>
    <row r="27" spans="1:16" ht="31.2">
      <c r="A27" s="239" t="s">
        <v>464</v>
      </c>
      <c r="B27" s="132">
        <v>12</v>
      </c>
      <c r="C27" s="133">
        <v>8</v>
      </c>
      <c r="D27" s="133">
        <v>6</v>
      </c>
      <c r="E27" s="133">
        <v>6</v>
      </c>
      <c r="F27" s="133">
        <v>4</v>
      </c>
      <c r="G27" s="133">
        <v>4</v>
      </c>
      <c r="H27" s="134"/>
      <c r="I27" s="135"/>
      <c r="J27" s="136"/>
      <c r="K27" s="135"/>
      <c r="L27" s="135"/>
      <c r="M27" s="137"/>
      <c r="N27" s="138"/>
      <c r="O27" s="240"/>
      <c r="P27" s="240"/>
    </row>
    <row r="28" spans="1:16" ht="31.2">
      <c r="A28" s="239" t="s">
        <v>118</v>
      </c>
      <c r="B28" s="132" t="s">
        <v>119</v>
      </c>
      <c r="C28" s="133" t="s">
        <v>120</v>
      </c>
      <c r="D28" s="133" t="s">
        <v>120</v>
      </c>
      <c r="E28" s="133" t="s">
        <v>120</v>
      </c>
      <c r="F28" s="133" t="s">
        <v>120</v>
      </c>
      <c r="G28" s="133" t="s">
        <v>120</v>
      </c>
      <c r="H28" s="134">
        <v>40</v>
      </c>
      <c r="I28" s="135"/>
      <c r="J28" s="136"/>
      <c r="K28" s="135"/>
      <c r="L28" s="135">
        <v>25</v>
      </c>
      <c r="M28" s="137"/>
      <c r="N28" s="138"/>
      <c r="O28" s="240"/>
      <c r="P28" s="240"/>
    </row>
    <row r="29" spans="1:16" ht="15.6">
      <c r="A29" s="356" t="s">
        <v>465</v>
      </c>
      <c r="B29" s="132" t="s">
        <v>121</v>
      </c>
      <c r="C29" s="142" t="s">
        <v>122</v>
      </c>
      <c r="D29" s="133" t="s">
        <v>123</v>
      </c>
      <c r="E29" s="142" t="s">
        <v>124</v>
      </c>
      <c r="F29" s="133" t="s">
        <v>125</v>
      </c>
      <c r="G29" s="133" t="s">
        <v>125</v>
      </c>
      <c r="H29" s="134">
        <v>25</v>
      </c>
      <c r="I29" s="135"/>
      <c r="J29" s="136"/>
      <c r="K29" s="135"/>
      <c r="L29" s="133" t="s">
        <v>126</v>
      </c>
      <c r="M29" s="143"/>
      <c r="N29" s="138"/>
      <c r="O29" s="240"/>
      <c r="P29" s="240"/>
    </row>
    <row r="30" spans="1:16" ht="15.6">
      <c r="A30" s="357"/>
      <c r="B30" s="144"/>
      <c r="C30" s="145"/>
      <c r="D30" s="145"/>
      <c r="E30" s="145"/>
      <c r="F30" s="145"/>
      <c r="G30" s="145"/>
      <c r="H30" s="146"/>
      <c r="I30" s="145"/>
      <c r="J30" s="147"/>
      <c r="K30" s="145"/>
      <c r="L30" s="145"/>
      <c r="M30" s="148"/>
      <c r="N30" s="149"/>
      <c r="O30" s="240"/>
      <c r="P30" s="240"/>
    </row>
    <row r="31" spans="1:16" ht="15.6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</row>
    <row r="32" spans="1:16" ht="15.6">
      <c r="A32" s="240" t="s">
        <v>469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</row>
    <row r="33" spans="1:16" ht="15.6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</row>
    <row r="34" spans="1:16" ht="15.6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</row>
    <row r="35" spans="1:16" ht="15.6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</row>
    <row r="36" spans="1:16" ht="15.6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</row>
    <row r="37" spans="1:16" ht="15.6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</row>
    <row r="38" spans="1:16" ht="15.6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</row>
    <row r="39" spans="1:16" ht="15.6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</row>
    <row r="40" spans="1:16" ht="15.6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</row>
    <row r="41" spans="1:16" ht="15.6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</row>
    <row r="42" spans="1:16" ht="15.6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</row>
    <row r="43" spans="1:16" ht="15.6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</row>
    <row r="44" spans="1:16" ht="15.6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</row>
    <row r="45" spans="1:16" ht="15.6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</row>
    <row r="46" spans="1:16" ht="15.6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</row>
    <row r="47" spans="1:16" ht="15.6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6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6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</row>
    <row r="50" spans="1:16" ht="15.6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6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</row>
    <row r="52" spans="1:16" ht="15.6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</row>
    <row r="53" spans="1:16" ht="15.6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</row>
    <row r="54" spans="1:16" ht="15.6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</row>
    <row r="55" spans="1:16" ht="15.6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</row>
    <row r="56" spans="1:16" ht="15.6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</row>
    <row r="57" spans="1:16" ht="15.6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</row>
    <row r="58" spans="1:16" ht="15.6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</row>
    <row r="59" spans="1:16" ht="15.6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</row>
    <row r="60" spans="1:16" ht="15.6">
      <c r="A60" s="240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</row>
    <row r="61" spans="1:16" ht="15.6">
      <c r="A61" s="240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</row>
    <row r="62" spans="1:16" ht="15.6">
      <c r="A62" s="240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</row>
    <row r="63" spans="1:16" ht="15.6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</row>
    <row r="64" spans="1:16" ht="15.6">
      <c r="A64" s="240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</row>
    <row r="65" spans="1:16" ht="15.6">
      <c r="A65" s="240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</row>
    <row r="66" spans="1:16" ht="15.6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</row>
    <row r="67" spans="1:16" ht="15.6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</row>
    <row r="68" spans="1:16" ht="15.6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</row>
    <row r="69" spans="1:16" ht="15.6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</row>
    <row r="70" spans="1:16" ht="15.6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</row>
    <row r="71" spans="1:16" ht="15.6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</row>
    <row r="72" spans="1:16" ht="15.6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</row>
    <row r="73" spans="1:16" ht="15.6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</row>
    <row r="74" spans="1:16" ht="15.6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6C623-862E-4097-9C95-4922EBCB6EC7}">
  <dimension ref="A1:S87"/>
  <sheetViews>
    <sheetView topLeftCell="A10" zoomScale="80" zoomScaleNormal="80" workbookViewId="0">
      <selection activeCell="E69" sqref="E69"/>
    </sheetView>
  </sheetViews>
  <sheetFormatPr baseColWidth="10" defaultColWidth="8.88671875" defaultRowHeight="14.4"/>
  <cols>
    <col min="1" max="1" width="17.44140625" bestFit="1" customWidth="1"/>
    <col min="3" max="3" width="30.109375" bestFit="1" customWidth="1"/>
    <col min="4" max="4" width="16" customWidth="1"/>
    <col min="5" max="5" width="18.33203125" bestFit="1" customWidth="1"/>
    <col min="6" max="6" width="26.33203125" bestFit="1" customWidth="1"/>
    <col min="7" max="7" width="18.6640625" bestFit="1" customWidth="1"/>
    <col min="8" max="8" width="16.44140625" customWidth="1"/>
    <col min="9" max="9" width="16.88671875" customWidth="1"/>
    <col min="10" max="10" width="38.6640625" customWidth="1"/>
    <col min="11" max="11" width="12.6640625" customWidth="1"/>
    <col min="12" max="12" width="21.33203125" customWidth="1"/>
    <col min="13" max="13" width="18.33203125" customWidth="1"/>
    <col min="14" max="14" width="16.6640625" customWidth="1"/>
    <col min="15" max="15" width="19.33203125" customWidth="1"/>
    <col min="16" max="16" width="12.88671875" bestFit="1" customWidth="1"/>
    <col min="17" max="17" width="19.88671875" customWidth="1"/>
    <col min="18" max="18" width="18.6640625" customWidth="1"/>
  </cols>
  <sheetData>
    <row r="1" spans="1:19" ht="15.6">
      <c r="A1" s="16" t="s">
        <v>45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15.6">
      <c r="A2" s="18" t="s">
        <v>47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5.6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15.6">
      <c r="A4" s="797" t="s">
        <v>473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60"/>
    </row>
    <row r="5" spans="1:19" ht="50.1" customHeight="1">
      <c r="A5" s="798"/>
      <c r="B5" s="358"/>
      <c r="C5" s="361"/>
      <c r="D5" s="362" t="s">
        <v>85</v>
      </c>
      <c r="E5" s="362" t="s">
        <v>470</v>
      </c>
      <c r="F5" s="362" t="s">
        <v>127</v>
      </c>
      <c r="G5" s="363" t="s">
        <v>459</v>
      </c>
      <c r="H5" s="364" t="s">
        <v>26</v>
      </c>
      <c r="I5" s="358"/>
      <c r="J5" s="800" t="s">
        <v>128</v>
      </c>
      <c r="K5" s="802"/>
      <c r="L5" s="358"/>
      <c r="M5" s="358"/>
      <c r="N5" s="358"/>
      <c r="O5" s="358"/>
      <c r="P5" s="358"/>
      <c r="Q5" s="358"/>
      <c r="R5" s="358"/>
      <c r="S5" s="365"/>
    </row>
    <row r="6" spans="1:19" ht="31.2">
      <c r="A6" s="798"/>
      <c r="B6" s="366" t="s">
        <v>129</v>
      </c>
      <c r="C6" s="174" t="s">
        <v>35</v>
      </c>
      <c r="D6" s="367">
        <v>12</v>
      </c>
      <c r="E6" s="367">
        <v>40</v>
      </c>
      <c r="F6" s="367">
        <v>3</v>
      </c>
      <c r="G6" s="368">
        <v>12</v>
      </c>
      <c r="H6" s="151">
        <f>K7/K6</f>
        <v>17.2</v>
      </c>
      <c r="I6" s="358"/>
      <c r="J6" s="37" t="s">
        <v>130</v>
      </c>
      <c r="K6" s="369">
        <v>25</v>
      </c>
      <c r="L6" s="358"/>
      <c r="M6" s="358"/>
      <c r="N6" s="358"/>
      <c r="O6" s="358"/>
      <c r="P6" s="358"/>
      <c r="Q6" s="358"/>
      <c r="R6" s="358"/>
      <c r="S6" s="365"/>
    </row>
    <row r="7" spans="1:19" ht="31.2">
      <c r="A7" s="798"/>
      <c r="B7" s="366" t="s">
        <v>129</v>
      </c>
      <c r="C7" s="358"/>
      <c r="D7" s="358"/>
      <c r="E7" s="358"/>
      <c r="F7" s="358"/>
      <c r="G7" s="358"/>
      <c r="H7" s="358"/>
      <c r="I7" s="358"/>
      <c r="J7" s="37" t="s">
        <v>471</v>
      </c>
      <c r="K7" s="369">
        <v>430</v>
      </c>
      <c r="L7" s="358"/>
      <c r="M7" s="358"/>
      <c r="N7" s="358"/>
      <c r="O7" s="358"/>
      <c r="P7" s="358"/>
      <c r="Q7" s="358"/>
      <c r="R7" s="358"/>
      <c r="S7" s="365"/>
    </row>
    <row r="8" spans="1:19" ht="31.2">
      <c r="A8" s="798"/>
      <c r="B8" s="366" t="s">
        <v>129</v>
      </c>
      <c r="C8" s="809" t="s">
        <v>131</v>
      </c>
      <c r="D8" s="810"/>
      <c r="E8" s="810"/>
      <c r="F8" s="811"/>
      <c r="G8" s="358"/>
      <c r="H8" s="358"/>
      <c r="I8" s="358"/>
      <c r="J8" s="370" t="s">
        <v>472</v>
      </c>
      <c r="K8" s="371">
        <f>K6*H6</f>
        <v>430</v>
      </c>
      <c r="L8" s="358"/>
      <c r="M8" s="358"/>
      <c r="N8" s="358"/>
      <c r="O8" s="358"/>
      <c r="P8" s="358"/>
      <c r="Q8" s="358"/>
      <c r="R8" s="358"/>
      <c r="S8" s="365"/>
    </row>
    <row r="9" spans="1:19" ht="33" customHeight="1">
      <c r="A9" s="798"/>
      <c r="B9" s="358"/>
      <c r="C9" s="372" t="s">
        <v>0</v>
      </c>
      <c r="D9" s="373">
        <v>63</v>
      </c>
      <c r="E9" s="373">
        <v>126</v>
      </c>
      <c r="F9" s="374">
        <v>252</v>
      </c>
      <c r="G9" s="358"/>
      <c r="H9" s="358"/>
      <c r="I9" s="358"/>
      <c r="J9" s="35" t="s">
        <v>132</v>
      </c>
      <c r="K9" s="375">
        <f>D40/H6</f>
        <v>25</v>
      </c>
      <c r="L9" s="358"/>
      <c r="M9" s="358"/>
      <c r="N9" s="358"/>
      <c r="O9" s="358"/>
      <c r="P9" s="358"/>
      <c r="Q9" s="358"/>
      <c r="R9" s="358"/>
      <c r="S9" s="365"/>
    </row>
    <row r="10" spans="1:19" ht="31.2">
      <c r="A10" s="798"/>
      <c r="B10" s="366" t="s">
        <v>129</v>
      </c>
      <c r="C10" s="37" t="s">
        <v>1</v>
      </c>
      <c r="D10" s="306">
        <v>70</v>
      </c>
      <c r="E10" s="306">
        <f>D10</f>
        <v>70</v>
      </c>
      <c r="F10" s="369">
        <f>D10</f>
        <v>70</v>
      </c>
      <c r="G10" s="358"/>
      <c r="H10" s="358"/>
      <c r="I10" s="358"/>
      <c r="L10" s="358"/>
      <c r="M10" s="358"/>
      <c r="N10" s="358"/>
      <c r="O10" s="358"/>
      <c r="P10" s="358"/>
      <c r="Q10" s="358"/>
      <c r="R10" s="358"/>
      <c r="S10" s="365"/>
    </row>
    <row r="11" spans="1:19" ht="31.2">
      <c r="A11" s="798"/>
      <c r="B11" s="366" t="s">
        <v>129</v>
      </c>
      <c r="C11" s="376" t="s">
        <v>2</v>
      </c>
      <c r="D11" s="377">
        <v>50</v>
      </c>
      <c r="E11" s="377">
        <v>101</v>
      </c>
      <c r="F11" s="378">
        <v>202</v>
      </c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65"/>
    </row>
    <row r="12" spans="1:19" ht="31.2">
      <c r="A12" s="798"/>
      <c r="B12" s="366" t="s">
        <v>129</v>
      </c>
      <c r="C12" s="358"/>
      <c r="D12" s="358"/>
      <c r="E12" s="358"/>
      <c r="F12" s="358"/>
      <c r="G12" s="358"/>
      <c r="H12" s="358"/>
      <c r="I12" s="358"/>
      <c r="J12" s="358"/>
      <c r="K12" s="379"/>
      <c r="L12" s="91"/>
      <c r="M12" s="358"/>
      <c r="N12" s="358"/>
      <c r="O12" s="358"/>
      <c r="P12" s="358"/>
      <c r="Q12" s="358"/>
      <c r="R12" s="358"/>
      <c r="S12" s="365"/>
    </row>
    <row r="13" spans="1:19" ht="31.2">
      <c r="A13" s="798"/>
      <c r="B13" s="366" t="s">
        <v>129</v>
      </c>
      <c r="C13" s="812" t="s">
        <v>133</v>
      </c>
      <c r="D13" s="813"/>
      <c r="E13" s="813"/>
      <c r="F13" s="813"/>
      <c r="G13" s="813"/>
      <c r="H13" s="813"/>
      <c r="I13" s="813"/>
      <c r="J13" s="814"/>
      <c r="K13" s="379"/>
      <c r="L13" s="358"/>
      <c r="M13" s="358"/>
      <c r="N13" s="358"/>
      <c r="O13" s="358"/>
      <c r="P13" s="358"/>
      <c r="Q13" s="358"/>
      <c r="R13" s="358"/>
      <c r="S13" s="365"/>
    </row>
    <row r="14" spans="1:19" ht="62.4">
      <c r="A14" s="798"/>
      <c r="B14" s="358"/>
      <c r="C14" s="380"/>
      <c r="D14" s="381" t="s">
        <v>134</v>
      </c>
      <c r="E14" s="381" t="s">
        <v>81</v>
      </c>
      <c r="F14" s="382" t="s">
        <v>135</v>
      </c>
      <c r="G14" s="381" t="s">
        <v>81</v>
      </c>
      <c r="H14" s="381" t="s">
        <v>136</v>
      </c>
      <c r="I14" s="383" t="s">
        <v>137</v>
      </c>
      <c r="J14" s="384" t="s">
        <v>138</v>
      </c>
      <c r="K14" s="358"/>
      <c r="L14" s="358"/>
      <c r="M14" s="358"/>
      <c r="N14" s="358"/>
      <c r="O14" s="358"/>
      <c r="P14" s="358"/>
      <c r="Q14" s="358"/>
      <c r="R14" s="358"/>
      <c r="S14" s="365"/>
    </row>
    <row r="15" spans="1:19" ht="31.2">
      <c r="A15" s="798"/>
      <c r="B15" s="366" t="s">
        <v>129</v>
      </c>
      <c r="C15" s="385" t="s">
        <v>139</v>
      </c>
      <c r="D15" s="304">
        <v>63</v>
      </c>
      <c r="E15" s="304">
        <v>400</v>
      </c>
      <c r="F15" s="304">
        <v>8</v>
      </c>
      <c r="G15" s="304">
        <f>E15*F15</f>
        <v>3200</v>
      </c>
      <c r="H15" s="29">
        <f>D15*F15</f>
        <v>504</v>
      </c>
      <c r="I15" s="29">
        <f>H15*(D10/100)</f>
        <v>352.79999999999995</v>
      </c>
      <c r="J15" s="386">
        <f>I15/H6</f>
        <v>20.511627906976742</v>
      </c>
      <c r="K15" s="358"/>
      <c r="L15" s="358"/>
      <c r="M15" s="358"/>
      <c r="N15" s="358"/>
      <c r="O15" s="358"/>
      <c r="P15" s="358"/>
      <c r="Q15" s="358"/>
      <c r="R15" s="358"/>
      <c r="S15" s="365"/>
    </row>
    <row r="16" spans="1:19" ht="31.2">
      <c r="A16" s="798"/>
      <c r="B16" s="366" t="s">
        <v>129</v>
      </c>
      <c r="C16" s="37" t="s">
        <v>140</v>
      </c>
      <c r="D16" s="387"/>
      <c r="E16" s="306">
        <v>343</v>
      </c>
      <c r="F16" s="306">
        <v>2</v>
      </c>
      <c r="G16" s="306">
        <f>E16*F16</f>
        <v>686</v>
      </c>
      <c r="H16" s="387"/>
      <c r="I16" s="387"/>
      <c r="J16" s="388"/>
      <c r="K16" s="358"/>
      <c r="L16" s="358"/>
      <c r="M16" s="358"/>
      <c r="N16" s="358"/>
      <c r="O16" s="358"/>
      <c r="P16" s="358"/>
      <c r="Q16" s="358"/>
      <c r="R16" s="358"/>
      <c r="S16" s="365"/>
    </row>
    <row r="17" spans="1:19" ht="31.8" thickBot="1">
      <c r="A17" s="798"/>
      <c r="B17" s="366" t="s">
        <v>129</v>
      </c>
      <c r="C17" s="389" t="s">
        <v>141</v>
      </c>
      <c r="D17" s="390"/>
      <c r="E17" s="390"/>
      <c r="F17" s="390"/>
      <c r="G17" s="391">
        <f>G15+G16</f>
        <v>3886</v>
      </c>
      <c r="H17" s="390"/>
      <c r="I17" s="392"/>
      <c r="J17" s="393"/>
      <c r="K17" s="358"/>
      <c r="L17" s="223"/>
      <c r="M17" s="92"/>
      <c r="N17" s="358"/>
      <c r="O17" s="358"/>
      <c r="P17" s="358"/>
      <c r="Q17" s="358"/>
      <c r="R17" s="358"/>
      <c r="S17" s="365"/>
    </row>
    <row r="18" spans="1:19" ht="32.4" thickTop="1" thickBot="1">
      <c r="A18" s="799"/>
      <c r="B18" s="394" t="s">
        <v>129</v>
      </c>
      <c r="C18" s="395"/>
      <c r="D18" s="395"/>
      <c r="E18" s="395"/>
      <c r="F18" s="395"/>
      <c r="G18" s="395"/>
      <c r="H18" s="395"/>
      <c r="I18" s="396"/>
      <c r="J18" s="396"/>
      <c r="K18" s="396"/>
      <c r="L18" s="397"/>
      <c r="M18" s="93"/>
      <c r="N18" s="396"/>
      <c r="O18" s="396"/>
      <c r="P18" s="396"/>
      <c r="Q18" s="396"/>
      <c r="R18" s="396"/>
      <c r="S18" s="398"/>
    </row>
    <row r="19" spans="1:19" ht="27" customHeight="1" thickTop="1" thickBot="1">
      <c r="A19" s="798" t="s">
        <v>475</v>
      </c>
      <c r="B19" s="366" t="s">
        <v>142</v>
      </c>
      <c r="C19" s="358"/>
      <c r="D19" s="358"/>
      <c r="E19" s="366" t="s">
        <v>129</v>
      </c>
      <c r="F19" s="358"/>
      <c r="G19" s="358"/>
      <c r="H19" s="358"/>
      <c r="I19" s="358"/>
      <c r="J19" s="358"/>
      <c r="K19" s="223"/>
      <c r="L19" s="91"/>
      <c r="M19" s="358"/>
      <c r="N19" s="358"/>
      <c r="O19" s="366" t="s">
        <v>129</v>
      </c>
      <c r="P19" s="358"/>
      <c r="Q19" s="358"/>
      <c r="R19" s="358"/>
      <c r="S19" s="365"/>
    </row>
    <row r="20" spans="1:19" ht="31.2">
      <c r="A20" s="798"/>
      <c r="B20" s="366" t="s">
        <v>129</v>
      </c>
      <c r="C20" s="807" t="s">
        <v>143</v>
      </c>
      <c r="D20" s="808"/>
      <c r="E20" s="358"/>
      <c r="F20" s="807" t="s">
        <v>144</v>
      </c>
      <c r="G20" s="808"/>
      <c r="H20" s="358"/>
      <c r="I20" s="358"/>
      <c r="J20" s="800" t="s">
        <v>145</v>
      </c>
      <c r="K20" s="801"/>
      <c r="L20" s="801"/>
      <c r="M20" s="802"/>
      <c r="N20" s="358"/>
      <c r="O20" s="358"/>
      <c r="P20" s="358"/>
      <c r="Q20" s="358"/>
      <c r="R20" s="358"/>
      <c r="S20" s="365"/>
    </row>
    <row r="21" spans="1:19" ht="32.4" thickTop="1" thickBot="1">
      <c r="A21" s="798"/>
      <c r="B21" s="358"/>
      <c r="C21" s="399" t="s">
        <v>146</v>
      </c>
      <c r="D21" s="400">
        <v>791</v>
      </c>
      <c r="E21" s="358"/>
      <c r="F21" s="401" t="s">
        <v>146</v>
      </c>
      <c r="G21" s="150">
        <v>999.87</v>
      </c>
      <c r="H21" s="152"/>
      <c r="I21" s="358"/>
      <c r="J21" s="402"/>
      <c r="K21" s="403" t="s">
        <v>81</v>
      </c>
      <c r="L21" s="403" t="s">
        <v>147</v>
      </c>
      <c r="M21" s="404" t="s">
        <v>148</v>
      </c>
      <c r="N21" s="358"/>
      <c r="O21" s="358"/>
      <c r="P21" s="358"/>
      <c r="Q21" s="358"/>
      <c r="R21" s="358"/>
      <c r="S21" s="365"/>
    </row>
    <row r="22" spans="1:19" ht="31.2">
      <c r="A22" s="798"/>
      <c r="B22" s="358"/>
      <c r="C22" s="399" t="s">
        <v>149</v>
      </c>
      <c r="D22" s="386">
        <f>D21/1000</f>
        <v>0.79100000000000004</v>
      </c>
      <c r="E22" s="358"/>
      <c r="F22" s="35" t="s">
        <v>150</v>
      </c>
      <c r="G22" s="153">
        <f>G21/1000</f>
        <v>0.99987000000000004</v>
      </c>
      <c r="H22" s="358"/>
      <c r="I22" s="358"/>
      <c r="J22" s="372" t="s">
        <v>151</v>
      </c>
      <c r="K22" s="405">
        <v>58</v>
      </c>
      <c r="L22" s="405">
        <v>78.203999999999994</v>
      </c>
      <c r="M22" s="406">
        <v>60</v>
      </c>
      <c r="N22" s="358"/>
      <c r="O22" s="358"/>
      <c r="P22" s="358"/>
      <c r="Q22" s="358"/>
      <c r="R22" s="358"/>
      <c r="S22" s="365"/>
    </row>
    <row r="23" spans="1:19" ht="31.2">
      <c r="A23" s="798"/>
      <c r="B23" s="358"/>
      <c r="C23" s="407" t="s">
        <v>152</v>
      </c>
      <c r="D23" s="408">
        <f>D21*D27</f>
        <v>4397.96</v>
      </c>
      <c r="E23" s="358"/>
      <c r="F23" s="358"/>
      <c r="G23" s="358"/>
      <c r="H23" s="358"/>
      <c r="I23" s="358"/>
      <c r="J23" s="370" t="s">
        <v>153</v>
      </c>
      <c r="K23" s="409">
        <v>50</v>
      </c>
      <c r="L23" s="409">
        <v>71.28</v>
      </c>
      <c r="M23" s="410">
        <v>60</v>
      </c>
      <c r="N23" s="358"/>
      <c r="O23" s="358"/>
      <c r="P23" s="358"/>
      <c r="Q23" s="358"/>
      <c r="R23" s="358"/>
      <c r="S23" s="365"/>
    </row>
    <row r="24" spans="1:19" ht="31.2">
      <c r="A24" s="798"/>
      <c r="B24" s="358"/>
      <c r="C24" s="407" t="s">
        <v>154</v>
      </c>
      <c r="D24" s="408">
        <f>D23/1000</f>
        <v>4.3979600000000003</v>
      </c>
      <c r="E24" s="358"/>
      <c r="F24" s="800" t="s">
        <v>155</v>
      </c>
      <c r="G24" s="802"/>
      <c r="H24" s="358"/>
      <c r="I24" s="358"/>
      <c r="J24" s="94" t="s">
        <v>156</v>
      </c>
      <c r="K24" s="377">
        <v>100</v>
      </c>
      <c r="L24" s="377">
        <v>165.3</v>
      </c>
      <c r="M24" s="393"/>
      <c r="N24" s="358"/>
      <c r="O24" s="358"/>
      <c r="P24" s="358"/>
      <c r="Q24" s="358"/>
      <c r="R24" s="358"/>
      <c r="S24" s="365"/>
    </row>
    <row r="25" spans="1:19" ht="31.2">
      <c r="A25" s="798"/>
      <c r="B25" s="366" t="s">
        <v>129</v>
      </c>
      <c r="C25" s="411" t="s">
        <v>474</v>
      </c>
      <c r="D25" s="410">
        <v>15</v>
      </c>
      <c r="E25" s="358"/>
      <c r="F25" s="372"/>
      <c r="G25" s="412" t="s">
        <v>157</v>
      </c>
      <c r="H25" s="358"/>
      <c r="I25" s="358"/>
      <c r="J25" s="95"/>
      <c r="K25" s="358"/>
      <c r="L25" s="358"/>
      <c r="M25" s="358"/>
      <c r="N25" s="358"/>
      <c r="O25" s="358"/>
      <c r="P25" s="358"/>
      <c r="Q25" s="358"/>
      <c r="R25" s="358"/>
      <c r="S25" s="365"/>
    </row>
    <row r="26" spans="1:19" ht="31.2">
      <c r="A26" s="798"/>
      <c r="B26" s="366" t="s">
        <v>129</v>
      </c>
      <c r="C26" s="411" t="s">
        <v>157</v>
      </c>
      <c r="D26" s="371">
        <f>D25/D24</f>
        <v>3.4106722207568962</v>
      </c>
      <c r="E26" s="358"/>
      <c r="F26" s="413" t="s">
        <v>158</v>
      </c>
      <c r="G26" s="369">
        <v>1.07</v>
      </c>
      <c r="H26" s="358"/>
      <c r="I26" s="358"/>
      <c r="J26" s="95"/>
      <c r="K26" s="358"/>
      <c r="L26" s="358"/>
      <c r="M26" s="358"/>
      <c r="N26" s="358"/>
      <c r="O26" s="358"/>
      <c r="P26" s="358"/>
      <c r="Q26" s="358"/>
      <c r="R26" s="358"/>
      <c r="S26" s="365"/>
    </row>
    <row r="27" spans="1:19" ht="31.2">
      <c r="A27" s="798"/>
      <c r="B27" s="358"/>
      <c r="C27" s="414" t="s">
        <v>159</v>
      </c>
      <c r="D27" s="378">
        <v>5.56</v>
      </c>
      <c r="E27" s="358"/>
      <c r="F27" s="415" t="s">
        <v>160</v>
      </c>
      <c r="G27" s="378">
        <v>0.37</v>
      </c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65"/>
    </row>
    <row r="28" spans="1:19" ht="31.2">
      <c r="A28" s="798"/>
      <c r="B28" s="366" t="s">
        <v>129</v>
      </c>
      <c r="C28" s="223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65"/>
    </row>
    <row r="29" spans="1:19" ht="31.2">
      <c r="A29" s="798"/>
      <c r="B29" s="366" t="s">
        <v>129</v>
      </c>
      <c r="C29" s="815" t="s">
        <v>161</v>
      </c>
      <c r="D29" s="816"/>
      <c r="E29" s="816"/>
      <c r="F29" s="816"/>
      <c r="G29" s="816"/>
      <c r="H29" s="816"/>
      <c r="I29" s="816"/>
      <c r="J29" s="816"/>
      <c r="K29" s="816"/>
      <c r="L29" s="816"/>
      <c r="M29" s="816"/>
      <c r="N29" s="816"/>
      <c r="O29" s="816"/>
      <c r="P29" s="816"/>
      <c r="Q29" s="817"/>
      <c r="R29" s="358"/>
      <c r="S29" s="365"/>
    </row>
    <row r="30" spans="1:19" ht="57" customHeight="1" thickTop="1" thickBot="1">
      <c r="A30" s="798"/>
      <c r="B30" s="358"/>
      <c r="C30" s="416"/>
      <c r="D30" s="417" t="s">
        <v>16</v>
      </c>
      <c r="E30" s="418" t="s">
        <v>162</v>
      </c>
      <c r="F30" s="52" t="s">
        <v>163</v>
      </c>
      <c r="G30" s="52" t="s">
        <v>164</v>
      </c>
      <c r="H30" s="52" t="s">
        <v>165</v>
      </c>
      <c r="I30" s="419" t="s">
        <v>18</v>
      </c>
      <c r="J30" s="52" t="s">
        <v>259</v>
      </c>
      <c r="K30" s="52" t="s">
        <v>476</v>
      </c>
      <c r="L30" s="52" t="s">
        <v>166</v>
      </c>
      <c r="M30" s="52" t="s">
        <v>167</v>
      </c>
      <c r="N30" s="418" t="s">
        <v>168</v>
      </c>
      <c r="O30" s="418" t="s">
        <v>169</v>
      </c>
      <c r="P30" s="418" t="s">
        <v>477</v>
      </c>
      <c r="Q30" s="53" t="s">
        <v>478</v>
      </c>
      <c r="R30" s="420"/>
      <c r="S30" s="365"/>
    </row>
    <row r="31" spans="1:19" ht="31.8" thickTop="1">
      <c r="A31" s="798"/>
      <c r="B31" s="366" t="s">
        <v>129</v>
      </c>
      <c r="C31" s="803" t="s">
        <v>22</v>
      </c>
      <c r="D31" s="201">
        <v>1</v>
      </c>
      <c r="E31" s="421">
        <v>20</v>
      </c>
      <c r="F31" s="304">
        <v>4</v>
      </c>
      <c r="G31" s="304">
        <v>6</v>
      </c>
      <c r="H31" s="422">
        <v>40</v>
      </c>
      <c r="I31" s="423">
        <v>25</v>
      </c>
      <c r="J31" s="29">
        <f>E31-J15</f>
        <v>-0.51162790697674154</v>
      </c>
      <c r="K31" s="29">
        <f>J31*H6</f>
        <v>-8.7999999999999545</v>
      </c>
      <c r="L31" s="29"/>
      <c r="M31" s="29"/>
      <c r="N31" s="424"/>
      <c r="O31" s="424"/>
      <c r="P31" s="424"/>
      <c r="Q31" s="386"/>
      <c r="R31" s="358"/>
      <c r="S31" s="365"/>
    </row>
    <row r="32" spans="1:19" ht="31.8" thickBot="1">
      <c r="A32" s="798"/>
      <c r="B32" s="366" t="s">
        <v>129</v>
      </c>
      <c r="C32" s="804"/>
      <c r="D32" s="81">
        <v>2</v>
      </c>
      <c r="E32" s="425">
        <v>45</v>
      </c>
      <c r="F32" s="377">
        <v>4</v>
      </c>
      <c r="G32" s="377">
        <v>6</v>
      </c>
      <c r="H32" s="377">
        <v>40</v>
      </c>
      <c r="I32" s="426">
        <v>25</v>
      </c>
      <c r="J32" s="45">
        <f>E32-J15</f>
        <v>24.488372093023258</v>
      </c>
      <c r="K32" s="45">
        <f>J32*H6</f>
        <v>421.20000000000005</v>
      </c>
      <c r="L32" s="45">
        <f>K32/(D39/100)</f>
        <v>936.00000000000011</v>
      </c>
      <c r="M32" s="45">
        <f>L32/D24</f>
        <v>212.82594657523035</v>
      </c>
      <c r="N32" s="46">
        <f>M32*D22</f>
        <v>168.34532374100721</v>
      </c>
      <c r="O32" s="46">
        <f>M32/M23</f>
        <v>3.5470991095871724</v>
      </c>
      <c r="P32" s="46">
        <f>4*K23</f>
        <v>200</v>
      </c>
      <c r="Q32" s="375">
        <f>N32+4*K23</f>
        <v>368.34532374100718</v>
      </c>
      <c r="R32" s="358"/>
      <c r="S32" s="365"/>
    </row>
    <row r="33" spans="1:19" ht="29.4" thickTop="1">
      <c r="A33" s="798"/>
      <c r="B33" s="15" t="s">
        <v>129</v>
      </c>
      <c r="C33" s="805" t="s">
        <v>23</v>
      </c>
      <c r="D33" s="201">
        <v>3</v>
      </c>
      <c r="E33" s="421">
        <v>15</v>
      </c>
      <c r="F33" s="304">
        <v>2</v>
      </c>
      <c r="G33" s="304">
        <v>6</v>
      </c>
      <c r="H33" s="422">
        <v>52</v>
      </c>
      <c r="I33" s="423">
        <v>25</v>
      </c>
      <c r="J33" s="29">
        <f>E33-J15</f>
        <v>-5.5116279069767415</v>
      </c>
      <c r="K33" s="29">
        <f>J33*H6</f>
        <v>-94.799999999999955</v>
      </c>
      <c r="L33" s="29"/>
      <c r="M33" s="29"/>
      <c r="N33" s="424"/>
      <c r="O33" s="424"/>
      <c r="P33" s="424"/>
      <c r="Q33" s="386"/>
      <c r="R33" s="358"/>
      <c r="S33" s="365"/>
    </row>
    <row r="34" spans="1:19" ht="31.8" thickBot="1">
      <c r="A34" s="798"/>
      <c r="B34" s="366" t="s">
        <v>129</v>
      </c>
      <c r="C34" s="806"/>
      <c r="D34" s="81">
        <v>4</v>
      </c>
      <c r="E34" s="425">
        <v>50</v>
      </c>
      <c r="F34" s="377">
        <v>2</v>
      </c>
      <c r="G34" s="377">
        <v>6</v>
      </c>
      <c r="H34" s="377">
        <v>52</v>
      </c>
      <c r="I34" s="426">
        <v>25</v>
      </c>
      <c r="J34" s="45">
        <f>E34-J15</f>
        <v>29.488372093023258</v>
      </c>
      <c r="K34" s="45">
        <f>J34*H6</f>
        <v>507.20000000000005</v>
      </c>
      <c r="L34" s="45">
        <f>K34/(D39/100)</f>
        <v>1127.1111111111111</v>
      </c>
      <c r="M34" s="45">
        <f>L34/D24</f>
        <v>256.28043709154042</v>
      </c>
      <c r="N34" s="46">
        <f>M34*D22</f>
        <v>202.71782573940848</v>
      </c>
      <c r="O34" s="46">
        <f>M34/M23</f>
        <v>4.2713406181923403</v>
      </c>
      <c r="P34" s="46">
        <f>5*K23</f>
        <v>250</v>
      </c>
      <c r="Q34" s="375">
        <f>N34+5*K23</f>
        <v>452.71782573940845</v>
      </c>
      <c r="R34" s="358"/>
      <c r="S34" s="365"/>
    </row>
    <row r="35" spans="1:19" ht="32.4" thickTop="1" thickBot="1">
      <c r="A35" s="798"/>
      <c r="B35" s="366" t="s">
        <v>129</v>
      </c>
      <c r="C35" s="427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65"/>
      <c r="O35" s="358"/>
      <c r="P35" s="428"/>
      <c r="Q35" s="358"/>
      <c r="R35" s="358"/>
      <c r="S35" s="365"/>
    </row>
    <row r="36" spans="1:19" ht="31.8" thickTop="1">
      <c r="A36" s="809" t="s">
        <v>479</v>
      </c>
      <c r="B36" s="429" t="s">
        <v>129</v>
      </c>
      <c r="C36" s="430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60"/>
    </row>
    <row r="37" spans="1:19" ht="31.2">
      <c r="A37" s="818"/>
      <c r="B37" s="366" t="s">
        <v>129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65"/>
    </row>
    <row r="38" spans="1:19" ht="31.2">
      <c r="A38" s="818"/>
      <c r="B38" s="366" t="s">
        <v>129</v>
      </c>
      <c r="C38" s="824" t="s">
        <v>170</v>
      </c>
      <c r="D38" s="824"/>
      <c r="E38" s="358"/>
      <c r="F38" s="812" t="s">
        <v>171</v>
      </c>
      <c r="G38" s="813"/>
      <c r="H38" s="813"/>
      <c r="I38" s="813"/>
      <c r="J38" s="814"/>
      <c r="K38" s="358"/>
      <c r="L38" s="358"/>
      <c r="M38" s="358"/>
      <c r="N38" s="358"/>
      <c r="O38" s="358"/>
      <c r="P38" s="358"/>
      <c r="Q38" s="358"/>
      <c r="R38" s="358"/>
      <c r="S38" s="365"/>
    </row>
    <row r="39" spans="1:19" ht="46.8">
      <c r="A39" s="818"/>
      <c r="B39" s="358"/>
      <c r="C39" s="431" t="s">
        <v>172</v>
      </c>
      <c r="D39" s="406">
        <v>45</v>
      </c>
      <c r="E39" s="358"/>
      <c r="F39" s="432" t="s">
        <v>16</v>
      </c>
      <c r="G39" s="198" t="s">
        <v>484</v>
      </c>
      <c r="H39" s="198" t="s">
        <v>485</v>
      </c>
      <c r="I39" s="198" t="s">
        <v>486</v>
      </c>
      <c r="J39" s="200" t="s">
        <v>487</v>
      </c>
      <c r="K39" s="358"/>
      <c r="L39" s="358"/>
      <c r="M39" s="358"/>
      <c r="N39" s="358"/>
      <c r="O39" s="358"/>
      <c r="P39" s="358"/>
      <c r="Q39" s="358"/>
      <c r="R39" s="358"/>
      <c r="S39" s="365"/>
    </row>
    <row r="40" spans="1:19" ht="31.2">
      <c r="A40" s="818"/>
      <c r="B40" s="358"/>
      <c r="C40" s="33" t="s">
        <v>480</v>
      </c>
      <c r="D40" s="369">
        <f>K8</f>
        <v>430</v>
      </c>
      <c r="E40" s="358"/>
      <c r="F40" s="433">
        <v>2</v>
      </c>
      <c r="G40" s="49">
        <f>E32/I32</f>
        <v>1.8</v>
      </c>
      <c r="H40" s="49">
        <f>G40*F32</f>
        <v>7.2</v>
      </c>
      <c r="I40" s="49">
        <f>H40*G32</f>
        <v>43.2</v>
      </c>
      <c r="J40" s="434">
        <f>I40*H32</f>
        <v>1728</v>
      </c>
      <c r="K40" s="358"/>
      <c r="L40" s="358"/>
      <c r="M40" s="358"/>
      <c r="N40" s="358"/>
      <c r="O40" s="358"/>
      <c r="P40" s="358"/>
      <c r="Q40" s="358"/>
      <c r="R40" s="358"/>
      <c r="S40" s="365"/>
    </row>
    <row r="41" spans="1:19" ht="31.2">
      <c r="A41" s="818"/>
      <c r="B41" s="358"/>
      <c r="C41" s="33" t="s">
        <v>173</v>
      </c>
      <c r="D41" s="369">
        <v>25</v>
      </c>
      <c r="E41" s="358"/>
      <c r="F41" s="435">
        <v>4</v>
      </c>
      <c r="G41" s="45">
        <f>E34/I34</f>
        <v>2</v>
      </c>
      <c r="H41" s="45">
        <f>G41*F34</f>
        <v>4</v>
      </c>
      <c r="I41" s="45">
        <f>H41*G34</f>
        <v>24</v>
      </c>
      <c r="J41" s="375">
        <f>I41*H34</f>
        <v>1248</v>
      </c>
      <c r="K41" s="358"/>
      <c r="L41" s="358"/>
      <c r="M41" s="358"/>
      <c r="N41" s="358"/>
      <c r="O41" s="358"/>
      <c r="P41" s="358"/>
      <c r="Q41" s="358"/>
      <c r="R41" s="358"/>
      <c r="S41" s="365"/>
    </row>
    <row r="42" spans="1:19" ht="31.2">
      <c r="A42" s="818"/>
      <c r="B42" s="358"/>
      <c r="C42" s="33" t="s">
        <v>481</v>
      </c>
      <c r="D42" s="369">
        <v>100</v>
      </c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65"/>
    </row>
    <row r="43" spans="1:19" ht="31.2">
      <c r="A43" s="818"/>
      <c r="B43" s="358"/>
      <c r="C43" s="33" t="s">
        <v>482</v>
      </c>
      <c r="D43" s="369">
        <v>20</v>
      </c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65"/>
    </row>
    <row r="44" spans="1:19" ht="31.2">
      <c r="A44" s="818"/>
      <c r="B44" s="358"/>
      <c r="C44" s="33" t="s">
        <v>174</v>
      </c>
      <c r="D44" s="408">
        <f>D40/D43</f>
        <v>21.5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65"/>
    </row>
    <row r="45" spans="1:19" ht="31.2">
      <c r="A45" s="818"/>
      <c r="B45" s="358"/>
      <c r="C45" s="35" t="s">
        <v>483</v>
      </c>
      <c r="D45" s="375">
        <f>D42*22</f>
        <v>2200</v>
      </c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65"/>
    </row>
    <row r="46" spans="1:19" ht="15.6">
      <c r="A46" s="81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65"/>
    </row>
    <row r="47" spans="1:19" ht="15.6">
      <c r="A47" s="809" t="s">
        <v>175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60"/>
    </row>
    <row r="48" spans="1:19" ht="31.2">
      <c r="A48" s="818"/>
      <c r="B48" s="366" t="s">
        <v>129</v>
      </c>
      <c r="C48" s="825" t="s">
        <v>175</v>
      </c>
      <c r="D48" s="826"/>
      <c r="E48" s="826"/>
      <c r="F48" s="826"/>
      <c r="G48" s="826"/>
      <c r="H48" s="826"/>
      <c r="I48" s="827"/>
      <c r="J48" s="358"/>
      <c r="K48" s="358"/>
      <c r="L48" s="358"/>
      <c r="M48" s="358"/>
      <c r="N48" s="358"/>
      <c r="O48" s="358"/>
      <c r="P48" s="358"/>
      <c r="Q48" s="358"/>
      <c r="R48" s="358"/>
      <c r="S48" s="365"/>
    </row>
    <row r="49" spans="1:19" ht="46.8">
      <c r="A49" s="818"/>
      <c r="B49" s="358"/>
      <c r="C49" s="436" t="s">
        <v>16</v>
      </c>
      <c r="D49" s="381" t="s">
        <v>176</v>
      </c>
      <c r="E49" s="381" t="s">
        <v>177</v>
      </c>
      <c r="F49" s="381" t="s">
        <v>178</v>
      </c>
      <c r="G49" s="381" t="s">
        <v>179</v>
      </c>
      <c r="H49" s="381" t="s">
        <v>180</v>
      </c>
      <c r="I49" s="437" t="s">
        <v>181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65"/>
    </row>
    <row r="50" spans="1:19" ht="31.2">
      <c r="A50" s="818"/>
      <c r="B50" s="366" t="s">
        <v>129</v>
      </c>
      <c r="C50" s="438">
        <v>1</v>
      </c>
      <c r="D50" s="29">
        <f>G15</f>
        <v>3200</v>
      </c>
      <c r="E50" s="424">
        <f>G16</f>
        <v>686</v>
      </c>
      <c r="F50" s="29">
        <f>D45</f>
        <v>2200</v>
      </c>
      <c r="G50" s="439">
        <f>2*K23</f>
        <v>100</v>
      </c>
      <c r="H50" s="29"/>
      <c r="I50" s="386">
        <f>D50+E50+F50+G50+H50</f>
        <v>6186</v>
      </c>
      <c r="J50" s="358"/>
      <c r="K50" s="358"/>
      <c r="L50" s="358"/>
      <c r="M50" s="358"/>
      <c r="N50" s="358"/>
      <c r="O50" s="358"/>
      <c r="P50" s="358"/>
      <c r="Q50" s="358"/>
      <c r="R50" s="358"/>
      <c r="S50" s="365"/>
    </row>
    <row r="51" spans="1:19" ht="31.2">
      <c r="A51" s="818"/>
      <c r="B51" s="366" t="s">
        <v>129</v>
      </c>
      <c r="C51" s="440">
        <v>2</v>
      </c>
      <c r="D51" s="30">
        <f>G15</f>
        <v>3200</v>
      </c>
      <c r="E51" s="30">
        <f>G16</f>
        <v>686</v>
      </c>
      <c r="F51" s="29">
        <f>D45</f>
        <v>2200</v>
      </c>
      <c r="G51" s="30">
        <f>4*K23</f>
        <v>200</v>
      </c>
      <c r="H51" s="30">
        <f>N32</f>
        <v>168.34532374100721</v>
      </c>
      <c r="I51" s="408">
        <f>D51+E51+F51+G51+H51</f>
        <v>6454.3453237410076</v>
      </c>
      <c r="J51" s="358"/>
      <c r="K51" s="358"/>
      <c r="L51" s="358"/>
      <c r="M51" s="358"/>
      <c r="N51" s="358"/>
      <c r="O51" s="358"/>
      <c r="P51" s="358"/>
      <c r="Q51" s="358"/>
      <c r="R51" s="358"/>
      <c r="S51" s="365"/>
    </row>
    <row r="52" spans="1:19" ht="31.2">
      <c r="A52" s="818"/>
      <c r="B52" s="366" t="s">
        <v>129</v>
      </c>
      <c r="C52" s="440">
        <v>3</v>
      </c>
      <c r="D52" s="30">
        <f>G15</f>
        <v>3200</v>
      </c>
      <c r="E52" s="30">
        <f>G16</f>
        <v>686</v>
      </c>
      <c r="F52" s="30">
        <f>D45</f>
        <v>2200</v>
      </c>
      <c r="G52" s="30">
        <f>1*K23</f>
        <v>50</v>
      </c>
      <c r="H52" s="30"/>
      <c r="I52" s="408">
        <f>D52+E52+F52+G52+H52</f>
        <v>6136</v>
      </c>
      <c r="J52" s="358"/>
      <c r="K52" s="358"/>
      <c r="L52" s="358"/>
      <c r="M52" s="358"/>
      <c r="N52" s="358"/>
      <c r="O52" s="358"/>
      <c r="P52" s="358"/>
      <c r="Q52" s="358"/>
      <c r="R52" s="358"/>
      <c r="S52" s="365"/>
    </row>
    <row r="53" spans="1:19" ht="31.2">
      <c r="A53" s="818"/>
      <c r="B53" s="366" t="s">
        <v>129</v>
      </c>
      <c r="C53" s="435">
        <v>4</v>
      </c>
      <c r="D53" s="45">
        <f>G15</f>
        <v>3200</v>
      </c>
      <c r="E53" s="45">
        <f>G16</f>
        <v>686</v>
      </c>
      <c r="F53" s="45">
        <f>D45</f>
        <v>2200</v>
      </c>
      <c r="G53" s="45">
        <f>5*K23</f>
        <v>250</v>
      </c>
      <c r="H53" s="45">
        <f>N34</f>
        <v>202.71782573940848</v>
      </c>
      <c r="I53" s="375">
        <f>D53+E53+F53+G53+H53</f>
        <v>6538.7178257394089</v>
      </c>
      <c r="J53" s="358"/>
      <c r="K53" s="358"/>
      <c r="L53" s="358"/>
      <c r="M53" s="358"/>
      <c r="N53" s="358"/>
      <c r="O53" s="358"/>
      <c r="P53" s="358"/>
      <c r="Q53" s="358"/>
      <c r="R53" s="358"/>
      <c r="S53" s="365"/>
    </row>
    <row r="54" spans="1:19" ht="31.2">
      <c r="A54" s="818"/>
      <c r="B54" s="366" t="s">
        <v>129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65"/>
    </row>
    <row r="55" spans="1:19" ht="31.2">
      <c r="A55" s="818"/>
      <c r="B55" s="366" t="s">
        <v>129</v>
      </c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65"/>
    </row>
    <row r="56" spans="1:19" ht="31.2">
      <c r="A56" s="818"/>
      <c r="B56" s="366" t="s">
        <v>129</v>
      </c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65"/>
    </row>
    <row r="57" spans="1:19" ht="31.2">
      <c r="A57" s="818"/>
      <c r="B57" s="366" t="s">
        <v>129</v>
      </c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65"/>
    </row>
    <row r="58" spans="1:19" ht="31.2">
      <c r="A58" s="818"/>
      <c r="B58" s="366" t="s">
        <v>129</v>
      </c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65"/>
    </row>
    <row r="59" spans="1:19" ht="31.2">
      <c r="A59" s="809" t="s">
        <v>182</v>
      </c>
      <c r="B59" s="429" t="s">
        <v>129</v>
      </c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60"/>
    </row>
    <row r="60" spans="1:19" ht="31.2">
      <c r="A60" s="818"/>
      <c r="B60" s="366" t="s">
        <v>129</v>
      </c>
      <c r="C60" s="828" t="s">
        <v>182</v>
      </c>
      <c r="D60" s="829"/>
      <c r="E60" s="829"/>
      <c r="F60" s="829"/>
      <c r="G60" s="830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65"/>
    </row>
    <row r="61" spans="1:19" ht="31.2">
      <c r="A61" s="818"/>
      <c r="B61" s="366" t="s">
        <v>129</v>
      </c>
      <c r="C61" s="441"/>
      <c r="D61" s="442"/>
      <c r="E61" s="443" t="s">
        <v>239</v>
      </c>
      <c r="F61" s="443" t="s">
        <v>240</v>
      </c>
      <c r="G61" s="444" t="s">
        <v>241</v>
      </c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65"/>
    </row>
    <row r="62" spans="1:19" ht="46.8">
      <c r="A62" s="818"/>
      <c r="B62" s="358"/>
      <c r="C62" s="820" t="s">
        <v>183</v>
      </c>
      <c r="D62" s="445" t="s">
        <v>488</v>
      </c>
      <c r="E62" s="29">
        <f>L32*F32</f>
        <v>3744.0000000000005</v>
      </c>
      <c r="F62" s="29">
        <f>E62*G32</f>
        <v>22464.000000000004</v>
      </c>
      <c r="G62" s="446">
        <f>F62*H32</f>
        <v>898560.00000000012</v>
      </c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65"/>
    </row>
    <row r="63" spans="1:19" ht="31.2">
      <c r="A63" s="818"/>
      <c r="B63" s="358"/>
      <c r="C63" s="821"/>
      <c r="D63" s="447" t="s">
        <v>184</v>
      </c>
      <c r="E63" s="30">
        <f>I15*F32</f>
        <v>1411.1999999999998</v>
      </c>
      <c r="F63" s="30">
        <f>E63*G32</f>
        <v>8467.1999999999989</v>
      </c>
      <c r="G63" s="448">
        <f>F63*H32</f>
        <v>338687.99999999994</v>
      </c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65"/>
    </row>
    <row r="64" spans="1:19" ht="31.2">
      <c r="A64" s="818"/>
      <c r="B64" s="358"/>
      <c r="C64" s="821"/>
      <c r="D64" s="447" t="s">
        <v>185</v>
      </c>
      <c r="E64" s="30">
        <f>D26*E62</f>
        <v>12769.556794513821</v>
      </c>
      <c r="F64" s="30">
        <f>E64*G32</f>
        <v>76617.340767082933</v>
      </c>
      <c r="G64" s="448">
        <f>F64*H32</f>
        <v>3064693.6306833173</v>
      </c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65"/>
    </row>
    <row r="65" spans="1:19" ht="46.8">
      <c r="A65" s="818"/>
      <c r="B65" s="358"/>
      <c r="C65" s="821"/>
      <c r="D65" s="447" t="s">
        <v>489</v>
      </c>
      <c r="E65" s="30">
        <f>E63*G26</f>
        <v>1509.9839999999999</v>
      </c>
      <c r="F65" s="30">
        <f>E65*G32</f>
        <v>9059.9039999999986</v>
      </c>
      <c r="G65" s="448">
        <f>F65*H32</f>
        <v>362396.15999999992</v>
      </c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65"/>
    </row>
    <row r="66" spans="1:19" ht="31.2">
      <c r="A66" s="818"/>
      <c r="B66" s="358"/>
      <c r="C66" s="822"/>
      <c r="D66" s="449" t="s">
        <v>187</v>
      </c>
      <c r="E66" s="450">
        <f>E65+E64</f>
        <v>14279.540794513821</v>
      </c>
      <c r="F66" s="450">
        <f>E66*G32</f>
        <v>85677.244767082928</v>
      </c>
      <c r="G66" s="451">
        <f>F66*H32</f>
        <v>3427089.790683317</v>
      </c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65"/>
    </row>
    <row r="67" spans="1:19" ht="15.6">
      <c r="A67" s="818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65"/>
    </row>
    <row r="68" spans="1:19" ht="15.6">
      <c r="A68" s="818"/>
      <c r="B68" s="358"/>
      <c r="C68" s="823"/>
      <c r="D68" s="823"/>
      <c r="E68" s="358"/>
      <c r="F68" s="823"/>
      <c r="G68" s="823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65"/>
    </row>
    <row r="69" spans="1:19" ht="15.6">
      <c r="A69" s="81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65"/>
    </row>
    <row r="70" spans="1:19" ht="15.6">
      <c r="A70" s="818"/>
      <c r="B70" s="358"/>
      <c r="C70" s="366"/>
      <c r="D70" s="358"/>
      <c r="E70" s="358"/>
      <c r="F70" s="366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65"/>
    </row>
    <row r="71" spans="1:19" ht="15.6">
      <c r="A71" s="818"/>
      <c r="B71" s="358"/>
      <c r="C71" s="366"/>
      <c r="D71" s="358"/>
      <c r="E71" s="358"/>
      <c r="F71" s="366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65"/>
    </row>
    <row r="72" spans="1:19" ht="15.6">
      <c r="A72" s="818"/>
      <c r="B72" s="358"/>
      <c r="C72" s="366"/>
      <c r="D72" s="358"/>
      <c r="E72" s="358"/>
      <c r="F72" s="366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65"/>
    </row>
    <row r="73" spans="1:19" ht="15.6">
      <c r="A73" s="818"/>
      <c r="B73" s="358"/>
      <c r="C73" s="366"/>
      <c r="D73" s="358"/>
      <c r="E73" s="358"/>
      <c r="F73" s="366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65"/>
    </row>
    <row r="74" spans="1:19" ht="15.6">
      <c r="A74" s="81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65"/>
    </row>
    <row r="75" spans="1:19" ht="15.6">
      <c r="A75" s="81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65"/>
    </row>
    <row r="76" spans="1:19" ht="15.6">
      <c r="A76" s="81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65"/>
    </row>
    <row r="77" spans="1:19" ht="15.6">
      <c r="A77" s="819"/>
      <c r="B77" s="396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8"/>
    </row>
    <row r="78" spans="1:19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9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</sheetData>
  <mergeCells count="22">
    <mergeCell ref="A47:A58"/>
    <mergeCell ref="A59:A77"/>
    <mergeCell ref="C62:C66"/>
    <mergeCell ref="C68:D68"/>
    <mergeCell ref="F38:J38"/>
    <mergeCell ref="F68:G68"/>
    <mergeCell ref="C38:D38"/>
    <mergeCell ref="A36:A46"/>
    <mergeCell ref="C48:I48"/>
    <mergeCell ref="C60:G60"/>
    <mergeCell ref="A4:A18"/>
    <mergeCell ref="A19:A35"/>
    <mergeCell ref="J20:M20"/>
    <mergeCell ref="J5:K5"/>
    <mergeCell ref="C31:C32"/>
    <mergeCell ref="C33:C34"/>
    <mergeCell ref="F20:G20"/>
    <mergeCell ref="C8:F8"/>
    <mergeCell ref="C13:J13"/>
    <mergeCell ref="C20:D20"/>
    <mergeCell ref="F24:G24"/>
    <mergeCell ref="C29:Q2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62960-BFEF-45C5-8982-44641DF6184F}">
  <dimension ref="A1:V90"/>
  <sheetViews>
    <sheetView topLeftCell="G10" workbookViewId="0">
      <selection activeCell="G16" sqref="G16"/>
    </sheetView>
  </sheetViews>
  <sheetFormatPr baseColWidth="10" defaultColWidth="8.88671875" defaultRowHeight="14.4"/>
  <cols>
    <col min="1" max="1" width="17.44140625" bestFit="1" customWidth="1"/>
    <col min="2" max="2" width="28.33203125" customWidth="1"/>
    <col min="3" max="3" width="15.44140625" bestFit="1" customWidth="1"/>
    <col min="4" max="4" width="13.33203125" customWidth="1"/>
    <col min="5" max="6" width="15.44140625" customWidth="1"/>
    <col min="7" max="7" width="26.88671875" bestFit="1" customWidth="1"/>
    <col min="8" max="8" width="18.33203125" bestFit="1" customWidth="1"/>
    <col min="9" max="9" width="19.6640625" customWidth="1"/>
    <col min="10" max="10" width="20.44140625" bestFit="1" customWidth="1"/>
    <col min="11" max="11" width="21.109375" customWidth="1"/>
    <col min="12" max="12" width="14.109375" customWidth="1"/>
    <col min="13" max="13" width="21.33203125" customWidth="1"/>
    <col min="14" max="14" width="19.44140625" customWidth="1"/>
    <col min="15" max="15" width="15.44140625" customWidth="1"/>
    <col min="16" max="16" width="13.88671875" bestFit="1" customWidth="1"/>
    <col min="17" max="17" width="16.88671875" bestFit="1" customWidth="1"/>
    <col min="18" max="18" width="13.6640625" customWidth="1"/>
    <col min="19" max="19" width="18.44140625" customWidth="1"/>
  </cols>
  <sheetData>
    <row r="1" spans="1:22" ht="15.6">
      <c r="A1" s="16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2" ht="15.6">
      <c r="A2" s="18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ht="27.6">
      <c r="A4" s="452"/>
      <c r="B4" s="31"/>
      <c r="C4" s="453" t="s">
        <v>16</v>
      </c>
      <c r="D4" s="26" t="s">
        <v>162</v>
      </c>
      <c r="E4" s="454" t="s">
        <v>163</v>
      </c>
      <c r="F4" s="454" t="s">
        <v>164</v>
      </c>
      <c r="G4" s="455" t="s">
        <v>165</v>
      </c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6"/>
    </row>
    <row r="5" spans="1:22" ht="31.2">
      <c r="A5" s="452"/>
      <c r="B5" s="803" t="s">
        <v>22</v>
      </c>
      <c r="C5" s="201">
        <v>1</v>
      </c>
      <c r="D5" s="304">
        <v>20</v>
      </c>
      <c r="E5" s="304">
        <v>4</v>
      </c>
      <c r="F5" s="421">
        <v>5</v>
      </c>
      <c r="G5" s="400">
        <v>40</v>
      </c>
      <c r="H5" s="208" t="s">
        <v>129</v>
      </c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6"/>
    </row>
    <row r="6" spans="1:22" ht="31.2">
      <c r="A6" s="452"/>
      <c r="B6" s="804"/>
      <c r="C6" s="81">
        <v>2</v>
      </c>
      <c r="D6" s="377">
        <v>45</v>
      </c>
      <c r="E6" s="377">
        <v>4</v>
      </c>
      <c r="F6" s="425">
        <v>5</v>
      </c>
      <c r="G6" s="378">
        <v>40</v>
      </c>
      <c r="H6" s="208" t="s">
        <v>129</v>
      </c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6"/>
    </row>
    <row r="7" spans="1:22" ht="31.8" thickTop="1">
      <c r="A7" s="452"/>
      <c r="B7" s="803" t="s">
        <v>23</v>
      </c>
      <c r="C7" s="201">
        <v>3</v>
      </c>
      <c r="D7" s="304">
        <v>15</v>
      </c>
      <c r="E7" s="304">
        <v>2</v>
      </c>
      <c r="F7" s="421">
        <v>6</v>
      </c>
      <c r="G7" s="400">
        <v>52</v>
      </c>
      <c r="H7" s="208" t="s">
        <v>129</v>
      </c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6"/>
    </row>
    <row r="8" spans="1:22" ht="31.8" thickBot="1">
      <c r="A8" s="452"/>
      <c r="B8" s="804"/>
      <c r="C8" s="81">
        <v>4</v>
      </c>
      <c r="D8" s="377">
        <v>50</v>
      </c>
      <c r="E8" s="377">
        <v>2</v>
      </c>
      <c r="F8" s="425">
        <v>6</v>
      </c>
      <c r="G8" s="378">
        <v>52</v>
      </c>
      <c r="H8" s="457" t="s">
        <v>129</v>
      </c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6"/>
    </row>
    <row r="9" spans="1:22" ht="32.4" thickTop="1" thickBo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208" t="s">
        <v>129</v>
      </c>
      <c r="M9" s="452"/>
      <c r="N9" s="452"/>
      <c r="O9" s="452"/>
      <c r="P9" s="452"/>
      <c r="Q9" s="452"/>
      <c r="R9" s="452"/>
      <c r="S9" s="452"/>
      <c r="T9" s="452"/>
      <c r="U9" s="452"/>
      <c r="V9" s="456"/>
    </row>
    <row r="10" spans="1:22" ht="27.9" customHeight="1" thickTop="1" thickBot="1">
      <c r="A10" s="452"/>
      <c r="B10" s="853" t="s">
        <v>188</v>
      </c>
      <c r="C10" s="854"/>
      <c r="D10" s="208" t="s">
        <v>189</v>
      </c>
      <c r="E10" s="208" t="s">
        <v>189</v>
      </c>
      <c r="F10" s="452"/>
      <c r="G10" s="862" t="s">
        <v>190</v>
      </c>
      <c r="H10" s="863"/>
      <c r="I10" s="863"/>
      <c r="J10" s="863"/>
      <c r="K10" s="864"/>
      <c r="L10" s="208"/>
      <c r="M10" s="452"/>
      <c r="N10" s="452"/>
      <c r="O10" s="452"/>
      <c r="P10" s="452"/>
      <c r="Q10" s="452"/>
      <c r="R10" s="452"/>
      <c r="S10" s="452"/>
      <c r="T10" s="452"/>
      <c r="U10" s="452"/>
      <c r="V10" s="456"/>
    </row>
    <row r="11" spans="1:22" ht="31.8" thickTop="1">
      <c r="A11" s="452"/>
      <c r="B11" s="32" t="s">
        <v>191</v>
      </c>
      <c r="C11" s="458">
        <v>0.7</v>
      </c>
      <c r="D11" s="452"/>
      <c r="E11" s="208" t="s">
        <v>129</v>
      </c>
      <c r="F11" s="452"/>
      <c r="G11" s="459" t="s">
        <v>192</v>
      </c>
      <c r="H11" s="865" t="s">
        <v>193</v>
      </c>
      <c r="I11" s="866"/>
      <c r="J11" s="867" t="s">
        <v>194</v>
      </c>
      <c r="K11" s="866"/>
      <c r="L11" s="208" t="s">
        <v>129</v>
      </c>
      <c r="M11" s="208" t="s">
        <v>129</v>
      </c>
      <c r="N11" s="452"/>
      <c r="O11" s="452"/>
      <c r="P11" s="452"/>
      <c r="Q11" s="452"/>
      <c r="R11" s="452"/>
      <c r="S11" s="452"/>
      <c r="T11" s="452"/>
      <c r="U11" s="452"/>
      <c r="V11" s="456"/>
    </row>
    <row r="12" spans="1:22" ht="31.8" thickBot="1">
      <c r="A12" s="452"/>
      <c r="B12" s="33" t="s">
        <v>492</v>
      </c>
      <c r="C12" s="369">
        <v>63</v>
      </c>
      <c r="D12" s="452"/>
      <c r="E12" s="452"/>
      <c r="F12" s="452"/>
      <c r="G12" s="460" t="s">
        <v>195</v>
      </c>
      <c r="H12" s="207">
        <v>1</v>
      </c>
      <c r="I12" s="206">
        <v>2</v>
      </c>
      <c r="J12" s="205">
        <v>3</v>
      </c>
      <c r="K12" s="206">
        <v>4</v>
      </c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6"/>
    </row>
    <row r="13" spans="1:22" ht="31.8" thickTop="1">
      <c r="A13" s="452"/>
      <c r="B13" s="33" t="s">
        <v>491</v>
      </c>
      <c r="C13" s="369">
        <v>400</v>
      </c>
      <c r="D13" s="452"/>
      <c r="E13" s="452"/>
      <c r="F13" s="452"/>
      <c r="G13" s="461" t="s">
        <v>196</v>
      </c>
      <c r="H13" s="872">
        <v>8</v>
      </c>
      <c r="I13" s="873"/>
      <c r="J13" s="872">
        <v>4</v>
      </c>
      <c r="K13" s="873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6"/>
    </row>
    <row r="14" spans="1:22" ht="31.2">
      <c r="A14" s="452"/>
      <c r="B14" s="33" t="s">
        <v>490</v>
      </c>
      <c r="C14" s="369">
        <v>300</v>
      </c>
      <c r="D14" s="452"/>
      <c r="E14" s="452"/>
      <c r="F14" s="452"/>
      <c r="G14" s="34" t="s">
        <v>197</v>
      </c>
      <c r="H14" s="896">
        <v>2</v>
      </c>
      <c r="I14" s="897"/>
      <c r="J14" s="896">
        <v>1</v>
      </c>
      <c r="K14" s="897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6"/>
    </row>
    <row r="15" spans="1:22" ht="31.8" thickBot="1">
      <c r="A15" s="452"/>
      <c r="B15" s="35" t="s">
        <v>493</v>
      </c>
      <c r="C15" s="378">
        <v>343</v>
      </c>
      <c r="D15" s="452"/>
      <c r="E15" s="452"/>
      <c r="F15" s="452"/>
      <c r="G15" s="34" t="s">
        <v>136</v>
      </c>
      <c r="H15" s="834">
        <f>H13*C12</f>
        <v>504</v>
      </c>
      <c r="I15" s="835"/>
      <c r="J15" s="834">
        <f>J13*C12</f>
        <v>252</v>
      </c>
      <c r="K15" s="835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6"/>
    </row>
    <row r="16" spans="1:22" ht="48" thickTop="1" thickBot="1">
      <c r="A16" s="452"/>
      <c r="B16" s="452"/>
      <c r="C16" s="452"/>
      <c r="D16" s="452"/>
      <c r="E16" s="452"/>
      <c r="F16" s="452"/>
      <c r="G16" s="34" t="s">
        <v>198</v>
      </c>
      <c r="H16" s="834">
        <f>H15*C11</f>
        <v>352.79999999999995</v>
      </c>
      <c r="I16" s="835"/>
      <c r="J16" s="834">
        <f>J15*C11</f>
        <v>176.39999999999998</v>
      </c>
      <c r="K16" s="835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6"/>
    </row>
    <row r="17" spans="1:22" ht="32.4" thickTop="1" thickBot="1">
      <c r="A17" s="452"/>
      <c r="B17" s="857" t="s">
        <v>199</v>
      </c>
      <c r="C17" s="858"/>
      <c r="D17" s="452"/>
      <c r="E17" s="452"/>
      <c r="F17" s="452"/>
      <c r="G17" s="34" t="s">
        <v>200</v>
      </c>
      <c r="H17" s="836">
        <v>25</v>
      </c>
      <c r="I17" s="837"/>
      <c r="J17" s="836">
        <v>25</v>
      </c>
      <c r="K17" s="837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6"/>
    </row>
    <row r="18" spans="1:22" ht="47.4" thickTop="1">
      <c r="A18" s="452"/>
      <c r="B18" s="51" t="s">
        <v>482</v>
      </c>
      <c r="C18" s="406">
        <v>20</v>
      </c>
      <c r="D18" s="452"/>
      <c r="E18" s="452"/>
      <c r="F18" s="452"/>
      <c r="G18" s="462" t="s">
        <v>201</v>
      </c>
      <c r="H18" s="870"/>
      <c r="I18" s="871"/>
      <c r="J18" s="870"/>
      <c r="K18" s="871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6"/>
    </row>
    <row r="19" spans="1:22" ht="46.8">
      <c r="A19" s="452"/>
      <c r="B19" s="463" t="s">
        <v>481</v>
      </c>
      <c r="C19" s="369">
        <v>100</v>
      </c>
      <c r="D19" s="452"/>
      <c r="E19" s="452"/>
      <c r="F19" s="452"/>
      <c r="G19" s="464" t="s">
        <v>202</v>
      </c>
      <c r="H19" s="894">
        <v>430</v>
      </c>
      <c r="I19" s="895"/>
      <c r="J19" s="894">
        <v>300</v>
      </c>
      <c r="K19" s="895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6"/>
    </row>
    <row r="20" spans="1:22" ht="31.2">
      <c r="A20" s="452"/>
      <c r="B20" s="37" t="s">
        <v>494</v>
      </c>
      <c r="C20" s="465">
        <v>0.45</v>
      </c>
      <c r="D20" s="452"/>
      <c r="E20" s="452"/>
      <c r="F20" s="452"/>
      <c r="G20" s="36" t="s">
        <v>26</v>
      </c>
      <c r="H20" s="868">
        <f>H19/H17</f>
        <v>17.2</v>
      </c>
      <c r="I20" s="869"/>
      <c r="J20" s="868">
        <f>J19/J17</f>
        <v>12</v>
      </c>
      <c r="K20" s="869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6"/>
    </row>
    <row r="21" spans="1:22" ht="47.4" thickBot="1">
      <c r="A21" s="452"/>
      <c r="B21" s="35" t="s">
        <v>495</v>
      </c>
      <c r="C21" s="87">
        <v>18250</v>
      </c>
      <c r="D21" s="452"/>
      <c r="E21" s="452"/>
      <c r="F21" s="452"/>
      <c r="G21" s="466" t="s">
        <v>203</v>
      </c>
      <c r="H21" s="870">
        <f>H16/H20</f>
        <v>20.511627906976742</v>
      </c>
      <c r="I21" s="871"/>
      <c r="J21" s="870">
        <f>J16/J20</f>
        <v>14.699999999999998</v>
      </c>
      <c r="K21" s="871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6"/>
    </row>
    <row r="22" spans="1:22" ht="48" thickTop="1" thickBot="1">
      <c r="A22" s="452"/>
      <c r="B22" s="452"/>
      <c r="C22" s="452"/>
      <c r="D22" s="452"/>
      <c r="E22" s="452"/>
      <c r="F22" s="452"/>
      <c r="G22" s="464" t="s">
        <v>204</v>
      </c>
      <c r="H22" s="38">
        <f>H20*H17</f>
        <v>430</v>
      </c>
      <c r="I22" s="39">
        <f>I23*C18</f>
        <v>320</v>
      </c>
      <c r="J22" s="38">
        <f>J20*J17</f>
        <v>300</v>
      </c>
      <c r="K22" s="39">
        <f>K23*C18</f>
        <v>120</v>
      </c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6"/>
    </row>
    <row r="23" spans="1:22" ht="30.75" customHeight="1" thickTop="1" thickBot="1">
      <c r="A23" s="452"/>
      <c r="B23" s="855" t="s">
        <v>143</v>
      </c>
      <c r="C23" s="856"/>
      <c r="D23" s="452"/>
      <c r="E23" s="17"/>
      <c r="F23" s="452"/>
      <c r="G23" s="36" t="s">
        <v>205</v>
      </c>
      <c r="H23" s="40">
        <f>H22/C18</f>
        <v>21.5</v>
      </c>
      <c r="I23" s="41">
        <v>16</v>
      </c>
      <c r="J23" s="40">
        <f>J22/C18</f>
        <v>15</v>
      </c>
      <c r="K23" s="41">
        <v>6</v>
      </c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6"/>
    </row>
    <row r="24" spans="1:22" ht="32.4" thickTop="1" thickBot="1">
      <c r="A24" s="452"/>
      <c r="B24" s="51" t="s">
        <v>206</v>
      </c>
      <c r="C24" s="467">
        <v>791</v>
      </c>
      <c r="D24" s="452"/>
      <c r="E24" s="17"/>
      <c r="F24" s="452"/>
      <c r="G24" s="468" t="s">
        <v>207</v>
      </c>
      <c r="H24" s="42">
        <v>25</v>
      </c>
      <c r="I24" s="43">
        <f>I22/H20</f>
        <v>18.604651162790699</v>
      </c>
      <c r="J24" s="42">
        <v>25</v>
      </c>
      <c r="K24" s="43">
        <f>K22/J20</f>
        <v>10</v>
      </c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6"/>
    </row>
    <row r="25" spans="1:22" ht="32.4" thickTop="1" thickBot="1">
      <c r="A25" s="452"/>
      <c r="B25" s="33" t="s">
        <v>149</v>
      </c>
      <c r="C25" s="469">
        <f>C24/1000</f>
        <v>0.79100000000000004</v>
      </c>
      <c r="D25" s="452"/>
      <c r="E25" s="17"/>
      <c r="F25" s="452"/>
      <c r="G25" s="175"/>
      <c r="H25" s="175"/>
      <c r="I25" s="175"/>
      <c r="J25" s="175"/>
      <c r="K25" s="175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6"/>
    </row>
    <row r="26" spans="1:22" ht="32.4" thickTop="1" thickBot="1">
      <c r="A26" s="452"/>
      <c r="B26" s="33" t="s">
        <v>208</v>
      </c>
      <c r="C26" s="470">
        <f>C24*C30</f>
        <v>4397.96</v>
      </c>
      <c r="D26" s="452"/>
      <c r="E26" s="17"/>
      <c r="F26" s="452"/>
      <c r="G26" s="859" t="s">
        <v>209</v>
      </c>
      <c r="H26" s="860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1"/>
      <c r="T26" s="452"/>
      <c r="U26" s="452"/>
      <c r="V26" s="456"/>
    </row>
    <row r="27" spans="1:22" ht="63.6" thickTop="1" thickBot="1">
      <c r="A27" s="452"/>
      <c r="B27" s="33" t="s">
        <v>210</v>
      </c>
      <c r="C27" s="470">
        <f>C26/1000</f>
        <v>4.3979600000000003</v>
      </c>
      <c r="D27" s="452"/>
      <c r="E27" s="17"/>
      <c r="F27" s="452"/>
      <c r="G27" s="471" t="s">
        <v>195</v>
      </c>
      <c r="H27" s="472" t="s">
        <v>16</v>
      </c>
      <c r="I27" s="472" t="s">
        <v>211</v>
      </c>
      <c r="J27" s="472" t="s">
        <v>212</v>
      </c>
      <c r="K27" s="472" t="s">
        <v>213</v>
      </c>
      <c r="L27" s="198" t="s">
        <v>167</v>
      </c>
      <c r="M27" s="198" t="s">
        <v>180</v>
      </c>
      <c r="N27" s="198" t="s">
        <v>178</v>
      </c>
      <c r="O27" s="198" t="s">
        <v>179</v>
      </c>
      <c r="P27" s="198" t="s">
        <v>214</v>
      </c>
      <c r="Q27" s="198" t="s">
        <v>215</v>
      </c>
      <c r="R27" s="199" t="s">
        <v>216</v>
      </c>
      <c r="S27" s="200" t="s">
        <v>502</v>
      </c>
      <c r="T27" s="452"/>
      <c r="U27" s="452"/>
      <c r="V27" s="456"/>
    </row>
    <row r="28" spans="1:22" ht="31.8" thickTop="1">
      <c r="A28" s="452"/>
      <c r="B28" s="33" t="s">
        <v>217</v>
      </c>
      <c r="C28" s="473">
        <v>15</v>
      </c>
      <c r="D28" s="452"/>
      <c r="E28" s="22"/>
      <c r="F28" s="452"/>
      <c r="G28" s="847">
        <v>1</v>
      </c>
      <c r="H28" s="474">
        <v>1</v>
      </c>
      <c r="I28" s="475">
        <f>D5-H21</f>
        <v>-0.51162790697674154</v>
      </c>
      <c r="J28" s="844"/>
      <c r="K28" s="845"/>
      <c r="L28" s="845"/>
      <c r="M28" s="845"/>
      <c r="N28" s="845"/>
      <c r="O28" s="845"/>
      <c r="P28" s="845"/>
      <c r="Q28" s="845"/>
      <c r="R28" s="845"/>
      <c r="S28" s="846"/>
      <c r="T28" s="452"/>
      <c r="U28" s="452"/>
      <c r="V28" s="456"/>
    </row>
    <row r="29" spans="1:22" ht="31.2">
      <c r="A29" s="452"/>
      <c r="B29" s="33" t="s">
        <v>218</v>
      </c>
      <c r="C29" s="476">
        <f>C28/C27</f>
        <v>3.4106722207568962</v>
      </c>
      <c r="D29" s="452"/>
      <c r="E29" s="452"/>
      <c r="F29" s="452"/>
      <c r="G29" s="848"/>
      <c r="H29" s="477">
        <v>2</v>
      </c>
      <c r="I29" s="478">
        <f>D6-H21</f>
        <v>24.488372093023258</v>
      </c>
      <c r="J29" s="478">
        <f>I29*H20</f>
        <v>421.20000000000005</v>
      </c>
      <c r="K29" s="478">
        <f>J29/C20</f>
        <v>936.00000000000011</v>
      </c>
      <c r="L29" s="30">
        <f>K29/C27</f>
        <v>212.82594657523035</v>
      </c>
      <c r="M29" s="30">
        <f>L29*C25</f>
        <v>168.34532374100721</v>
      </c>
      <c r="N29" s="30">
        <f>22*C19</f>
        <v>2200</v>
      </c>
      <c r="O29" s="30">
        <f>L47</f>
        <v>269.7667028178721</v>
      </c>
      <c r="P29" s="30">
        <f>H13*C13</f>
        <v>3200</v>
      </c>
      <c r="Q29" s="30">
        <f>H14*C15</f>
        <v>686</v>
      </c>
      <c r="R29" s="44">
        <f>M29+N29+O29+P29+Q29</f>
        <v>6524.1120265588797</v>
      </c>
      <c r="S29" s="479"/>
      <c r="T29" s="452"/>
      <c r="U29" s="452"/>
      <c r="V29" s="456"/>
    </row>
    <row r="30" spans="1:22" ht="31.8" thickBot="1">
      <c r="A30" s="452"/>
      <c r="B30" s="35" t="s">
        <v>159</v>
      </c>
      <c r="C30" s="480">
        <v>5.56</v>
      </c>
      <c r="D30" s="452"/>
      <c r="E30" s="452"/>
      <c r="F30" s="452"/>
      <c r="G30" s="848"/>
      <c r="H30" s="477">
        <v>3</v>
      </c>
      <c r="I30" s="478">
        <f>D7-H21</f>
        <v>-5.5116279069767415</v>
      </c>
      <c r="J30" s="841"/>
      <c r="K30" s="842"/>
      <c r="L30" s="842"/>
      <c r="M30" s="842"/>
      <c r="N30" s="842"/>
      <c r="O30" s="842"/>
      <c r="P30" s="842"/>
      <c r="Q30" s="842"/>
      <c r="R30" s="842"/>
      <c r="S30" s="843"/>
      <c r="T30" s="452"/>
      <c r="U30" s="452"/>
      <c r="V30" s="456"/>
    </row>
    <row r="31" spans="1:22" ht="32.4" thickTop="1" thickBot="1">
      <c r="A31" s="452"/>
      <c r="B31" s="208" t="s">
        <v>129</v>
      </c>
      <c r="C31" s="452"/>
      <c r="D31" s="452"/>
      <c r="E31" s="452"/>
      <c r="F31" s="452"/>
      <c r="G31" s="849"/>
      <c r="H31" s="81">
        <v>4</v>
      </c>
      <c r="I31" s="481">
        <f>D8-H21</f>
        <v>29.488372093023258</v>
      </c>
      <c r="J31" s="45">
        <f>I31*H20</f>
        <v>507.20000000000005</v>
      </c>
      <c r="K31" s="45">
        <f>J31/C20</f>
        <v>1127.1111111111111</v>
      </c>
      <c r="L31" s="45">
        <f>K31/C27</f>
        <v>256.28043709154042</v>
      </c>
      <c r="M31" s="45">
        <f>L31*C25</f>
        <v>202.71782573940848</v>
      </c>
      <c r="N31" s="45">
        <f>22*C19</f>
        <v>2200</v>
      </c>
      <c r="O31" s="45">
        <f>L48</f>
        <v>304.43391974625047</v>
      </c>
      <c r="P31" s="45">
        <f>H13*C13</f>
        <v>3200</v>
      </c>
      <c r="Q31" s="45">
        <f>H14*C15</f>
        <v>686</v>
      </c>
      <c r="R31" s="46">
        <f>SUM(M31:Q31)</f>
        <v>6593.1517454856585</v>
      </c>
      <c r="S31" s="482"/>
      <c r="T31" s="452"/>
      <c r="U31" s="452"/>
      <c r="V31" s="456"/>
    </row>
    <row r="32" spans="1:22" ht="31.8" thickTop="1">
      <c r="A32" s="452"/>
      <c r="B32" s="208" t="s">
        <v>129</v>
      </c>
      <c r="C32" s="452"/>
      <c r="D32" s="452"/>
      <c r="E32" s="452"/>
      <c r="F32" s="452"/>
      <c r="G32" s="850">
        <v>2</v>
      </c>
      <c r="H32" s="201">
        <v>1</v>
      </c>
      <c r="I32" s="483">
        <f>D5-H21</f>
        <v>-0.51162790697674154</v>
      </c>
      <c r="J32" s="838"/>
      <c r="K32" s="839"/>
      <c r="L32" s="839"/>
      <c r="M32" s="839"/>
      <c r="N32" s="839"/>
      <c r="O32" s="839"/>
      <c r="P32" s="839"/>
      <c r="Q32" s="839"/>
      <c r="R32" s="839"/>
      <c r="S32" s="840"/>
      <c r="T32" s="452"/>
      <c r="U32" s="452"/>
      <c r="V32" s="456"/>
    </row>
    <row r="33" spans="1:22" ht="31.2">
      <c r="A33" s="452"/>
      <c r="B33" s="208" t="s">
        <v>129</v>
      </c>
      <c r="C33" s="452"/>
      <c r="D33" s="452"/>
      <c r="E33" s="452"/>
      <c r="F33" s="452"/>
      <c r="G33" s="851"/>
      <c r="H33" s="80">
        <v>2</v>
      </c>
      <c r="I33" s="478">
        <f>D6-H21</f>
        <v>24.488372093023258</v>
      </c>
      <c r="J33" s="30">
        <f>I33*H20</f>
        <v>421.20000000000005</v>
      </c>
      <c r="K33" s="30">
        <f>J33/C20</f>
        <v>936.00000000000011</v>
      </c>
      <c r="L33" s="30">
        <f>K33/C27</f>
        <v>212.82594657523035</v>
      </c>
      <c r="M33" s="30">
        <f>L33*C25</f>
        <v>168.34532374100721</v>
      </c>
      <c r="N33" s="30">
        <f>I23*C19</f>
        <v>1600</v>
      </c>
      <c r="O33" s="30">
        <f>L47</f>
        <v>269.7667028178721</v>
      </c>
      <c r="P33" s="30">
        <f>H13*C13</f>
        <v>3200</v>
      </c>
      <c r="Q33" s="30">
        <f>H14*C15</f>
        <v>686</v>
      </c>
      <c r="R33" s="44">
        <f>SUM(M33:Q33)</f>
        <v>5924.1120265588797</v>
      </c>
      <c r="S33" s="479"/>
      <c r="T33" s="452"/>
      <c r="U33" s="452"/>
      <c r="V33" s="456"/>
    </row>
    <row r="34" spans="1:22" ht="31.2">
      <c r="A34" s="452"/>
      <c r="B34" s="208" t="s">
        <v>129</v>
      </c>
      <c r="C34" s="452"/>
      <c r="D34" s="452"/>
      <c r="E34" s="452"/>
      <c r="F34" s="452"/>
      <c r="G34" s="851"/>
      <c r="H34" s="80">
        <v>3</v>
      </c>
      <c r="I34" s="478">
        <f>D7-H21</f>
        <v>-5.5116279069767415</v>
      </c>
      <c r="J34" s="841"/>
      <c r="K34" s="842"/>
      <c r="L34" s="842"/>
      <c r="M34" s="842"/>
      <c r="N34" s="842"/>
      <c r="O34" s="842"/>
      <c r="P34" s="842"/>
      <c r="Q34" s="842"/>
      <c r="R34" s="842"/>
      <c r="S34" s="843"/>
      <c r="T34" s="452"/>
      <c r="U34" s="452"/>
      <c r="V34" s="456"/>
    </row>
    <row r="35" spans="1:22" ht="31.8" thickBot="1">
      <c r="A35" s="452"/>
      <c r="B35" s="208" t="s">
        <v>129</v>
      </c>
      <c r="C35" s="452"/>
      <c r="D35" s="452"/>
      <c r="E35" s="452"/>
      <c r="F35" s="452"/>
      <c r="G35" s="852"/>
      <c r="H35" s="202">
        <v>4</v>
      </c>
      <c r="I35" s="484">
        <f>D8-H21</f>
        <v>29.488372093023258</v>
      </c>
      <c r="J35" s="47">
        <f>I35*H20</f>
        <v>507.20000000000005</v>
      </c>
      <c r="K35" s="47">
        <f>J35/C20</f>
        <v>1127.1111111111111</v>
      </c>
      <c r="L35" s="47">
        <f>K35/C27</f>
        <v>256.28043709154042</v>
      </c>
      <c r="M35" s="47">
        <f>L35*C25</f>
        <v>202.71782573940848</v>
      </c>
      <c r="N35" s="47">
        <f>I23*C19</f>
        <v>1600</v>
      </c>
      <c r="O35" s="47">
        <f>L48</f>
        <v>304.43391974625047</v>
      </c>
      <c r="P35" s="47">
        <f>H13*C13</f>
        <v>3200</v>
      </c>
      <c r="Q35" s="47">
        <f>H14*C15</f>
        <v>686</v>
      </c>
      <c r="R35" s="48">
        <f>SUM(M35:Q35)</f>
        <v>5993.1517454856585</v>
      </c>
      <c r="S35" s="485"/>
      <c r="T35" s="452"/>
      <c r="U35" s="452"/>
      <c r="V35" s="456"/>
    </row>
    <row r="36" spans="1:22" ht="31.8" thickTop="1">
      <c r="A36" s="452"/>
      <c r="B36" s="208" t="s">
        <v>129</v>
      </c>
      <c r="C36" s="452"/>
      <c r="D36" s="452"/>
      <c r="E36" s="452"/>
      <c r="F36" s="452"/>
      <c r="G36" s="889">
        <v>3</v>
      </c>
      <c r="H36" s="203">
        <v>1</v>
      </c>
      <c r="I36" s="49">
        <f>D5-J21</f>
        <v>5.3000000000000025</v>
      </c>
      <c r="J36" s="838"/>
      <c r="K36" s="839"/>
      <c r="L36" s="839"/>
      <c r="M36" s="839"/>
      <c r="N36" s="839"/>
      <c r="O36" s="839"/>
      <c r="P36" s="839"/>
      <c r="Q36" s="839"/>
      <c r="R36" s="839"/>
      <c r="S36" s="840"/>
      <c r="T36" s="452"/>
      <c r="U36" s="452"/>
      <c r="V36" s="456"/>
    </row>
    <row r="37" spans="1:22" ht="31.8" thickBot="1">
      <c r="A37" s="452"/>
      <c r="B37" s="208" t="s">
        <v>129</v>
      </c>
      <c r="C37" s="452"/>
      <c r="D37" s="452"/>
      <c r="E37" s="452"/>
      <c r="F37" s="452"/>
      <c r="G37" s="851"/>
      <c r="H37" s="80">
        <v>2</v>
      </c>
      <c r="I37" s="47">
        <f>D6-J21</f>
        <v>30.300000000000004</v>
      </c>
      <c r="J37" s="30">
        <f>I37*J20</f>
        <v>363.6</v>
      </c>
      <c r="K37" s="30">
        <f>J37/C20</f>
        <v>808</v>
      </c>
      <c r="L37" s="30">
        <f>K37/C27</f>
        <v>183.72154362477147</v>
      </c>
      <c r="M37" s="30">
        <f>L37*C25</f>
        <v>145.32374100719423</v>
      </c>
      <c r="N37" s="30">
        <f>15*C19</f>
        <v>1500</v>
      </c>
      <c r="O37" s="30">
        <f>L49</f>
        <v>245.18253690948723</v>
      </c>
      <c r="P37" s="30">
        <f>J13*C13</f>
        <v>1600</v>
      </c>
      <c r="Q37" s="30">
        <f>J14*C15</f>
        <v>343</v>
      </c>
      <c r="R37" s="44">
        <f>SUM(M37:Q37)</f>
        <v>3833.5062779166815</v>
      </c>
      <c r="S37" s="408">
        <f>C21*J22</f>
        <v>5475000</v>
      </c>
      <c r="T37" s="452"/>
      <c r="U37" s="452"/>
      <c r="V37" s="456"/>
    </row>
    <row r="38" spans="1:22" ht="32.4" thickTop="1" thickBot="1">
      <c r="A38" s="452"/>
      <c r="B38" s="807" t="s">
        <v>219</v>
      </c>
      <c r="C38" s="808"/>
      <c r="D38" s="208" t="s">
        <v>129</v>
      </c>
      <c r="E38" s="452"/>
      <c r="F38" s="452"/>
      <c r="G38" s="851"/>
      <c r="H38" s="204">
        <v>3</v>
      </c>
      <c r="I38" s="30">
        <f>D7-J21</f>
        <v>0.30000000000000249</v>
      </c>
      <c r="J38" s="841"/>
      <c r="K38" s="842"/>
      <c r="L38" s="842"/>
      <c r="M38" s="842"/>
      <c r="N38" s="842"/>
      <c r="O38" s="842"/>
      <c r="P38" s="842"/>
      <c r="Q38" s="842"/>
      <c r="R38" s="842"/>
      <c r="S38" s="843"/>
      <c r="T38" s="452"/>
      <c r="U38" s="452"/>
      <c r="V38" s="456"/>
    </row>
    <row r="39" spans="1:22" ht="48" thickTop="1" thickBot="1">
      <c r="A39" s="452"/>
      <c r="B39" s="51" t="s">
        <v>220</v>
      </c>
      <c r="C39" s="406">
        <v>1.4999999999999999E-2</v>
      </c>
      <c r="D39" s="452"/>
      <c r="E39" s="452"/>
      <c r="F39" s="452"/>
      <c r="G39" s="885"/>
      <c r="H39" s="81">
        <v>4</v>
      </c>
      <c r="I39" s="50">
        <f>D8-J21</f>
        <v>35.300000000000004</v>
      </c>
      <c r="J39" s="45">
        <f>I39*J20</f>
        <v>423.6</v>
      </c>
      <c r="K39" s="45">
        <f>J39/C20</f>
        <v>941.33333333333337</v>
      </c>
      <c r="L39" s="45">
        <f>K39/C27</f>
        <v>214.03863003149945</v>
      </c>
      <c r="M39" s="45">
        <f>L39*C25</f>
        <v>169.30455635491609</v>
      </c>
      <c r="N39" s="45">
        <f>15*C19</f>
        <v>1500</v>
      </c>
      <c r="O39" s="45">
        <f>L50</f>
        <v>270.7651729806862</v>
      </c>
      <c r="P39" s="45">
        <f>J13*C13</f>
        <v>1600</v>
      </c>
      <c r="Q39" s="45">
        <f>J14*C15</f>
        <v>343</v>
      </c>
      <c r="R39" s="46">
        <f>SUM(M39:Q39)</f>
        <v>3883.0697293356025</v>
      </c>
      <c r="S39" s="375">
        <f>J22*C21</f>
        <v>5475000</v>
      </c>
      <c r="T39" s="452"/>
      <c r="U39" s="452"/>
      <c r="V39" s="456"/>
    </row>
    <row r="40" spans="1:22" ht="47.4" thickTop="1">
      <c r="A40" s="452"/>
      <c r="B40" s="33" t="s">
        <v>221</v>
      </c>
      <c r="C40" s="369">
        <v>0.15</v>
      </c>
      <c r="D40" s="452"/>
      <c r="E40" s="452"/>
      <c r="F40" s="452"/>
      <c r="G40" s="850">
        <v>4</v>
      </c>
      <c r="H40" s="201">
        <v>1</v>
      </c>
      <c r="I40" s="29">
        <f>D5-J21</f>
        <v>5.3000000000000025</v>
      </c>
      <c r="J40" s="838"/>
      <c r="K40" s="839"/>
      <c r="L40" s="839"/>
      <c r="M40" s="839"/>
      <c r="N40" s="839"/>
      <c r="O40" s="839"/>
      <c r="P40" s="839"/>
      <c r="Q40" s="839"/>
      <c r="R40" s="839"/>
      <c r="S40" s="840"/>
      <c r="T40" s="452"/>
      <c r="U40" s="452"/>
      <c r="V40" s="456"/>
    </row>
    <row r="41" spans="1:22" ht="47.4" thickBot="1">
      <c r="A41" s="452"/>
      <c r="B41" s="35" t="s">
        <v>222</v>
      </c>
      <c r="C41" s="378">
        <v>15</v>
      </c>
      <c r="D41" s="452"/>
      <c r="E41" s="452"/>
      <c r="F41" s="452"/>
      <c r="G41" s="851"/>
      <c r="H41" s="80">
        <v>2</v>
      </c>
      <c r="I41" s="30">
        <f>D6-J21</f>
        <v>30.300000000000004</v>
      </c>
      <c r="J41" s="30">
        <f>I41*J20</f>
        <v>363.6</v>
      </c>
      <c r="K41" s="30">
        <f>J41/C20</f>
        <v>808</v>
      </c>
      <c r="L41" s="30">
        <f>K41/C27</f>
        <v>183.72154362477147</v>
      </c>
      <c r="M41" s="30">
        <f>L41*C25</f>
        <v>145.32374100719423</v>
      </c>
      <c r="N41" s="30">
        <f>K23*C19</f>
        <v>600</v>
      </c>
      <c r="O41" s="30">
        <f>L49</f>
        <v>245.18253690948723</v>
      </c>
      <c r="P41" s="30">
        <f>J13*C13</f>
        <v>1600</v>
      </c>
      <c r="Q41" s="30">
        <f>J14*C15</f>
        <v>343</v>
      </c>
      <c r="R41" s="44">
        <f>SUM(M41:Q41)</f>
        <v>2933.5062779166815</v>
      </c>
      <c r="S41" s="479"/>
      <c r="T41" s="452"/>
      <c r="U41" s="452"/>
      <c r="V41" s="456"/>
    </row>
    <row r="42" spans="1:22" ht="31.8" thickTop="1">
      <c r="A42" s="452"/>
      <c r="B42" s="452"/>
      <c r="C42" s="452"/>
      <c r="D42" s="208" t="s">
        <v>129</v>
      </c>
      <c r="E42" s="452"/>
      <c r="F42" s="452"/>
      <c r="G42" s="851"/>
      <c r="H42" s="80">
        <v>3</v>
      </c>
      <c r="I42" s="30">
        <f>D7-J21</f>
        <v>0.30000000000000249</v>
      </c>
      <c r="J42" s="841"/>
      <c r="K42" s="842"/>
      <c r="L42" s="842"/>
      <c r="M42" s="842"/>
      <c r="N42" s="842"/>
      <c r="O42" s="842"/>
      <c r="P42" s="842"/>
      <c r="Q42" s="842"/>
      <c r="R42" s="842"/>
      <c r="S42" s="843"/>
      <c r="T42" s="452"/>
      <c r="U42" s="452"/>
      <c r="V42" s="456"/>
    </row>
    <row r="43" spans="1:22" ht="31.8" thickBot="1">
      <c r="A43" s="452"/>
      <c r="B43" s="452"/>
      <c r="C43" s="452"/>
      <c r="D43" s="208" t="s">
        <v>129</v>
      </c>
      <c r="E43" s="452"/>
      <c r="F43" s="452"/>
      <c r="G43" s="885"/>
      <c r="H43" s="81">
        <v>4</v>
      </c>
      <c r="I43" s="45">
        <f>D8-J21</f>
        <v>35.300000000000004</v>
      </c>
      <c r="J43" s="45">
        <f>I43*J20</f>
        <v>423.6</v>
      </c>
      <c r="K43" s="45">
        <f>J43/C20</f>
        <v>941.33333333333337</v>
      </c>
      <c r="L43" s="45">
        <f>K43/C27</f>
        <v>214.03863003149945</v>
      </c>
      <c r="M43" s="45">
        <f>L43*C25</f>
        <v>169.30455635491609</v>
      </c>
      <c r="N43" s="45">
        <f>K23*C19</f>
        <v>600</v>
      </c>
      <c r="O43" s="45">
        <f>L50</f>
        <v>270.7651729806862</v>
      </c>
      <c r="P43" s="45">
        <f>J13*C13</f>
        <v>1600</v>
      </c>
      <c r="Q43" s="45">
        <f>J14*C15</f>
        <v>343</v>
      </c>
      <c r="R43" s="46">
        <f>SUM(M43:Q43)</f>
        <v>2983.0697293356025</v>
      </c>
      <c r="S43" s="482"/>
      <c r="T43" s="452"/>
      <c r="U43" s="452"/>
      <c r="V43" s="456"/>
    </row>
    <row r="44" spans="1:22" ht="32.4" thickTop="1" thickBot="1">
      <c r="A44" s="452"/>
      <c r="B44" s="807" t="s">
        <v>223</v>
      </c>
      <c r="C44" s="808"/>
      <c r="D44" s="208" t="s">
        <v>129</v>
      </c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6"/>
    </row>
    <row r="45" spans="1:22" ht="32.4" thickTop="1" thickBot="1">
      <c r="A45" s="452"/>
      <c r="B45" s="51" t="s">
        <v>206</v>
      </c>
      <c r="C45" s="54">
        <f>8*1000</f>
        <v>8000</v>
      </c>
      <c r="D45" s="452"/>
      <c r="E45" s="452"/>
      <c r="F45" s="452"/>
      <c r="G45" s="812" t="s">
        <v>224</v>
      </c>
      <c r="H45" s="813"/>
      <c r="I45" s="813"/>
      <c r="J45" s="813"/>
      <c r="K45" s="813"/>
      <c r="L45" s="814"/>
      <c r="M45" s="452"/>
      <c r="N45" s="452"/>
      <c r="O45" s="452"/>
      <c r="P45" s="452"/>
      <c r="Q45" s="452"/>
      <c r="R45" s="452"/>
      <c r="S45" s="452"/>
      <c r="T45" s="452"/>
      <c r="U45" s="452"/>
      <c r="V45" s="456"/>
    </row>
    <row r="46" spans="1:22" ht="32.4" thickTop="1" thickBot="1">
      <c r="A46" s="452"/>
      <c r="B46" s="35" t="s">
        <v>149</v>
      </c>
      <c r="C46" s="55">
        <f>C45/1000</f>
        <v>8</v>
      </c>
      <c r="D46" s="452"/>
      <c r="E46" s="452"/>
      <c r="F46" s="452"/>
      <c r="G46" s="486" t="s">
        <v>195</v>
      </c>
      <c r="H46" s="487" t="s">
        <v>16</v>
      </c>
      <c r="I46" s="52" t="s">
        <v>225</v>
      </c>
      <c r="J46" s="52" t="s">
        <v>226</v>
      </c>
      <c r="K46" s="52" t="s">
        <v>227</v>
      </c>
      <c r="L46" s="53" t="s">
        <v>81</v>
      </c>
      <c r="M46" s="452"/>
      <c r="N46" s="452"/>
      <c r="O46" s="452"/>
      <c r="P46" s="452"/>
      <c r="Q46" s="452"/>
      <c r="R46" s="452"/>
      <c r="S46" s="452"/>
      <c r="T46" s="452"/>
      <c r="U46" s="452"/>
      <c r="V46" s="456"/>
    </row>
    <row r="47" spans="1:22" ht="31.8" thickTop="1">
      <c r="A47" s="452"/>
      <c r="B47" s="452"/>
      <c r="C47" s="452"/>
      <c r="D47" s="208" t="s">
        <v>129</v>
      </c>
      <c r="E47" s="452"/>
      <c r="F47" s="452"/>
      <c r="G47" s="878" t="s">
        <v>228</v>
      </c>
      <c r="H47" s="488">
        <v>2</v>
      </c>
      <c r="I47" s="29">
        <f>(L29)^(1/3)</f>
        <v>5.9704654736052047</v>
      </c>
      <c r="J47" s="29">
        <f>I47+2*C40</f>
        <v>6.2704654736052046</v>
      </c>
      <c r="K47" s="29">
        <f>J47^3</f>
        <v>246.54678442746436</v>
      </c>
      <c r="L47" s="386">
        <f>(K47-L29)*C46</f>
        <v>269.7667028178721</v>
      </c>
      <c r="M47" s="452"/>
      <c r="N47" s="452"/>
      <c r="O47" s="452"/>
      <c r="P47" s="452"/>
      <c r="Q47" s="452"/>
      <c r="R47" s="452"/>
      <c r="S47" s="452"/>
      <c r="T47" s="452"/>
      <c r="U47" s="452"/>
      <c r="V47" s="456"/>
    </row>
    <row r="48" spans="1:22" ht="31.8" thickBot="1">
      <c r="A48" s="452"/>
      <c r="B48" s="452"/>
      <c r="C48" s="452"/>
      <c r="D48" s="208" t="s">
        <v>129</v>
      </c>
      <c r="E48" s="452"/>
      <c r="F48" s="452"/>
      <c r="G48" s="879"/>
      <c r="H48" s="489">
        <v>4</v>
      </c>
      <c r="I48" s="47">
        <f>(L31)^(1/3)</f>
        <v>6.3519219353700258</v>
      </c>
      <c r="J48" s="47">
        <f>I48+2*C40</f>
        <v>6.6519219353700256</v>
      </c>
      <c r="K48" s="47">
        <f>J48^3</f>
        <v>294.33467705982173</v>
      </c>
      <c r="L48" s="371">
        <f>(K48-L31)*C46</f>
        <v>304.43391974625047</v>
      </c>
      <c r="M48" s="452"/>
      <c r="N48" s="452"/>
      <c r="O48" s="452"/>
      <c r="P48" s="452"/>
      <c r="Q48" s="452"/>
      <c r="R48" s="452"/>
      <c r="S48" s="452"/>
      <c r="T48" s="452"/>
      <c r="U48" s="452"/>
      <c r="V48" s="456"/>
    </row>
    <row r="49" spans="1:22" ht="32.4" thickTop="1" thickBot="1">
      <c r="A49" s="452"/>
      <c r="B49" s="890" t="s">
        <v>155</v>
      </c>
      <c r="C49" s="891"/>
      <c r="D49" s="891"/>
      <c r="E49" s="892"/>
      <c r="F49" s="208" t="s">
        <v>129</v>
      </c>
      <c r="G49" s="880" t="s">
        <v>229</v>
      </c>
      <c r="H49" s="490">
        <v>2</v>
      </c>
      <c r="I49" s="49">
        <f>L37^(1/3)</f>
        <v>5.6848633339880257</v>
      </c>
      <c r="J49" s="49">
        <f>I49+2*C40</f>
        <v>5.9848633339880255</v>
      </c>
      <c r="K49" s="49">
        <f>J49^3</f>
        <v>214.36936073845737</v>
      </c>
      <c r="L49" s="434">
        <f>(K49-L37)*C46</f>
        <v>245.18253690948723</v>
      </c>
      <c r="M49" s="452"/>
      <c r="N49" s="452"/>
      <c r="O49" s="452"/>
      <c r="P49" s="452"/>
      <c r="Q49" s="452"/>
      <c r="R49" s="452"/>
      <c r="S49" s="452"/>
      <c r="T49" s="452"/>
      <c r="U49" s="452"/>
      <c r="V49" s="456"/>
    </row>
    <row r="50" spans="1:22" ht="43.2" thickTop="1" thickBot="1">
      <c r="A50" s="452"/>
      <c r="B50" s="210" t="s">
        <v>230</v>
      </c>
      <c r="C50" s="56" t="s">
        <v>231</v>
      </c>
      <c r="D50" s="56" t="s">
        <v>498</v>
      </c>
      <c r="E50" s="57" t="s">
        <v>499</v>
      </c>
      <c r="F50" s="452"/>
      <c r="G50" s="881"/>
      <c r="H50" s="491">
        <v>4</v>
      </c>
      <c r="I50" s="45">
        <f>L39^(1/3)</f>
        <v>5.9817839186565802</v>
      </c>
      <c r="J50" s="45">
        <f>I50+2*C40</f>
        <v>6.28178391865658</v>
      </c>
      <c r="K50" s="45">
        <f>J50^3</f>
        <v>247.88427665408523</v>
      </c>
      <c r="L50" s="375">
        <f>(K50-L39)*C46</f>
        <v>270.7651729806862</v>
      </c>
      <c r="M50" s="452"/>
      <c r="N50" s="452"/>
      <c r="O50" s="452"/>
      <c r="P50" s="452"/>
      <c r="Q50" s="452"/>
      <c r="R50" s="452"/>
      <c r="S50" s="452"/>
      <c r="T50" s="452"/>
      <c r="U50" s="452"/>
      <c r="V50" s="456"/>
    </row>
    <row r="51" spans="1:22" ht="27" customHeight="1" thickTop="1" thickBot="1">
      <c r="A51" s="452"/>
      <c r="B51" s="179" t="s">
        <v>496</v>
      </c>
      <c r="C51" s="304">
        <v>1.07</v>
      </c>
      <c r="D51" s="88">
        <f>C51/(32/100)</f>
        <v>3.34375</v>
      </c>
      <c r="E51" s="386">
        <f>D51*0.75</f>
        <v>2.5078125</v>
      </c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6"/>
    </row>
    <row r="52" spans="1:22" ht="32.4" thickTop="1" thickBot="1">
      <c r="A52" s="452"/>
      <c r="B52" s="180" t="s">
        <v>497</v>
      </c>
      <c r="C52" s="377">
        <v>0.37</v>
      </c>
      <c r="D52" s="89">
        <f>C52/(32/100)</f>
        <v>1.15625</v>
      </c>
      <c r="E52" s="375">
        <f>D52*0.75</f>
        <v>0.8671875</v>
      </c>
      <c r="F52" s="208" t="s">
        <v>129</v>
      </c>
      <c r="G52" s="882" t="s">
        <v>232</v>
      </c>
      <c r="H52" s="883"/>
      <c r="I52" s="883"/>
      <c r="J52" s="883"/>
      <c r="K52" s="884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6"/>
    </row>
    <row r="53" spans="1:22" ht="42.6" thickTop="1" thickBot="1">
      <c r="A53" s="452"/>
      <c r="B53" s="452"/>
      <c r="C53" s="452"/>
      <c r="D53" s="452"/>
      <c r="E53" s="452"/>
      <c r="F53" s="208" t="s">
        <v>129</v>
      </c>
      <c r="G53" s="209" t="s">
        <v>16</v>
      </c>
      <c r="H53" s="58" t="s">
        <v>233</v>
      </c>
      <c r="I53" s="58" t="s">
        <v>234</v>
      </c>
      <c r="J53" s="58" t="s">
        <v>235</v>
      </c>
      <c r="K53" s="59" t="s">
        <v>236</v>
      </c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6"/>
    </row>
    <row r="54" spans="1:22" ht="31.8" thickTop="1">
      <c r="A54" s="452"/>
      <c r="B54" s="452"/>
      <c r="C54" s="452"/>
      <c r="D54" s="452"/>
      <c r="E54" s="452"/>
      <c r="F54" s="208" t="s">
        <v>129</v>
      </c>
      <c r="G54" s="438">
        <v>2</v>
      </c>
      <c r="H54" s="29">
        <f>D6/J17</f>
        <v>1.8</v>
      </c>
      <c r="I54" s="29">
        <f>H54*E6</f>
        <v>7.2</v>
      </c>
      <c r="J54" s="29">
        <f>I54*F6</f>
        <v>36</v>
      </c>
      <c r="K54" s="386">
        <f>J54*G6</f>
        <v>1440</v>
      </c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6"/>
    </row>
    <row r="55" spans="1:22" ht="31.8" thickBot="1">
      <c r="A55" s="452"/>
      <c r="B55" s="452"/>
      <c r="C55" s="452"/>
      <c r="D55" s="452"/>
      <c r="E55" s="452"/>
      <c r="F55" s="208" t="s">
        <v>129</v>
      </c>
      <c r="G55" s="435">
        <v>4</v>
      </c>
      <c r="H55" s="45">
        <f>D8/J17</f>
        <v>2</v>
      </c>
      <c r="I55" s="45">
        <f>H55*E8</f>
        <v>4</v>
      </c>
      <c r="J55" s="45">
        <f>I55*F8</f>
        <v>24</v>
      </c>
      <c r="K55" s="375">
        <f>J55*G8</f>
        <v>1248</v>
      </c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6"/>
    </row>
    <row r="56" spans="1:22" ht="32.4" thickTop="1" thickBot="1">
      <c r="A56" s="452"/>
      <c r="B56" s="874" t="s">
        <v>237</v>
      </c>
      <c r="C56" s="829"/>
      <c r="D56" s="830"/>
      <c r="E56" s="452"/>
      <c r="F56" s="208" t="s">
        <v>129</v>
      </c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6"/>
    </row>
    <row r="57" spans="1:22" ht="42.6" thickTop="1" thickBot="1">
      <c r="A57" s="452"/>
      <c r="B57" s="492" t="s">
        <v>16</v>
      </c>
      <c r="C57" s="63" t="s">
        <v>230</v>
      </c>
      <c r="D57" s="64" t="s">
        <v>501</v>
      </c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6"/>
    </row>
    <row r="58" spans="1:22" ht="32.4" thickTop="1" thickBot="1">
      <c r="A58" s="452"/>
      <c r="B58" s="433">
        <v>2</v>
      </c>
      <c r="C58" s="176" t="s">
        <v>496</v>
      </c>
      <c r="D58" s="434">
        <f>I63/(I59+I60)</f>
        <v>3.2488838677078142</v>
      </c>
      <c r="E58" s="208" t="s">
        <v>129</v>
      </c>
      <c r="F58" s="452"/>
      <c r="G58" s="28"/>
      <c r="H58" s="60"/>
      <c r="I58" s="232" t="s">
        <v>239</v>
      </c>
      <c r="J58" s="232" t="s">
        <v>240</v>
      </c>
      <c r="K58" s="233" t="s">
        <v>241</v>
      </c>
      <c r="L58" s="452"/>
      <c r="M58" s="70"/>
      <c r="N58" s="71"/>
      <c r="O58" s="232" t="s">
        <v>239</v>
      </c>
      <c r="P58" s="232" t="s">
        <v>240</v>
      </c>
      <c r="Q58" s="233" t="s">
        <v>241</v>
      </c>
      <c r="R58" s="452"/>
      <c r="S58" s="452"/>
      <c r="T58" s="452"/>
      <c r="U58" s="452"/>
      <c r="V58" s="456"/>
    </row>
    <row r="59" spans="1:22" ht="42.6" thickTop="1">
      <c r="A59" s="452"/>
      <c r="B59" s="440">
        <v>4</v>
      </c>
      <c r="C59" s="177" t="s">
        <v>496</v>
      </c>
      <c r="D59" s="408">
        <f>O63/(O59+O60)</f>
        <v>3.2681834445954538</v>
      </c>
      <c r="F59" s="452"/>
      <c r="G59" s="875" t="s">
        <v>242</v>
      </c>
      <c r="H59" s="65" t="s">
        <v>529</v>
      </c>
      <c r="I59" s="29">
        <f>K37*E6</f>
        <v>3232</v>
      </c>
      <c r="J59" s="29">
        <f>I59*F6</f>
        <v>16160</v>
      </c>
      <c r="K59" s="386">
        <f>J59*G6</f>
        <v>646400</v>
      </c>
      <c r="L59" s="452"/>
      <c r="M59" s="886" t="s">
        <v>243</v>
      </c>
      <c r="N59" s="85" t="s">
        <v>488</v>
      </c>
      <c r="O59" s="493">
        <f>K39*E8</f>
        <v>1882.6666666666667</v>
      </c>
      <c r="P59" s="493">
        <f>O59*F8</f>
        <v>11296</v>
      </c>
      <c r="Q59" s="494">
        <f>P59*G8</f>
        <v>587392</v>
      </c>
      <c r="R59" s="452"/>
      <c r="S59" s="452"/>
      <c r="T59" s="452"/>
      <c r="U59" s="452"/>
      <c r="V59" s="456"/>
    </row>
    <row r="60" spans="1:22" ht="28.2">
      <c r="A60" s="452"/>
      <c r="B60" s="440">
        <v>2</v>
      </c>
      <c r="C60" s="177" t="s">
        <v>500</v>
      </c>
      <c r="D60" s="408">
        <f>I70/(I67+I66)</f>
        <v>2.9548913341848562</v>
      </c>
      <c r="E60" s="452"/>
      <c r="F60" s="452"/>
      <c r="G60" s="876"/>
      <c r="H60" s="66" t="s">
        <v>511</v>
      </c>
      <c r="I60" s="30">
        <f>E6*J16</f>
        <v>705.59999999999991</v>
      </c>
      <c r="J60" s="30">
        <f>I60*F6</f>
        <v>3527.9999999999995</v>
      </c>
      <c r="K60" s="408">
        <f>J60*G6</f>
        <v>141119.99999999997</v>
      </c>
      <c r="L60" s="452"/>
      <c r="M60" s="887"/>
      <c r="N60" s="66" t="s">
        <v>511</v>
      </c>
      <c r="O60" s="30">
        <f>J16*E8</f>
        <v>352.79999999999995</v>
      </c>
      <c r="P60" s="30">
        <f>O60*F8</f>
        <v>2116.7999999999997</v>
      </c>
      <c r="Q60" s="495">
        <f>P60*G8</f>
        <v>110073.59999999999</v>
      </c>
      <c r="R60" s="452"/>
      <c r="S60" s="452"/>
      <c r="T60" s="452"/>
      <c r="U60" s="452"/>
      <c r="V60" s="456"/>
    </row>
    <row r="61" spans="1:22" ht="28.8" thickBot="1">
      <c r="A61" s="452"/>
      <c r="B61" s="435">
        <v>4</v>
      </c>
      <c r="C61" s="178" t="s">
        <v>500</v>
      </c>
      <c r="D61" s="375">
        <f>O70/(O66+O67)</f>
        <v>3.0092609973808528</v>
      </c>
      <c r="E61" s="452"/>
      <c r="F61" s="452"/>
      <c r="G61" s="876"/>
      <c r="H61" s="66" t="s">
        <v>185</v>
      </c>
      <c r="I61" s="47">
        <f>C29*I59</f>
        <v>11023.292617486288</v>
      </c>
      <c r="J61" s="47">
        <f>I61*F6</f>
        <v>55116.463087431439</v>
      </c>
      <c r="K61" s="371">
        <f>J61*G6</f>
        <v>2204658.5234972574</v>
      </c>
      <c r="L61" s="452"/>
      <c r="M61" s="887"/>
      <c r="N61" s="66" t="s">
        <v>185</v>
      </c>
      <c r="O61" s="47">
        <f>O59*C29</f>
        <v>6421.1589009449835</v>
      </c>
      <c r="P61" s="47">
        <f>O61*F8</f>
        <v>38526.953405669905</v>
      </c>
      <c r="Q61" s="496">
        <f>P61*G8</f>
        <v>2003401.577094835</v>
      </c>
      <c r="R61" s="452"/>
      <c r="S61" s="452"/>
      <c r="T61" s="452"/>
      <c r="U61" s="452"/>
      <c r="V61" s="456"/>
    </row>
    <row r="62" spans="1:22" ht="28.8" thickTop="1">
      <c r="A62" s="452"/>
      <c r="B62" s="452"/>
      <c r="C62" s="452"/>
      <c r="D62" s="452"/>
      <c r="E62" s="452"/>
      <c r="F62" s="452"/>
      <c r="G62" s="876"/>
      <c r="H62" s="66" t="s">
        <v>186</v>
      </c>
      <c r="I62" s="497">
        <f>I60*E51</f>
        <v>1769.5124999999998</v>
      </c>
      <c r="J62" s="30">
        <f>I62*F6</f>
        <v>8847.5625</v>
      </c>
      <c r="K62" s="408">
        <f>J62*G6</f>
        <v>353902.5</v>
      </c>
      <c r="L62" s="452"/>
      <c r="M62" s="887"/>
      <c r="N62" s="66" t="s">
        <v>186</v>
      </c>
      <c r="O62" s="30">
        <f>O60*E51</f>
        <v>884.75624999999991</v>
      </c>
      <c r="P62" s="30">
        <f>O62*F8</f>
        <v>5308.5374999999995</v>
      </c>
      <c r="Q62" s="495">
        <f>P62*G8</f>
        <v>276043.94999999995</v>
      </c>
      <c r="R62" s="452"/>
      <c r="S62" s="452"/>
      <c r="T62" s="452"/>
      <c r="U62" s="452"/>
      <c r="V62" s="456"/>
    </row>
    <row r="63" spans="1:22" ht="31.8" thickBot="1">
      <c r="A63" s="452"/>
      <c r="B63" s="452"/>
      <c r="C63" s="452"/>
      <c r="D63" s="452"/>
      <c r="E63" s="452"/>
      <c r="F63" s="208" t="s">
        <v>129</v>
      </c>
      <c r="G63" s="877"/>
      <c r="H63" s="67" t="s">
        <v>187</v>
      </c>
      <c r="I63" s="50">
        <f>I62+I61</f>
        <v>12792.805117486289</v>
      </c>
      <c r="J63" s="50">
        <f>J61+J62</f>
        <v>63964.025587431439</v>
      </c>
      <c r="K63" s="498">
        <f>K61+K62</f>
        <v>2558561.0234972574</v>
      </c>
      <c r="L63" s="452"/>
      <c r="M63" s="888"/>
      <c r="N63" s="86" t="s">
        <v>187</v>
      </c>
      <c r="O63" s="499">
        <f>O62+O61</f>
        <v>7305.9151509449839</v>
      </c>
      <c r="P63" s="499">
        <f>P61+P62</f>
        <v>43835.490905669903</v>
      </c>
      <c r="Q63" s="500">
        <f>Q61+Q62</f>
        <v>2279445.5270948349</v>
      </c>
      <c r="R63" s="452"/>
      <c r="S63" s="452"/>
      <c r="T63" s="452"/>
      <c r="U63" s="452"/>
      <c r="V63" s="456"/>
    </row>
    <row r="64" spans="1:22" ht="32.4" thickTop="1" thickBot="1">
      <c r="A64" s="452"/>
      <c r="B64" s="452"/>
      <c r="C64" s="452"/>
      <c r="D64" s="452"/>
      <c r="E64" s="452"/>
      <c r="F64" s="208" t="s">
        <v>129</v>
      </c>
      <c r="G64" s="68"/>
      <c r="H64" s="69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6"/>
    </row>
    <row r="65" spans="1:22" ht="32.4" thickTop="1" thickBot="1">
      <c r="A65" s="452"/>
      <c r="B65" s="452"/>
      <c r="C65" s="452"/>
      <c r="D65" s="452"/>
      <c r="E65" s="452"/>
      <c r="F65" s="452"/>
      <c r="G65" s="70"/>
      <c r="H65" s="181"/>
      <c r="I65" s="232" t="s">
        <v>239</v>
      </c>
      <c r="J65" s="232" t="s">
        <v>240</v>
      </c>
      <c r="K65" s="233" t="s">
        <v>241</v>
      </c>
      <c r="L65" s="208" t="s">
        <v>129</v>
      </c>
      <c r="M65" s="61"/>
      <c r="N65" s="62"/>
      <c r="O65" s="232" t="s">
        <v>239</v>
      </c>
      <c r="P65" s="232" t="s">
        <v>240</v>
      </c>
      <c r="Q65" s="233" t="s">
        <v>241</v>
      </c>
      <c r="R65" s="452"/>
      <c r="S65" s="452"/>
      <c r="T65" s="452"/>
      <c r="U65" s="452"/>
      <c r="V65" s="456"/>
    </row>
    <row r="66" spans="1:22" ht="42.6" thickTop="1">
      <c r="A66" s="452"/>
      <c r="B66" s="452"/>
      <c r="C66" s="452"/>
      <c r="D66" s="452"/>
      <c r="E66" s="452"/>
      <c r="F66" s="452"/>
      <c r="G66" s="893" t="s">
        <v>244</v>
      </c>
      <c r="H66" s="72" t="s">
        <v>488</v>
      </c>
      <c r="I66" s="49">
        <f>K37*E6</f>
        <v>3232</v>
      </c>
      <c r="J66" s="49">
        <f>I66*F6</f>
        <v>16160</v>
      </c>
      <c r="K66" s="434">
        <f>J66*G6</f>
        <v>646400</v>
      </c>
      <c r="L66" s="452"/>
      <c r="M66" s="875" t="s">
        <v>245</v>
      </c>
      <c r="N66" s="65" t="s">
        <v>488</v>
      </c>
      <c r="O66" s="29">
        <f>K39*E8</f>
        <v>1882.6666666666667</v>
      </c>
      <c r="P66" s="29">
        <f>O66*F8</f>
        <v>11296</v>
      </c>
      <c r="Q66" s="386">
        <f>P66*G8</f>
        <v>587392</v>
      </c>
      <c r="R66" s="452"/>
      <c r="S66" s="452"/>
      <c r="T66" s="452"/>
      <c r="U66" s="452"/>
      <c r="V66" s="456"/>
    </row>
    <row r="67" spans="1:22" ht="28.2">
      <c r="A67" s="452"/>
      <c r="B67" s="452"/>
      <c r="C67" s="452"/>
      <c r="D67" s="452"/>
      <c r="E67" s="452"/>
      <c r="F67" s="452"/>
      <c r="G67" s="876"/>
      <c r="H67" s="66" t="s">
        <v>511</v>
      </c>
      <c r="I67" s="30">
        <f>J16*E6</f>
        <v>705.59999999999991</v>
      </c>
      <c r="J67" s="30">
        <f>I67*F6</f>
        <v>3527.9999999999995</v>
      </c>
      <c r="K67" s="408">
        <f>J67*G6</f>
        <v>141119.99999999997</v>
      </c>
      <c r="L67" s="452"/>
      <c r="M67" s="876"/>
      <c r="N67" s="66" t="s">
        <v>511</v>
      </c>
      <c r="O67" s="30">
        <f>J16*E8</f>
        <v>352.79999999999995</v>
      </c>
      <c r="P67" s="30">
        <f>O67*F8</f>
        <v>2116.7999999999997</v>
      </c>
      <c r="Q67" s="408">
        <f>P67*G8</f>
        <v>110073.59999999999</v>
      </c>
      <c r="R67" s="452"/>
      <c r="S67" s="452"/>
      <c r="T67" s="452"/>
      <c r="U67" s="452"/>
      <c r="V67" s="456"/>
    </row>
    <row r="68" spans="1:22" ht="28.2">
      <c r="A68" s="452"/>
      <c r="B68" s="452"/>
      <c r="C68" s="452"/>
      <c r="D68" s="452"/>
      <c r="E68" s="452"/>
      <c r="F68" s="452"/>
      <c r="G68" s="876"/>
      <c r="H68" s="66" t="s">
        <v>185</v>
      </c>
      <c r="I68" s="30">
        <f>I66*C29</f>
        <v>11023.292617486288</v>
      </c>
      <c r="J68" s="30">
        <f>I68*F6</f>
        <v>55116.463087431439</v>
      </c>
      <c r="K68" s="408">
        <f>J68*G6</f>
        <v>2204658.5234972574</v>
      </c>
      <c r="L68" s="452"/>
      <c r="M68" s="876"/>
      <c r="N68" s="66" t="s">
        <v>185</v>
      </c>
      <c r="O68" s="30">
        <f>O66*C29</f>
        <v>6421.1589009449835</v>
      </c>
      <c r="P68" s="30">
        <f>O68*F8</f>
        <v>38526.953405669905</v>
      </c>
      <c r="Q68" s="408">
        <f>P68*G8</f>
        <v>2003401.577094835</v>
      </c>
      <c r="R68" s="452"/>
      <c r="S68" s="452"/>
      <c r="T68" s="452"/>
      <c r="U68" s="452"/>
      <c r="V68" s="456"/>
    </row>
    <row r="69" spans="1:22" ht="28.2">
      <c r="A69" s="452"/>
      <c r="B69" s="452"/>
      <c r="C69" s="452"/>
      <c r="D69" s="452"/>
      <c r="E69" s="452"/>
      <c r="F69" s="452"/>
      <c r="G69" s="876"/>
      <c r="H69" s="66" t="s">
        <v>246</v>
      </c>
      <c r="I69" s="30">
        <f>I67*E52</f>
        <v>611.88749999999993</v>
      </c>
      <c r="J69" s="30">
        <f>I69*F6</f>
        <v>3059.4374999999995</v>
      </c>
      <c r="K69" s="408">
        <f>J69*G6</f>
        <v>122377.49999999999</v>
      </c>
      <c r="L69" s="452"/>
      <c r="M69" s="876"/>
      <c r="N69" s="66" t="s">
        <v>246</v>
      </c>
      <c r="O69" s="30">
        <f>O67*E52</f>
        <v>305.94374999999997</v>
      </c>
      <c r="P69" s="30">
        <f>O69*F8</f>
        <v>1835.6624999999999</v>
      </c>
      <c r="Q69" s="408">
        <f>P69*G8</f>
        <v>95454.45</v>
      </c>
      <c r="R69" s="452"/>
      <c r="S69" s="452"/>
      <c r="T69" s="452"/>
      <c r="U69" s="452"/>
      <c r="V69" s="456"/>
    </row>
    <row r="70" spans="1:22" ht="28.8" thickBot="1">
      <c r="A70" s="452"/>
      <c r="B70" s="452"/>
      <c r="C70" s="452"/>
      <c r="D70" s="452"/>
      <c r="E70" s="452"/>
      <c r="F70" s="452"/>
      <c r="G70" s="877"/>
      <c r="H70" s="67" t="s">
        <v>187</v>
      </c>
      <c r="I70" s="45">
        <f>I69+I68</f>
        <v>11635.180117486289</v>
      </c>
      <c r="J70" s="45">
        <f>J68+J69</f>
        <v>58175.900587431439</v>
      </c>
      <c r="K70" s="375">
        <f>K68+K69</f>
        <v>2327036.0234972574</v>
      </c>
      <c r="L70" s="452"/>
      <c r="M70" s="877"/>
      <c r="N70" s="67" t="s">
        <v>187</v>
      </c>
      <c r="O70" s="45">
        <f>O69+O68</f>
        <v>6727.1026509449839</v>
      </c>
      <c r="P70" s="45">
        <f>P68+P69</f>
        <v>40362.615905669903</v>
      </c>
      <c r="Q70" s="375">
        <f>Q68+Q69</f>
        <v>2098856.0270948349</v>
      </c>
      <c r="R70" s="452"/>
      <c r="S70" s="452"/>
      <c r="T70" s="452"/>
      <c r="U70" s="452"/>
      <c r="V70" s="456"/>
    </row>
    <row r="71" spans="1:22" ht="16.8" thickTop="1" thickBot="1">
      <c r="A71" s="452"/>
      <c r="B71" s="452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6"/>
    </row>
    <row r="72" spans="1:22" ht="32.4" thickTop="1" thickBot="1">
      <c r="A72" s="452"/>
      <c r="B72" s="452"/>
      <c r="C72" s="452"/>
      <c r="D72" s="452"/>
      <c r="E72" s="452"/>
      <c r="F72" s="452"/>
      <c r="G72" s="452"/>
      <c r="H72" s="452"/>
      <c r="I72" s="452"/>
      <c r="J72" s="452"/>
      <c r="K72" s="452"/>
      <c r="L72" s="208" t="s">
        <v>129</v>
      </c>
      <c r="M72" s="831" t="s">
        <v>516</v>
      </c>
      <c r="N72" s="832"/>
      <c r="O72" s="832"/>
      <c r="P72" s="832"/>
      <c r="Q72" s="832"/>
      <c r="R72" s="833"/>
      <c r="S72" s="452"/>
      <c r="T72" s="452"/>
      <c r="U72" s="452"/>
      <c r="V72" s="456"/>
    </row>
    <row r="73" spans="1:22" ht="63.6" thickTop="1" thickBot="1">
      <c r="A73" s="452"/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501" t="s">
        <v>16</v>
      </c>
      <c r="N73" s="211" t="s">
        <v>230</v>
      </c>
      <c r="O73" s="213" t="s">
        <v>518</v>
      </c>
      <c r="P73" s="215" t="s">
        <v>530</v>
      </c>
      <c r="Q73" s="215" t="s">
        <v>519</v>
      </c>
      <c r="R73" s="216" t="s">
        <v>521</v>
      </c>
      <c r="S73" s="452"/>
      <c r="T73" s="452"/>
      <c r="U73" s="452"/>
      <c r="V73" s="456"/>
    </row>
    <row r="74" spans="1:22" ht="31.8" thickTop="1">
      <c r="A74" s="452"/>
      <c r="B74" s="452"/>
      <c r="C74" s="452"/>
      <c r="D74" s="452"/>
      <c r="E74" s="452"/>
      <c r="F74" s="452"/>
      <c r="G74" s="73"/>
      <c r="H74" s="73"/>
      <c r="I74" s="452"/>
      <c r="J74" s="73"/>
      <c r="K74" s="73"/>
      <c r="L74" s="208" t="s">
        <v>129</v>
      </c>
      <c r="M74" s="502">
        <v>2</v>
      </c>
      <c r="N74" s="224" t="s">
        <v>500</v>
      </c>
      <c r="O74" s="503">
        <v>5</v>
      </c>
      <c r="P74" s="504">
        <v>9</v>
      </c>
      <c r="Q74" s="226">
        <v>23676950</v>
      </c>
      <c r="R74" s="227">
        <v>20091950</v>
      </c>
      <c r="S74" s="452"/>
      <c r="T74" s="452"/>
      <c r="U74" s="452"/>
      <c r="V74" s="456"/>
    </row>
    <row r="75" spans="1:22" ht="31.2">
      <c r="A75" s="452"/>
      <c r="B75" s="452"/>
      <c r="C75" s="452"/>
      <c r="D75" s="452"/>
      <c r="E75" s="452"/>
      <c r="F75" s="452"/>
      <c r="G75" s="73"/>
      <c r="H75" s="452"/>
      <c r="I75" s="452"/>
      <c r="J75" s="73"/>
      <c r="K75" s="452"/>
      <c r="L75" s="208" t="s">
        <v>129</v>
      </c>
      <c r="M75" s="505">
        <v>2</v>
      </c>
      <c r="N75" s="214" t="s">
        <v>496</v>
      </c>
      <c r="O75" s="506">
        <v>6</v>
      </c>
      <c r="P75" s="507">
        <v>11</v>
      </c>
      <c r="Q75" s="228">
        <v>21418963</v>
      </c>
      <c r="R75" s="229">
        <v>17833963</v>
      </c>
      <c r="S75" s="452"/>
      <c r="T75" s="452"/>
      <c r="U75" s="452"/>
      <c r="V75" s="456"/>
    </row>
    <row r="76" spans="1:22" ht="31.2">
      <c r="A76" s="452"/>
      <c r="B76" s="452"/>
      <c r="C76" s="452"/>
      <c r="D76" s="452"/>
      <c r="E76" s="452"/>
      <c r="F76" s="452"/>
      <c r="G76" s="69"/>
      <c r="H76" s="452"/>
      <c r="I76" s="452"/>
      <c r="J76" s="69"/>
      <c r="K76" s="452"/>
      <c r="L76" s="208" t="s">
        <v>129</v>
      </c>
      <c r="M76" s="505">
        <v>4</v>
      </c>
      <c r="N76" s="214" t="s">
        <v>500</v>
      </c>
      <c r="O76" s="506">
        <v>9</v>
      </c>
      <c r="P76" s="507">
        <v>19</v>
      </c>
      <c r="Q76" s="228">
        <v>11788301</v>
      </c>
      <c r="R76" s="229">
        <v>8203301</v>
      </c>
      <c r="S76" s="452"/>
      <c r="T76" s="452"/>
      <c r="U76" s="452"/>
      <c r="V76" s="456"/>
    </row>
    <row r="77" spans="1:22" ht="31.8" thickBot="1">
      <c r="A77" s="452"/>
      <c r="B77" s="452"/>
      <c r="C77" s="452"/>
      <c r="D77" s="452"/>
      <c r="E77" s="452"/>
      <c r="F77" s="452"/>
      <c r="G77" s="69"/>
      <c r="H77" s="452"/>
      <c r="I77" s="452"/>
      <c r="J77" s="69"/>
      <c r="K77" s="452"/>
      <c r="L77" s="208" t="s">
        <v>129</v>
      </c>
      <c r="M77" s="508">
        <v>4</v>
      </c>
      <c r="N77" s="225" t="s">
        <v>515</v>
      </c>
      <c r="O77" s="509">
        <v>10</v>
      </c>
      <c r="P77" s="510">
        <v>20</v>
      </c>
      <c r="Q77" s="230">
        <v>10274968</v>
      </c>
      <c r="R77" s="231">
        <v>6789968</v>
      </c>
      <c r="S77" s="452"/>
      <c r="T77" s="452"/>
      <c r="U77" s="452"/>
      <c r="V77" s="456"/>
    </row>
    <row r="78" spans="1:22" ht="16.2" thickTop="1">
      <c r="A78" s="456"/>
      <c r="B78" s="456"/>
      <c r="C78" s="456"/>
      <c r="D78" s="456"/>
      <c r="E78" s="456"/>
      <c r="F78" s="456"/>
      <c r="G78" s="69"/>
      <c r="H78" s="452"/>
      <c r="I78" s="452"/>
      <c r="J78" s="69"/>
      <c r="K78" s="452"/>
      <c r="L78" s="452"/>
      <c r="M78" s="17"/>
      <c r="N78" s="17"/>
      <c r="O78" s="17"/>
      <c r="P78" s="452"/>
      <c r="Q78" s="452"/>
      <c r="R78" s="452"/>
      <c r="S78" s="452"/>
      <c r="T78" s="456"/>
      <c r="U78" s="456"/>
      <c r="V78" s="456"/>
    </row>
    <row r="79" spans="1:22" ht="15.6">
      <c r="A79" s="456"/>
      <c r="B79" s="456"/>
      <c r="C79" s="456"/>
      <c r="D79" s="456"/>
      <c r="E79" s="456"/>
      <c r="F79" s="456"/>
      <c r="G79" s="73"/>
      <c r="H79" s="452"/>
      <c r="I79" s="452"/>
      <c r="J79" s="69"/>
      <c r="K79" s="452"/>
      <c r="L79" s="452"/>
      <c r="M79" s="452"/>
      <c r="N79" s="452"/>
      <c r="O79" s="452"/>
      <c r="P79" s="452"/>
      <c r="Q79" s="452"/>
      <c r="R79" s="452"/>
      <c r="S79" s="452"/>
      <c r="T79" s="456"/>
      <c r="U79" s="456"/>
      <c r="V79" s="456"/>
    </row>
    <row r="80" spans="1:22" ht="15.6">
      <c r="A80" s="456"/>
      <c r="B80" s="456"/>
      <c r="C80" s="456"/>
      <c r="D80" s="456"/>
      <c r="E80" s="456"/>
      <c r="F80" s="456"/>
      <c r="G80" s="10"/>
      <c r="H80" s="511"/>
      <c r="I80" s="456"/>
      <c r="J80" s="10"/>
      <c r="K80" s="511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</row>
    <row r="81" spans="1:22" ht="15.6">
      <c r="A81" s="456"/>
      <c r="B81" s="456"/>
      <c r="C81" s="456"/>
      <c r="D81" s="456"/>
      <c r="E81" s="456"/>
      <c r="F81" s="456"/>
      <c r="G81" s="10"/>
      <c r="H81" s="511"/>
      <c r="I81" s="456"/>
      <c r="J81" s="10"/>
      <c r="K81" s="511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</row>
    <row r="82" spans="1:22" ht="15.6">
      <c r="A82" s="456"/>
      <c r="B82" s="456"/>
      <c r="C82" s="456"/>
      <c r="D82" s="456"/>
      <c r="E82" s="456"/>
      <c r="F82" s="456"/>
      <c r="G82" s="10"/>
      <c r="H82" s="511"/>
      <c r="I82" s="456"/>
      <c r="J82" s="10"/>
      <c r="K82" s="511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</row>
    <row r="83" spans="1:22" ht="15.6">
      <c r="A83" s="456"/>
      <c r="B83" s="456"/>
      <c r="C83" s="456"/>
      <c r="D83" s="456"/>
      <c r="E83" s="456"/>
      <c r="F83" s="456"/>
      <c r="G83" s="10"/>
      <c r="H83" s="511"/>
      <c r="I83" s="456"/>
      <c r="J83" s="10"/>
      <c r="K83" s="511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</row>
    <row r="84" spans="1:22" ht="15.6">
      <c r="A84" s="456"/>
      <c r="B84" s="456"/>
      <c r="C84" s="456"/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</row>
    <row r="85" spans="1:22" ht="15.6">
      <c r="A85" s="456"/>
      <c r="B85" s="456"/>
      <c r="C85" s="456"/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</row>
    <row r="86" spans="1:22" ht="15.6">
      <c r="A86" s="456"/>
      <c r="B86" s="456"/>
      <c r="C86" s="456"/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</row>
    <row r="87" spans="1:22" ht="15.6">
      <c r="A87" s="456"/>
      <c r="B87" s="456"/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</row>
    <row r="88" spans="1:22" ht="15.6">
      <c r="A88" s="456"/>
      <c r="B88" s="456"/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</row>
    <row r="89" spans="1:22" ht="15.6"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</row>
    <row r="90" spans="1:22" ht="15.6"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</row>
  </sheetData>
  <mergeCells count="52">
    <mergeCell ref="J13:K13"/>
    <mergeCell ref="H19:I19"/>
    <mergeCell ref="J19:K19"/>
    <mergeCell ref="H14:I14"/>
    <mergeCell ref="J14:K14"/>
    <mergeCell ref="H15:I15"/>
    <mergeCell ref="H18:I18"/>
    <mergeCell ref="J18:K18"/>
    <mergeCell ref="B56:D56"/>
    <mergeCell ref="M66:M70"/>
    <mergeCell ref="J38:S38"/>
    <mergeCell ref="J40:S40"/>
    <mergeCell ref="J42:S42"/>
    <mergeCell ref="B44:C44"/>
    <mergeCell ref="G47:G48"/>
    <mergeCell ref="G49:G50"/>
    <mergeCell ref="G59:G63"/>
    <mergeCell ref="G52:K52"/>
    <mergeCell ref="G40:G43"/>
    <mergeCell ref="B38:C38"/>
    <mergeCell ref="M59:M63"/>
    <mergeCell ref="G36:G39"/>
    <mergeCell ref="B49:E49"/>
    <mergeCell ref="G66:G70"/>
    <mergeCell ref="B5:B6"/>
    <mergeCell ref="B7:B8"/>
    <mergeCell ref="G28:G31"/>
    <mergeCell ref="G32:G35"/>
    <mergeCell ref="B10:C10"/>
    <mergeCell ref="B23:C23"/>
    <mergeCell ref="B17:C17"/>
    <mergeCell ref="G26:S26"/>
    <mergeCell ref="G10:K10"/>
    <mergeCell ref="H11:I11"/>
    <mergeCell ref="J11:K11"/>
    <mergeCell ref="H20:I20"/>
    <mergeCell ref="J20:K20"/>
    <mergeCell ref="H21:I21"/>
    <mergeCell ref="J21:K21"/>
    <mergeCell ref="H13:I13"/>
    <mergeCell ref="M72:R72"/>
    <mergeCell ref="J15:K15"/>
    <mergeCell ref="H16:I16"/>
    <mergeCell ref="J16:K16"/>
    <mergeCell ref="H17:I17"/>
    <mergeCell ref="J17:K17"/>
    <mergeCell ref="G45:L45"/>
    <mergeCell ref="J36:S36"/>
    <mergeCell ref="J34:S34"/>
    <mergeCell ref="J32:S32"/>
    <mergeCell ref="J30:S30"/>
    <mergeCell ref="J28:S2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06389-0E2F-45B7-A38C-B6FA5EE2E6C1}">
  <dimension ref="A1:T89"/>
  <sheetViews>
    <sheetView topLeftCell="G72" workbookViewId="0">
      <selection activeCell="E5" sqref="E5"/>
    </sheetView>
  </sheetViews>
  <sheetFormatPr baseColWidth="10" defaultColWidth="8.88671875" defaultRowHeight="14.4"/>
  <cols>
    <col min="1" max="1" width="17.44140625" bestFit="1" customWidth="1"/>
    <col min="3" max="3" width="30.109375" bestFit="1" customWidth="1"/>
    <col min="4" max="4" width="18" customWidth="1"/>
    <col min="5" max="5" width="11.88671875" bestFit="1" customWidth="1"/>
    <col min="6" max="6" width="26.33203125" bestFit="1" customWidth="1"/>
    <col min="7" max="7" width="24.77734375" customWidth="1"/>
    <col min="8" max="8" width="14.88671875" customWidth="1"/>
    <col min="9" max="9" width="22" bestFit="1" customWidth="1"/>
    <col min="10" max="10" width="15.33203125" customWidth="1"/>
    <col min="11" max="11" width="21.6640625" bestFit="1" customWidth="1"/>
    <col min="12" max="12" width="13" bestFit="1" customWidth="1"/>
    <col min="13" max="13" width="13.88671875" customWidth="1"/>
    <col min="14" max="14" width="15.44140625" customWidth="1"/>
    <col min="15" max="15" width="16.33203125" customWidth="1"/>
    <col min="16" max="16" width="11.44140625" customWidth="1"/>
    <col min="18" max="18" width="13" customWidth="1"/>
  </cols>
  <sheetData>
    <row r="1" spans="1:18" ht="15.6">
      <c r="A1" s="16" t="s">
        <v>45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17"/>
      <c r="R1" s="17"/>
    </row>
    <row r="2" spans="1:18" ht="15.6">
      <c r="A2" s="18" t="s">
        <v>47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17"/>
      <c r="R2" s="17"/>
    </row>
    <row r="3" spans="1:18" ht="15.6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17"/>
      <c r="R3" s="17"/>
    </row>
    <row r="4" spans="1:18" ht="15.6">
      <c r="A4" s="797" t="s">
        <v>247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19"/>
      <c r="R4" s="20"/>
    </row>
    <row r="5" spans="1:18" ht="46.8">
      <c r="A5" s="798"/>
      <c r="B5" s="358"/>
      <c r="C5" s="402"/>
      <c r="D5" s="512" t="s">
        <v>85</v>
      </c>
      <c r="E5" s="512" t="s">
        <v>470</v>
      </c>
      <c r="F5" s="512" t="s">
        <v>127</v>
      </c>
      <c r="G5" s="513" t="s">
        <v>459</v>
      </c>
      <c r="H5" s="514" t="s">
        <v>26</v>
      </c>
      <c r="I5" s="358"/>
      <c r="J5" s="358"/>
      <c r="K5" s="800" t="s">
        <v>128</v>
      </c>
      <c r="L5" s="802"/>
      <c r="M5" s="358"/>
      <c r="N5" s="358"/>
      <c r="O5" s="358"/>
      <c r="P5" s="358"/>
      <c r="Q5" s="17"/>
      <c r="R5" s="21"/>
    </row>
    <row r="6" spans="1:18" ht="31.2">
      <c r="A6" s="798"/>
      <c r="B6" s="358"/>
      <c r="C6" s="515" t="s">
        <v>248</v>
      </c>
      <c r="D6" s="516">
        <v>12</v>
      </c>
      <c r="E6" s="516">
        <v>40</v>
      </c>
      <c r="F6" s="516">
        <v>3</v>
      </c>
      <c r="G6" s="517">
        <v>12</v>
      </c>
      <c r="H6" s="90">
        <v>4</v>
      </c>
      <c r="I6" s="358"/>
      <c r="J6" s="358"/>
      <c r="K6" s="51" t="s">
        <v>18</v>
      </c>
      <c r="L6" s="406">
        <v>35</v>
      </c>
      <c r="M6" s="358"/>
      <c r="N6" s="358"/>
      <c r="O6" s="358"/>
      <c r="P6" s="358"/>
      <c r="Q6" s="17"/>
      <c r="R6" s="21"/>
    </row>
    <row r="7" spans="1:18" ht="31.2">
      <c r="A7" s="798"/>
      <c r="B7" s="358"/>
      <c r="C7" s="358"/>
      <c r="D7" s="358"/>
      <c r="E7" s="358"/>
      <c r="F7" s="358"/>
      <c r="G7" s="358"/>
      <c r="H7" s="358"/>
      <c r="I7" s="358"/>
      <c r="J7" s="358"/>
      <c r="K7" s="33" t="s">
        <v>26</v>
      </c>
      <c r="L7" s="369">
        <v>4</v>
      </c>
      <c r="M7" s="358"/>
      <c r="N7" s="358"/>
      <c r="O7" s="358"/>
      <c r="P7" s="358"/>
      <c r="Q7" s="17"/>
      <c r="R7" s="21"/>
    </row>
    <row r="8" spans="1:18" ht="15.6">
      <c r="A8" s="798"/>
      <c r="B8" s="358"/>
      <c r="C8" s="809" t="s">
        <v>131</v>
      </c>
      <c r="D8" s="810"/>
      <c r="E8" s="810"/>
      <c r="F8" s="811"/>
      <c r="G8" s="358"/>
      <c r="H8" s="358"/>
      <c r="I8" s="358"/>
      <c r="J8" s="358"/>
      <c r="K8" s="35" t="s">
        <v>503</v>
      </c>
      <c r="L8" s="375">
        <f>L6*L7</f>
        <v>140</v>
      </c>
      <c r="M8" s="358"/>
      <c r="N8" s="358"/>
      <c r="O8" s="358"/>
      <c r="P8" s="358"/>
      <c r="Q8" s="17"/>
      <c r="R8" s="21"/>
    </row>
    <row r="9" spans="1:18" ht="31.2">
      <c r="A9" s="798"/>
      <c r="B9" s="358"/>
      <c r="C9" s="51" t="s">
        <v>249</v>
      </c>
      <c r="D9" s="373">
        <v>63</v>
      </c>
      <c r="E9" s="373">
        <v>126</v>
      </c>
      <c r="F9" s="374">
        <v>252</v>
      </c>
      <c r="G9" s="358"/>
      <c r="H9" s="358"/>
      <c r="I9" s="358"/>
      <c r="J9" s="358"/>
      <c r="K9" s="379"/>
      <c r="L9" s="358"/>
      <c r="M9" s="358"/>
      <c r="N9" s="358"/>
      <c r="O9" s="358"/>
      <c r="P9" s="358"/>
      <c r="Q9" s="17"/>
      <c r="R9" s="21"/>
    </row>
    <row r="10" spans="1:18" ht="31.2">
      <c r="A10" s="798"/>
      <c r="B10" s="358"/>
      <c r="C10" s="33" t="s">
        <v>250</v>
      </c>
      <c r="D10" s="306">
        <v>70</v>
      </c>
      <c r="E10" s="306">
        <f>D10</f>
        <v>70</v>
      </c>
      <c r="F10" s="369">
        <f>D10</f>
        <v>70</v>
      </c>
      <c r="G10" s="358"/>
      <c r="H10" s="358"/>
      <c r="I10" s="358"/>
      <c r="J10" s="358"/>
      <c r="K10" s="223"/>
      <c r="L10" s="358"/>
      <c r="M10" s="358"/>
      <c r="N10" s="358"/>
      <c r="O10" s="358"/>
      <c r="P10" s="358"/>
      <c r="Q10" s="17"/>
      <c r="R10" s="21"/>
    </row>
    <row r="11" spans="1:18" ht="31.2">
      <c r="A11" s="798"/>
      <c r="B11" s="358"/>
      <c r="C11" s="35" t="s">
        <v>251</v>
      </c>
      <c r="D11" s="377">
        <v>50</v>
      </c>
      <c r="E11" s="377">
        <v>101</v>
      </c>
      <c r="F11" s="378">
        <v>202</v>
      </c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17"/>
      <c r="R11" s="21"/>
    </row>
    <row r="12" spans="1:18" ht="15.6">
      <c r="A12" s="798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79"/>
      <c r="M12" s="91"/>
      <c r="N12" s="358"/>
      <c r="O12" s="358"/>
      <c r="P12" s="358"/>
      <c r="Q12" s="17"/>
      <c r="R12" s="21"/>
    </row>
    <row r="13" spans="1:18" ht="15.6">
      <c r="A13" s="798"/>
      <c r="B13" s="358"/>
      <c r="C13" s="812" t="s">
        <v>133</v>
      </c>
      <c r="D13" s="813"/>
      <c r="E13" s="813"/>
      <c r="F13" s="813"/>
      <c r="G13" s="813"/>
      <c r="H13" s="813"/>
      <c r="I13" s="813"/>
      <c r="J13" s="814"/>
      <c r="K13" s="518"/>
      <c r="L13" s="379"/>
      <c r="M13" s="358"/>
      <c r="N13" s="358"/>
      <c r="O13" s="358"/>
      <c r="P13" s="358"/>
      <c r="Q13" s="17"/>
      <c r="R13" s="21"/>
    </row>
    <row r="14" spans="1:18" ht="61.5" customHeight="1" thickTop="1" thickBot="1">
      <c r="A14" s="798"/>
      <c r="B14" s="358"/>
      <c r="C14" s="519"/>
      <c r="D14" s="381" t="s">
        <v>134</v>
      </c>
      <c r="E14" s="381" t="s">
        <v>81</v>
      </c>
      <c r="F14" s="382" t="s">
        <v>135</v>
      </c>
      <c r="G14" s="381" t="s">
        <v>81</v>
      </c>
      <c r="H14" s="381" t="s">
        <v>136</v>
      </c>
      <c r="I14" s="381" t="s">
        <v>137</v>
      </c>
      <c r="J14" s="437" t="s">
        <v>252</v>
      </c>
      <c r="K14" s="358"/>
      <c r="L14" s="358"/>
      <c r="M14" s="358"/>
      <c r="N14" s="358"/>
      <c r="O14" s="358"/>
      <c r="P14" s="358"/>
      <c r="Q14" s="17"/>
      <c r="R14" s="21"/>
    </row>
    <row r="15" spans="1:18" ht="31.8" thickTop="1">
      <c r="A15" s="798"/>
      <c r="B15" s="358"/>
      <c r="C15" s="401" t="s">
        <v>253</v>
      </c>
      <c r="D15" s="304">
        <v>63</v>
      </c>
      <c r="E15" s="304">
        <v>400</v>
      </c>
      <c r="F15" s="520">
        <v>2</v>
      </c>
      <c r="G15" s="304">
        <f>E15*F15</f>
        <v>800</v>
      </c>
      <c r="H15" s="29">
        <f>D15*F15</f>
        <v>126</v>
      </c>
      <c r="I15" s="29">
        <f>H15*(D10/100)</f>
        <v>88.199999999999989</v>
      </c>
      <c r="J15" s="386">
        <f>I15/H6</f>
        <v>22.049999999999997</v>
      </c>
      <c r="K15" s="358"/>
      <c r="L15" s="358"/>
      <c r="M15" s="358"/>
      <c r="N15" s="358"/>
      <c r="O15" s="358"/>
      <c r="P15" s="358"/>
      <c r="Q15" s="17"/>
      <c r="R15" s="21"/>
    </row>
    <row r="16" spans="1:18" ht="31.2">
      <c r="A16" s="798"/>
      <c r="B16" s="358"/>
      <c r="C16" s="33" t="s">
        <v>254</v>
      </c>
      <c r="D16" s="387"/>
      <c r="E16" s="306">
        <v>343</v>
      </c>
      <c r="F16" s="521">
        <v>1</v>
      </c>
      <c r="G16" s="306">
        <f>E16*F16</f>
        <v>343</v>
      </c>
      <c r="H16" s="387"/>
      <c r="I16" s="387"/>
      <c r="J16" s="388"/>
      <c r="K16" s="358"/>
      <c r="L16" s="358"/>
      <c r="M16" s="358"/>
      <c r="N16" s="358"/>
      <c r="O16" s="358"/>
      <c r="P16" s="358"/>
      <c r="Q16" s="17"/>
      <c r="R16" s="21"/>
    </row>
    <row r="17" spans="1:18" ht="31.8" thickBot="1">
      <c r="A17" s="798"/>
      <c r="B17" s="358"/>
      <c r="C17" s="522" t="s">
        <v>255</v>
      </c>
      <c r="D17" s="390"/>
      <c r="E17" s="390"/>
      <c r="F17" s="390"/>
      <c r="G17" s="391">
        <f>G15+G16</f>
        <v>1143</v>
      </c>
      <c r="H17" s="390"/>
      <c r="I17" s="392"/>
      <c r="J17" s="393"/>
      <c r="K17" s="358"/>
      <c r="L17" s="358"/>
      <c r="M17" s="223"/>
      <c r="N17" s="92"/>
      <c r="O17" s="358"/>
      <c r="P17" s="358"/>
      <c r="Q17" s="17"/>
      <c r="R17" s="21"/>
    </row>
    <row r="18" spans="1:18" ht="15.6">
      <c r="A18" s="799"/>
      <c r="B18" s="396"/>
      <c r="C18" s="395"/>
      <c r="D18" s="395"/>
      <c r="E18" s="395"/>
      <c r="F18" s="395"/>
      <c r="G18" s="395"/>
      <c r="H18" s="395"/>
      <c r="I18" s="396"/>
      <c r="J18" s="396"/>
      <c r="K18" s="396"/>
      <c r="L18" s="396"/>
      <c r="M18" s="397"/>
      <c r="N18" s="93"/>
      <c r="O18" s="396"/>
      <c r="P18" s="396"/>
      <c r="Q18" s="23"/>
      <c r="R18" s="24"/>
    </row>
    <row r="19" spans="1:18" ht="15.6">
      <c r="A19" s="798" t="s">
        <v>256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223"/>
      <c r="M19" s="91"/>
      <c r="N19" s="358"/>
      <c r="O19" s="358"/>
      <c r="P19" s="358"/>
      <c r="Q19" s="17"/>
      <c r="R19" s="21"/>
    </row>
    <row r="20" spans="1:18" ht="31.2">
      <c r="A20" s="798"/>
      <c r="B20" s="366" t="s">
        <v>129</v>
      </c>
      <c r="C20" s="807" t="s">
        <v>143</v>
      </c>
      <c r="D20" s="808"/>
      <c r="E20" s="358"/>
      <c r="F20" s="809" t="s">
        <v>155</v>
      </c>
      <c r="G20" s="810"/>
      <c r="H20" s="810"/>
      <c r="I20" s="811"/>
      <c r="J20" s="523"/>
      <c r="K20" s="898" t="s">
        <v>145</v>
      </c>
      <c r="L20" s="899"/>
      <c r="M20" s="899"/>
      <c r="N20" s="900"/>
      <c r="O20" s="358"/>
      <c r="P20" s="358"/>
      <c r="Q20" s="17"/>
      <c r="R20" s="21"/>
    </row>
    <row r="21" spans="1:18" ht="46.8">
      <c r="A21" s="798"/>
      <c r="B21" s="358"/>
      <c r="C21" s="399" t="s">
        <v>146</v>
      </c>
      <c r="D21" s="400">
        <v>791</v>
      </c>
      <c r="E21" s="358"/>
      <c r="F21" s="524"/>
      <c r="G21" s="525" t="s">
        <v>231</v>
      </c>
      <c r="H21" s="525" t="s">
        <v>498</v>
      </c>
      <c r="I21" s="526" t="s">
        <v>499</v>
      </c>
      <c r="J21" s="223"/>
      <c r="K21" s="402"/>
      <c r="L21" s="403" t="s">
        <v>81</v>
      </c>
      <c r="M21" s="403" t="s">
        <v>147</v>
      </c>
      <c r="N21" s="404" t="s">
        <v>148</v>
      </c>
      <c r="O21" s="358"/>
      <c r="P21" s="358"/>
      <c r="Q21" s="17"/>
      <c r="R21" s="21"/>
    </row>
    <row r="22" spans="1:18" ht="31.2">
      <c r="A22" s="798"/>
      <c r="B22" s="358"/>
      <c r="C22" s="399" t="s">
        <v>149</v>
      </c>
      <c r="D22" s="386">
        <f>D21/1000</f>
        <v>0.79100000000000004</v>
      </c>
      <c r="E22" s="358"/>
      <c r="F22" s="527" t="s">
        <v>496</v>
      </c>
      <c r="G22" s="304">
        <v>1.07</v>
      </c>
      <c r="H22" s="88">
        <f>G22/(32/100)</f>
        <v>3.34375</v>
      </c>
      <c r="I22" s="386">
        <f>H22*0.75</f>
        <v>2.5078125</v>
      </c>
      <c r="J22" s="358"/>
      <c r="K22" s="372" t="s">
        <v>151</v>
      </c>
      <c r="L22" s="405">
        <v>58</v>
      </c>
      <c r="M22" s="405">
        <v>78.203999999999994</v>
      </c>
      <c r="N22" s="406">
        <v>60</v>
      </c>
      <c r="O22" s="358"/>
      <c r="P22" s="358"/>
      <c r="Q22" s="17"/>
      <c r="R22" s="21"/>
    </row>
    <row r="23" spans="1:18" ht="31.2">
      <c r="A23" s="798"/>
      <c r="B23" s="358"/>
      <c r="C23" s="407" t="s">
        <v>152</v>
      </c>
      <c r="D23" s="408">
        <f>D21*D27</f>
        <v>4397.96</v>
      </c>
      <c r="E23" s="358"/>
      <c r="F23" s="415" t="s">
        <v>500</v>
      </c>
      <c r="G23" s="377">
        <v>0.37</v>
      </c>
      <c r="H23" s="89">
        <f>G23/(32/100)</f>
        <v>1.15625</v>
      </c>
      <c r="I23" s="375">
        <f>H23*0.75</f>
        <v>0.8671875</v>
      </c>
      <c r="J23" s="358"/>
      <c r="K23" s="370" t="s">
        <v>153</v>
      </c>
      <c r="L23" s="409">
        <v>50</v>
      </c>
      <c r="M23" s="409">
        <v>71.28</v>
      </c>
      <c r="N23" s="410">
        <v>60</v>
      </c>
      <c r="O23" s="358"/>
      <c r="P23" s="358"/>
      <c r="Q23" s="17"/>
      <c r="R23" s="21"/>
    </row>
    <row r="24" spans="1:18" ht="31.2">
      <c r="A24" s="798"/>
      <c r="B24" s="358"/>
      <c r="C24" s="407" t="s">
        <v>154</v>
      </c>
      <c r="D24" s="408">
        <f>D23/1000</f>
        <v>4.3979600000000003</v>
      </c>
      <c r="E24" s="358"/>
      <c r="F24" s="358"/>
      <c r="G24" s="358"/>
      <c r="H24" s="358"/>
      <c r="I24" s="358"/>
      <c r="J24" s="358"/>
      <c r="K24" s="94" t="s">
        <v>156</v>
      </c>
      <c r="L24" s="377">
        <v>100</v>
      </c>
      <c r="M24" s="377">
        <v>165.3</v>
      </c>
      <c r="N24" s="393"/>
      <c r="O24" s="358"/>
      <c r="P24" s="358"/>
      <c r="Q24" s="17"/>
      <c r="R24" s="21"/>
    </row>
    <row r="25" spans="1:18" ht="31.2">
      <c r="A25" s="798"/>
      <c r="B25" s="358"/>
      <c r="C25" s="411" t="s">
        <v>257</v>
      </c>
      <c r="D25" s="410">
        <v>15</v>
      </c>
      <c r="E25" s="358"/>
      <c r="F25" s="358"/>
      <c r="G25" s="358"/>
      <c r="H25" s="358"/>
      <c r="I25" s="358"/>
      <c r="J25" s="358"/>
      <c r="K25" s="95"/>
      <c r="L25" s="358"/>
      <c r="M25" s="358"/>
      <c r="N25" s="358"/>
      <c r="O25" s="358"/>
      <c r="P25" s="358"/>
      <c r="Q25" s="17"/>
      <c r="R25" s="21"/>
    </row>
    <row r="26" spans="1:18" ht="31.2">
      <c r="A26" s="798"/>
      <c r="B26" s="358"/>
      <c r="C26" s="411" t="s">
        <v>258</v>
      </c>
      <c r="D26" s="371">
        <f>D25/D24</f>
        <v>3.4106722207568962</v>
      </c>
      <c r="E26" s="358"/>
      <c r="F26" s="366"/>
      <c r="G26" s="358"/>
      <c r="H26" s="358"/>
      <c r="I26" s="358"/>
      <c r="J26" s="358"/>
      <c r="K26" s="95"/>
      <c r="L26" s="358"/>
      <c r="M26" s="358"/>
      <c r="N26" s="358"/>
      <c r="O26" s="358"/>
      <c r="P26" s="358"/>
      <c r="Q26" s="17"/>
      <c r="R26" s="21"/>
    </row>
    <row r="27" spans="1:18" ht="31.2">
      <c r="A27" s="798"/>
      <c r="B27" s="358"/>
      <c r="C27" s="414" t="s">
        <v>159</v>
      </c>
      <c r="D27" s="378">
        <v>5.56</v>
      </c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17"/>
      <c r="R27" s="21"/>
    </row>
    <row r="28" spans="1:18" ht="31.2">
      <c r="A28" s="798"/>
      <c r="B28" s="366" t="s">
        <v>129</v>
      </c>
      <c r="C28" s="223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17"/>
      <c r="R28" s="21"/>
    </row>
    <row r="29" spans="1:18" ht="31.2">
      <c r="A29" s="798"/>
      <c r="B29" s="366" t="s">
        <v>129</v>
      </c>
      <c r="C29" s="904" t="s">
        <v>256</v>
      </c>
      <c r="D29" s="905"/>
      <c r="E29" s="905"/>
      <c r="F29" s="905"/>
      <c r="G29" s="905"/>
      <c r="H29" s="905"/>
      <c r="I29" s="905"/>
      <c r="J29" s="905"/>
      <c r="K29" s="905"/>
      <c r="L29" s="905"/>
      <c r="M29" s="905"/>
      <c r="N29" s="905"/>
      <c r="O29" s="905"/>
      <c r="P29" s="906"/>
      <c r="Q29" s="75"/>
      <c r="R29" s="21"/>
    </row>
    <row r="30" spans="1:18" ht="78">
      <c r="A30" s="798"/>
      <c r="B30" s="358"/>
      <c r="C30" s="528"/>
      <c r="D30" s="529" t="s">
        <v>16</v>
      </c>
      <c r="E30" s="199" t="s">
        <v>162</v>
      </c>
      <c r="F30" s="198" t="s">
        <v>512</v>
      </c>
      <c r="G30" s="198" t="s">
        <v>513</v>
      </c>
      <c r="H30" s="198" t="s">
        <v>514</v>
      </c>
      <c r="I30" s="530" t="s">
        <v>18</v>
      </c>
      <c r="J30" s="198" t="s">
        <v>259</v>
      </c>
      <c r="K30" s="198" t="s">
        <v>260</v>
      </c>
      <c r="L30" s="198" t="s">
        <v>261</v>
      </c>
      <c r="M30" s="198" t="s">
        <v>262</v>
      </c>
      <c r="N30" s="199" t="s">
        <v>180</v>
      </c>
      <c r="O30" s="199" t="s">
        <v>263</v>
      </c>
      <c r="P30" s="200" t="s">
        <v>264</v>
      </c>
      <c r="Q30" s="27"/>
      <c r="R30" s="76"/>
    </row>
    <row r="31" spans="1:18" ht="31.2">
      <c r="A31" s="798"/>
      <c r="B31" s="366" t="s">
        <v>129</v>
      </c>
      <c r="C31" s="901" t="s">
        <v>22</v>
      </c>
      <c r="D31" s="203">
        <v>1</v>
      </c>
      <c r="E31" s="405">
        <v>20</v>
      </c>
      <c r="F31" s="405">
        <v>4</v>
      </c>
      <c r="G31" s="405">
        <v>5</v>
      </c>
      <c r="H31" s="531">
        <v>40</v>
      </c>
      <c r="I31" s="405">
        <v>35</v>
      </c>
      <c r="J31" s="49">
        <f>E31-J15</f>
        <v>-2.0499999999999972</v>
      </c>
      <c r="K31" s="532"/>
      <c r="L31" s="533"/>
      <c r="M31" s="533"/>
      <c r="N31" s="533"/>
      <c r="O31" s="533"/>
      <c r="P31" s="534"/>
      <c r="Q31" s="17"/>
      <c r="R31" s="21"/>
    </row>
    <row r="32" spans="1:18" ht="31.2">
      <c r="A32" s="798"/>
      <c r="B32" s="366" t="s">
        <v>129</v>
      </c>
      <c r="C32" s="902"/>
      <c r="D32" s="202">
        <v>2</v>
      </c>
      <c r="E32" s="409">
        <v>45</v>
      </c>
      <c r="F32" s="409">
        <v>4</v>
      </c>
      <c r="G32" s="409">
        <v>5</v>
      </c>
      <c r="H32" s="409">
        <v>40</v>
      </c>
      <c r="I32" s="409">
        <v>35</v>
      </c>
      <c r="J32" s="47">
        <f>E32-J15</f>
        <v>22.950000000000003</v>
      </c>
      <c r="K32" s="47">
        <f>J32*H6</f>
        <v>91.800000000000011</v>
      </c>
      <c r="L32" s="47">
        <f>K32/(D39/100)</f>
        <v>204.00000000000003</v>
      </c>
      <c r="M32" s="47">
        <f>L32/D24</f>
        <v>46.385142202293792</v>
      </c>
      <c r="N32" s="48">
        <f>M32*D22</f>
        <v>36.690647482014391</v>
      </c>
      <c r="O32" s="48">
        <f>M32/N22</f>
        <v>0.77308570337156324</v>
      </c>
      <c r="P32" s="371">
        <f>N32+1*L23</f>
        <v>86.690647482014384</v>
      </c>
      <c r="Q32" s="17"/>
      <c r="R32" s="21"/>
    </row>
    <row r="33" spans="1:18" ht="31.2">
      <c r="A33" s="798"/>
      <c r="B33" s="366" t="s">
        <v>129</v>
      </c>
      <c r="C33" s="903" t="s">
        <v>23</v>
      </c>
      <c r="D33" s="203">
        <v>3</v>
      </c>
      <c r="E33" s="405">
        <v>15</v>
      </c>
      <c r="F33" s="405">
        <v>2</v>
      </c>
      <c r="G33" s="405">
        <v>6</v>
      </c>
      <c r="H33" s="531">
        <v>52</v>
      </c>
      <c r="I33" s="405">
        <v>35</v>
      </c>
      <c r="J33" s="49">
        <f>E33-J15</f>
        <v>-7.0499999999999972</v>
      </c>
      <c r="K33" s="532"/>
      <c r="L33" s="533"/>
      <c r="M33" s="533"/>
      <c r="N33" s="533"/>
      <c r="O33" s="533"/>
      <c r="P33" s="534"/>
      <c r="Q33" s="17"/>
      <c r="R33" s="21"/>
    </row>
    <row r="34" spans="1:18" ht="31.2">
      <c r="A34" s="798"/>
      <c r="B34" s="366" t="s">
        <v>129</v>
      </c>
      <c r="C34" s="806"/>
      <c r="D34" s="81">
        <v>4</v>
      </c>
      <c r="E34" s="377">
        <v>50</v>
      </c>
      <c r="F34" s="377">
        <v>2</v>
      </c>
      <c r="G34" s="377">
        <v>6</v>
      </c>
      <c r="H34" s="377">
        <v>52</v>
      </c>
      <c r="I34" s="377">
        <v>35</v>
      </c>
      <c r="J34" s="45">
        <f>E34-J15</f>
        <v>27.950000000000003</v>
      </c>
      <c r="K34" s="45">
        <f>J34*H6</f>
        <v>111.80000000000001</v>
      </c>
      <c r="L34" s="45">
        <f>K34/(D39/100)</f>
        <v>248.44444444444446</v>
      </c>
      <c r="M34" s="45">
        <f>L34/D24</f>
        <v>56.49083767120311</v>
      </c>
      <c r="N34" s="46">
        <f>M34*D22</f>
        <v>44.684252597921663</v>
      </c>
      <c r="O34" s="46">
        <f>M34/N23</f>
        <v>0.94151396118671848</v>
      </c>
      <c r="P34" s="375">
        <f>N34+1*L23</f>
        <v>94.68425259792167</v>
      </c>
      <c r="Q34" s="17"/>
      <c r="R34" s="21"/>
    </row>
    <row r="35" spans="1:18" ht="31.2">
      <c r="A35" s="798"/>
      <c r="B35" s="366" t="s">
        <v>129</v>
      </c>
      <c r="C35" s="427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17"/>
      <c r="R35" s="21"/>
    </row>
    <row r="36" spans="1:18" ht="31.2">
      <c r="A36" s="809" t="s">
        <v>265</v>
      </c>
      <c r="B36" s="429" t="s">
        <v>129</v>
      </c>
      <c r="C36" s="430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19"/>
      <c r="R36" s="20"/>
    </row>
    <row r="37" spans="1:18" ht="31.2">
      <c r="A37" s="818"/>
      <c r="B37" s="366" t="s">
        <v>129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17"/>
      <c r="R37" s="21"/>
    </row>
    <row r="38" spans="1:18" ht="32.4" thickTop="1" thickBot="1">
      <c r="A38" s="818"/>
      <c r="B38" s="366" t="s">
        <v>129</v>
      </c>
      <c r="C38" s="824" t="s">
        <v>170</v>
      </c>
      <c r="D38" s="824"/>
      <c r="E38" s="358"/>
      <c r="F38" s="812" t="s">
        <v>171</v>
      </c>
      <c r="G38" s="813"/>
      <c r="H38" s="813"/>
      <c r="I38" s="813"/>
      <c r="J38" s="814"/>
      <c r="K38" s="379"/>
      <c r="L38" s="358"/>
      <c r="M38" s="358"/>
      <c r="N38" s="358"/>
      <c r="O38" s="358"/>
      <c r="P38" s="358"/>
      <c r="Q38" s="17"/>
      <c r="R38" s="21"/>
    </row>
    <row r="39" spans="1:18" ht="42.6" thickTop="1" thickBot="1">
      <c r="A39" s="818"/>
      <c r="B39" s="358"/>
      <c r="C39" s="431" t="s">
        <v>266</v>
      </c>
      <c r="D39" s="535">
        <v>45</v>
      </c>
      <c r="E39" s="358"/>
      <c r="F39" s="432" t="s">
        <v>16</v>
      </c>
      <c r="G39" s="58" t="s">
        <v>233</v>
      </c>
      <c r="H39" s="58" t="s">
        <v>234</v>
      </c>
      <c r="I39" s="58" t="s">
        <v>235</v>
      </c>
      <c r="J39" s="59" t="s">
        <v>236</v>
      </c>
      <c r="K39" s="358"/>
      <c r="L39" s="358"/>
      <c r="M39" s="358"/>
      <c r="N39" s="358"/>
      <c r="O39" s="358"/>
      <c r="P39" s="358"/>
      <c r="Q39" s="17"/>
      <c r="R39" s="21"/>
    </row>
    <row r="40" spans="1:18" ht="31.8" thickTop="1">
      <c r="A40" s="818"/>
      <c r="B40" s="358"/>
      <c r="C40" s="33" t="s">
        <v>480</v>
      </c>
      <c r="D40" s="408">
        <f>L8</f>
        <v>140</v>
      </c>
      <c r="E40" s="358"/>
      <c r="F40" s="440">
        <v>2</v>
      </c>
      <c r="G40" s="30">
        <f>E32/I32</f>
        <v>1.2857142857142858</v>
      </c>
      <c r="H40" s="30">
        <f>G40*F32</f>
        <v>5.1428571428571432</v>
      </c>
      <c r="I40" s="30">
        <f>H40*G32</f>
        <v>25.714285714285715</v>
      </c>
      <c r="J40" s="408">
        <f>I40*H32</f>
        <v>1028.5714285714287</v>
      </c>
      <c r="K40" s="358"/>
      <c r="L40" s="358"/>
      <c r="M40" s="358"/>
      <c r="N40" s="358"/>
      <c r="O40" s="358"/>
      <c r="P40" s="358"/>
      <c r="Q40" s="17"/>
      <c r="R40" s="21"/>
    </row>
    <row r="41" spans="1:18" ht="31.2">
      <c r="A41" s="818"/>
      <c r="B41" s="358"/>
      <c r="C41" s="33" t="s">
        <v>173</v>
      </c>
      <c r="D41" s="369">
        <v>35</v>
      </c>
      <c r="E41" s="358"/>
      <c r="F41" s="435">
        <v>4</v>
      </c>
      <c r="G41" s="45">
        <f>E34/I34</f>
        <v>1.4285714285714286</v>
      </c>
      <c r="H41" s="45">
        <f>G41*F34</f>
        <v>2.8571428571428572</v>
      </c>
      <c r="I41" s="45">
        <f>H41*G34</f>
        <v>17.142857142857142</v>
      </c>
      <c r="J41" s="375">
        <f>I41*H34</f>
        <v>891.42857142857144</v>
      </c>
      <c r="K41" s="358"/>
      <c r="L41" s="358"/>
      <c r="M41" s="358"/>
      <c r="N41" s="358"/>
      <c r="O41" s="358"/>
      <c r="P41" s="358"/>
      <c r="Q41" s="17"/>
      <c r="R41" s="21"/>
    </row>
    <row r="42" spans="1:18" ht="31.2">
      <c r="A42" s="818"/>
      <c r="B42" s="358"/>
      <c r="C42" s="33" t="s">
        <v>504</v>
      </c>
      <c r="D42" s="369">
        <v>100</v>
      </c>
      <c r="E42" s="358"/>
      <c r="F42" s="523"/>
      <c r="G42" s="96"/>
      <c r="H42" s="96"/>
      <c r="I42" s="96"/>
      <c r="J42" s="96"/>
      <c r="K42" s="96"/>
      <c r="L42" s="358"/>
      <c r="M42" s="358"/>
      <c r="N42" s="358"/>
      <c r="O42" s="358"/>
      <c r="P42" s="358"/>
      <c r="Q42" s="17"/>
      <c r="R42" s="21"/>
    </row>
    <row r="43" spans="1:18" ht="31.2">
      <c r="A43" s="818"/>
      <c r="B43" s="358"/>
      <c r="C43" s="33" t="s">
        <v>505</v>
      </c>
      <c r="D43" s="369">
        <v>20</v>
      </c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17"/>
      <c r="R43" s="21"/>
    </row>
    <row r="44" spans="1:18" ht="46.8">
      <c r="A44" s="818"/>
      <c r="B44" s="358"/>
      <c r="C44" s="536" t="s">
        <v>267</v>
      </c>
      <c r="D44" s="408">
        <f>D40/D43</f>
        <v>7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17"/>
      <c r="R44" s="21"/>
    </row>
    <row r="45" spans="1:18" ht="31.2">
      <c r="A45" s="818"/>
      <c r="B45" s="358"/>
      <c r="C45" s="33" t="s">
        <v>506</v>
      </c>
      <c r="D45" s="408">
        <f>D42*D44</f>
        <v>700</v>
      </c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17"/>
      <c r="R45" s="21"/>
    </row>
    <row r="46" spans="1:18" ht="31.2">
      <c r="A46" s="818"/>
      <c r="B46" s="358"/>
      <c r="C46" s="33" t="s">
        <v>507</v>
      </c>
      <c r="D46" s="97">
        <v>18250</v>
      </c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17"/>
      <c r="R46" s="21"/>
    </row>
    <row r="47" spans="1:18" ht="31.2">
      <c r="A47" s="818"/>
      <c r="B47" s="358"/>
      <c r="C47" s="35" t="s">
        <v>508</v>
      </c>
      <c r="D47" s="375">
        <f>D46*D40</f>
        <v>2555000</v>
      </c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17"/>
      <c r="R47" s="21"/>
    </row>
    <row r="48" spans="1:18" ht="32.4" thickTop="1" thickBot="1">
      <c r="A48" s="818"/>
      <c r="B48" s="366" t="s">
        <v>129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17"/>
      <c r="R48" s="21"/>
    </row>
    <row r="49" spans="1:20" ht="32.4" thickTop="1" thickBot="1">
      <c r="A49" s="809" t="s">
        <v>175</v>
      </c>
      <c r="B49" s="429" t="s">
        <v>129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19"/>
      <c r="R49" s="20"/>
    </row>
    <row r="50" spans="1:20" ht="32.4" thickTop="1" thickBot="1">
      <c r="A50" s="818"/>
      <c r="B50" s="366" t="s">
        <v>129</v>
      </c>
      <c r="C50" s="913" t="s">
        <v>175</v>
      </c>
      <c r="D50" s="914"/>
      <c r="E50" s="914"/>
      <c r="F50" s="914"/>
      <c r="G50" s="914"/>
      <c r="H50" s="914"/>
      <c r="I50" s="915"/>
      <c r="J50" s="223"/>
      <c r="K50" s="358"/>
      <c r="L50" s="358"/>
      <c r="M50" s="358"/>
      <c r="N50" s="358"/>
      <c r="O50" s="358"/>
      <c r="P50" s="358"/>
      <c r="Q50" s="17"/>
      <c r="R50" s="21"/>
    </row>
    <row r="51" spans="1:20" ht="48" thickTop="1" thickBot="1">
      <c r="A51" s="818"/>
      <c r="B51" s="358"/>
      <c r="C51" s="436" t="s">
        <v>16</v>
      </c>
      <c r="D51" s="381" t="s">
        <v>510</v>
      </c>
      <c r="E51" s="381" t="s">
        <v>509</v>
      </c>
      <c r="F51" s="381" t="s">
        <v>275</v>
      </c>
      <c r="G51" s="381" t="s">
        <v>179</v>
      </c>
      <c r="H51" s="381" t="s">
        <v>180</v>
      </c>
      <c r="I51" s="437" t="s">
        <v>181</v>
      </c>
      <c r="J51" s="358"/>
      <c r="K51" s="358"/>
      <c r="L51" s="358"/>
      <c r="M51" s="358"/>
      <c r="N51" s="358"/>
      <c r="O51" s="358"/>
      <c r="P51" s="358"/>
      <c r="Q51" s="17"/>
      <c r="R51" s="21"/>
    </row>
    <row r="52" spans="1:20" ht="31.8" thickTop="1">
      <c r="A52" s="818"/>
      <c r="B52" s="366" t="s">
        <v>129</v>
      </c>
      <c r="C52" s="438">
        <v>1</v>
      </c>
      <c r="D52" s="29">
        <f>G15</f>
        <v>800</v>
      </c>
      <c r="E52" s="424">
        <f>G16</f>
        <v>343</v>
      </c>
      <c r="F52" s="29">
        <f>D45</f>
        <v>700</v>
      </c>
      <c r="G52" s="439">
        <f>1*L23</f>
        <v>50</v>
      </c>
      <c r="H52" s="29">
        <f>N31</f>
        <v>0</v>
      </c>
      <c r="I52" s="386">
        <f>D52+E52+F52+G52+H52</f>
        <v>1893</v>
      </c>
      <c r="J52" s="358"/>
      <c r="K52" s="358"/>
      <c r="L52" s="358"/>
      <c r="M52" s="358"/>
      <c r="N52" s="358"/>
      <c r="O52" s="358"/>
      <c r="P52" s="358"/>
      <c r="Q52" s="17"/>
      <c r="R52" s="21"/>
    </row>
    <row r="53" spans="1:20" ht="31.2">
      <c r="A53" s="818"/>
      <c r="B53" s="366" t="s">
        <v>129</v>
      </c>
      <c r="C53" s="440">
        <v>2</v>
      </c>
      <c r="D53" s="30">
        <f>G15</f>
        <v>800</v>
      </c>
      <c r="E53" s="30">
        <f>G16</f>
        <v>343</v>
      </c>
      <c r="F53" s="29">
        <f>D45</f>
        <v>700</v>
      </c>
      <c r="G53" s="30">
        <f>1*L23</f>
        <v>50</v>
      </c>
      <c r="H53" s="30">
        <f>N32</f>
        <v>36.690647482014391</v>
      </c>
      <c r="I53" s="408">
        <f>D53+E53+F53+G53+H53</f>
        <v>1929.6906474820144</v>
      </c>
      <c r="J53" s="358"/>
      <c r="K53" s="358"/>
      <c r="L53" s="358"/>
      <c r="M53" s="358"/>
      <c r="N53" s="358"/>
      <c r="O53" s="358"/>
      <c r="P53" s="358"/>
      <c r="Q53" s="17"/>
      <c r="R53" s="21"/>
    </row>
    <row r="54" spans="1:20" ht="31.2">
      <c r="A54" s="818"/>
      <c r="B54" s="366" t="s">
        <v>129</v>
      </c>
      <c r="C54" s="440">
        <v>3</v>
      </c>
      <c r="D54" s="30">
        <f>G15</f>
        <v>800</v>
      </c>
      <c r="E54" s="30">
        <f>G16</f>
        <v>343</v>
      </c>
      <c r="F54" s="30">
        <f>D45</f>
        <v>700</v>
      </c>
      <c r="G54" s="30">
        <f>1*L23</f>
        <v>50</v>
      </c>
      <c r="H54" s="30">
        <f>N33</f>
        <v>0</v>
      </c>
      <c r="I54" s="408">
        <f>D54+E54+F54+G54+H54</f>
        <v>1893</v>
      </c>
      <c r="J54" s="358"/>
      <c r="K54" s="358"/>
      <c r="L54" s="358"/>
      <c r="M54" s="358"/>
      <c r="N54" s="358"/>
      <c r="O54" s="358"/>
      <c r="P54" s="358"/>
      <c r="Q54" s="17"/>
      <c r="R54" s="21"/>
    </row>
    <row r="55" spans="1:20" ht="31.8" thickBot="1">
      <c r="A55" s="818"/>
      <c r="B55" s="366" t="s">
        <v>129</v>
      </c>
      <c r="C55" s="435">
        <v>4</v>
      </c>
      <c r="D55" s="45">
        <f>G15</f>
        <v>800</v>
      </c>
      <c r="E55" s="45">
        <f>G16</f>
        <v>343</v>
      </c>
      <c r="F55" s="45">
        <f>D45</f>
        <v>700</v>
      </c>
      <c r="G55" s="45">
        <f>1*L23</f>
        <v>50</v>
      </c>
      <c r="H55" s="45">
        <f>N34</f>
        <v>44.684252597921663</v>
      </c>
      <c r="I55" s="375">
        <f>D55+E55+F55+G55+H55</f>
        <v>1937.6842525979216</v>
      </c>
      <c r="J55" s="358"/>
      <c r="K55" s="358"/>
      <c r="L55" s="358"/>
      <c r="M55" s="358"/>
      <c r="N55" s="358"/>
      <c r="O55" s="358"/>
      <c r="P55" s="358"/>
      <c r="Q55" s="17"/>
      <c r="R55" s="21"/>
    </row>
    <row r="56" spans="1:20" ht="31.8" thickTop="1">
      <c r="A56" s="818"/>
      <c r="B56" s="366" t="s">
        <v>129</v>
      </c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17"/>
      <c r="R56" s="21"/>
    </row>
    <row r="57" spans="1:20" ht="31.2">
      <c r="A57" s="818"/>
      <c r="B57" s="366" t="s">
        <v>129</v>
      </c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17"/>
      <c r="R57" s="21"/>
    </row>
    <row r="58" spans="1:20" ht="31.2">
      <c r="A58" s="818"/>
      <c r="B58" s="366" t="s">
        <v>129</v>
      </c>
      <c r="C58" s="358"/>
      <c r="D58" s="358"/>
      <c r="E58" s="358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25"/>
      <c r="R58" s="77"/>
      <c r="S58" s="8"/>
      <c r="T58" s="8"/>
    </row>
    <row r="59" spans="1:20" ht="31.2">
      <c r="A59" s="818"/>
      <c r="B59" s="366" t="s">
        <v>129</v>
      </c>
      <c r="C59" s="358"/>
      <c r="D59" s="358"/>
      <c r="E59" s="358"/>
      <c r="F59" s="523"/>
      <c r="G59" s="537"/>
      <c r="H59" s="420"/>
      <c r="I59" s="420"/>
      <c r="J59" s="420"/>
      <c r="K59" s="420"/>
      <c r="L59" s="420"/>
      <c r="M59" s="420"/>
      <c r="N59" s="420"/>
      <c r="O59" s="420"/>
      <c r="P59" s="420"/>
      <c r="Q59" s="78"/>
      <c r="R59" s="79"/>
      <c r="S59" s="12"/>
      <c r="T59" s="12"/>
    </row>
    <row r="60" spans="1:20" ht="32.4" thickTop="1" thickBot="1">
      <c r="A60" s="809" t="s">
        <v>182</v>
      </c>
      <c r="B60" s="359"/>
      <c r="C60" s="359"/>
      <c r="D60" s="359"/>
      <c r="E60" s="359"/>
      <c r="F60" s="359"/>
      <c r="G60" s="359"/>
      <c r="H60" s="429" t="s">
        <v>129</v>
      </c>
      <c r="I60" s="359"/>
      <c r="J60" s="538"/>
      <c r="K60" s="359"/>
      <c r="L60" s="359"/>
      <c r="M60" s="359"/>
      <c r="N60" s="359"/>
      <c r="O60" s="359"/>
      <c r="P60" s="359"/>
      <c r="Q60" s="19"/>
      <c r="R60" s="20"/>
    </row>
    <row r="61" spans="1:20" ht="30.75" customHeight="1" thickTop="1" thickBot="1">
      <c r="A61" s="818"/>
      <c r="B61" s="358"/>
      <c r="C61" s="910" t="s">
        <v>183</v>
      </c>
      <c r="D61" s="539"/>
      <c r="E61" s="232" t="s">
        <v>239</v>
      </c>
      <c r="F61" s="232" t="s">
        <v>240</v>
      </c>
      <c r="G61" s="233" t="s">
        <v>241</v>
      </c>
      <c r="H61" s="358"/>
      <c r="I61" s="910" t="s">
        <v>183</v>
      </c>
      <c r="J61" s="540"/>
      <c r="K61" s="232" t="s">
        <v>239</v>
      </c>
      <c r="L61" s="232" t="s">
        <v>240</v>
      </c>
      <c r="M61" s="233" t="s">
        <v>241</v>
      </c>
      <c r="N61" s="358"/>
      <c r="O61" s="358"/>
      <c r="P61" s="358"/>
      <c r="Q61" s="17"/>
      <c r="R61" s="21"/>
    </row>
    <row r="62" spans="1:20" ht="46.8">
      <c r="A62" s="818"/>
      <c r="B62" s="358"/>
      <c r="C62" s="911"/>
      <c r="D62" s="445" t="s">
        <v>488</v>
      </c>
      <c r="E62" s="29">
        <f>L32*F32</f>
        <v>816.00000000000011</v>
      </c>
      <c r="F62" s="29">
        <f>E62*G32</f>
        <v>4080.0000000000005</v>
      </c>
      <c r="G62" s="386">
        <f>F62*H32</f>
        <v>163200.00000000003</v>
      </c>
      <c r="H62" s="358"/>
      <c r="I62" s="911"/>
      <c r="J62" s="445" t="s">
        <v>488</v>
      </c>
      <c r="K62" s="29">
        <f>L34*F34</f>
        <v>496.88888888888891</v>
      </c>
      <c r="L62" s="29">
        <f>K62*G34</f>
        <v>2981.3333333333335</v>
      </c>
      <c r="M62" s="386">
        <f>L62*H34</f>
        <v>155029.33333333334</v>
      </c>
      <c r="N62" s="358"/>
      <c r="O62" s="358"/>
      <c r="P62" s="358"/>
      <c r="Q62" s="17"/>
      <c r="R62" s="21"/>
    </row>
    <row r="63" spans="1:20" ht="46.8">
      <c r="A63" s="818"/>
      <c r="B63" s="358"/>
      <c r="C63" s="911"/>
      <c r="D63" s="447" t="s">
        <v>511</v>
      </c>
      <c r="E63" s="30">
        <f>I15*F32</f>
        <v>352.79999999999995</v>
      </c>
      <c r="F63" s="30">
        <f>E63*G32</f>
        <v>1763.9999999999998</v>
      </c>
      <c r="G63" s="408">
        <f>F63*H32</f>
        <v>70559.999999999985</v>
      </c>
      <c r="H63" s="358"/>
      <c r="I63" s="911"/>
      <c r="J63" s="447" t="s">
        <v>511</v>
      </c>
      <c r="K63" s="30">
        <f>I15*F34</f>
        <v>176.39999999999998</v>
      </c>
      <c r="L63" s="30">
        <f>K63*G34</f>
        <v>1058.3999999999999</v>
      </c>
      <c r="M63" s="408">
        <f>L63*H34</f>
        <v>55036.799999999996</v>
      </c>
      <c r="N63" s="358"/>
      <c r="O63" s="358"/>
      <c r="P63" s="358"/>
      <c r="Q63" s="17"/>
      <c r="R63" s="21"/>
    </row>
    <row r="64" spans="1:20" ht="31.2">
      <c r="A64" s="818"/>
      <c r="B64" s="358"/>
      <c r="C64" s="911"/>
      <c r="D64" s="447" t="s">
        <v>185</v>
      </c>
      <c r="E64" s="30">
        <f>D26*E62</f>
        <v>2783.1085321376277</v>
      </c>
      <c r="F64" s="30">
        <f>E64*G32</f>
        <v>13915.542660688137</v>
      </c>
      <c r="G64" s="408">
        <f>F64*H32</f>
        <v>556621.7064275255</v>
      </c>
      <c r="H64" s="358"/>
      <c r="I64" s="911"/>
      <c r="J64" s="447" t="s">
        <v>185</v>
      </c>
      <c r="K64" s="30">
        <f>K62*D26</f>
        <v>1694.7251301360934</v>
      </c>
      <c r="L64" s="30">
        <f>L62*D26</f>
        <v>10168.350780816561</v>
      </c>
      <c r="M64" s="408">
        <f>L64*H34</f>
        <v>528754.24060246116</v>
      </c>
      <c r="N64" s="358"/>
      <c r="O64" s="358"/>
      <c r="P64" s="358"/>
      <c r="Q64" s="17"/>
      <c r="R64" s="21"/>
    </row>
    <row r="65" spans="1:18" ht="46.8">
      <c r="A65" s="818"/>
      <c r="B65" s="358"/>
      <c r="C65" s="911"/>
      <c r="D65" s="447" t="s">
        <v>186</v>
      </c>
      <c r="E65" s="30">
        <f>E63*I22</f>
        <v>884.75624999999991</v>
      </c>
      <c r="F65" s="30">
        <f>E65*G32</f>
        <v>4423.78125</v>
      </c>
      <c r="G65" s="408">
        <f>F65*H32</f>
        <v>176951.25</v>
      </c>
      <c r="H65" s="358"/>
      <c r="I65" s="911"/>
      <c r="J65" s="447" t="s">
        <v>186</v>
      </c>
      <c r="K65" s="30">
        <f>K63*I22</f>
        <v>442.37812499999995</v>
      </c>
      <c r="L65" s="30">
        <f>K65*G34</f>
        <v>2654.2687499999997</v>
      </c>
      <c r="M65" s="408">
        <f>L65*H34</f>
        <v>138021.97499999998</v>
      </c>
      <c r="N65" s="358"/>
      <c r="O65" s="358"/>
      <c r="P65" s="358"/>
      <c r="Q65" s="17"/>
      <c r="R65" s="21"/>
    </row>
    <row r="66" spans="1:18" ht="31.2">
      <c r="A66" s="818"/>
      <c r="B66" s="358"/>
      <c r="C66" s="912"/>
      <c r="D66" s="541" t="s">
        <v>187</v>
      </c>
      <c r="E66" s="45">
        <f>E65+E64</f>
        <v>3667.8647821376276</v>
      </c>
      <c r="F66" s="45">
        <f>E66*G32</f>
        <v>18339.323910688137</v>
      </c>
      <c r="G66" s="375">
        <f>F66*H32</f>
        <v>733572.9564275255</v>
      </c>
      <c r="H66" s="358"/>
      <c r="I66" s="912"/>
      <c r="J66" s="541" t="s">
        <v>187</v>
      </c>
      <c r="K66" s="45">
        <f>K65+K64</f>
        <v>2137.1032551360931</v>
      </c>
      <c r="L66" s="45">
        <f>L64+L65</f>
        <v>12822.619530816561</v>
      </c>
      <c r="M66" s="375">
        <f>M64+M65</f>
        <v>666776.21560246113</v>
      </c>
      <c r="N66" s="358"/>
      <c r="O66" s="358"/>
      <c r="P66" s="358"/>
      <c r="Q66" s="17"/>
      <c r="R66" s="21"/>
    </row>
    <row r="67" spans="1:18" ht="32.4" thickTop="1" thickBot="1">
      <c r="A67" s="818"/>
      <c r="B67" s="366" t="s">
        <v>129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17"/>
      <c r="R67" s="21"/>
    </row>
    <row r="68" spans="1:18" ht="30.75" customHeight="1" thickTop="1" thickBot="1">
      <c r="A68" s="818"/>
      <c r="B68" s="358"/>
      <c r="C68" s="910" t="s">
        <v>268</v>
      </c>
      <c r="D68" s="540"/>
      <c r="E68" s="232" t="s">
        <v>239</v>
      </c>
      <c r="F68" s="232" t="s">
        <v>240</v>
      </c>
      <c r="G68" s="233" t="s">
        <v>241</v>
      </c>
      <c r="H68" s="358"/>
      <c r="I68" s="910" t="s">
        <v>269</v>
      </c>
      <c r="J68" s="540"/>
      <c r="K68" s="232" t="s">
        <v>239</v>
      </c>
      <c r="L68" s="232" t="s">
        <v>240</v>
      </c>
      <c r="M68" s="233" t="s">
        <v>241</v>
      </c>
      <c r="N68" s="358"/>
      <c r="O68" s="358"/>
      <c r="P68" s="358"/>
      <c r="Q68" s="17"/>
      <c r="R68" s="21"/>
    </row>
    <row r="69" spans="1:18" ht="47.4" thickTop="1">
      <c r="A69" s="818"/>
      <c r="B69" s="358"/>
      <c r="C69" s="911"/>
      <c r="D69" s="445" t="s">
        <v>488</v>
      </c>
      <c r="E69" s="29">
        <f>L32*F32</f>
        <v>816.00000000000011</v>
      </c>
      <c r="F69" s="29">
        <f>E69*G32</f>
        <v>4080.0000000000005</v>
      </c>
      <c r="G69" s="386">
        <f>F69*H32</f>
        <v>163200.00000000003</v>
      </c>
      <c r="H69" s="358"/>
      <c r="I69" s="911"/>
      <c r="J69" s="445" t="s">
        <v>488</v>
      </c>
      <c r="K69" s="29">
        <f>L34*F34</f>
        <v>496.88888888888891</v>
      </c>
      <c r="L69" s="29">
        <f>K69*G34</f>
        <v>2981.3333333333335</v>
      </c>
      <c r="M69" s="386">
        <f>L69*H34</f>
        <v>155029.33333333334</v>
      </c>
      <c r="N69" s="358"/>
      <c r="O69" s="358"/>
      <c r="P69" s="358"/>
      <c r="Q69" s="17"/>
      <c r="R69" s="21"/>
    </row>
    <row r="70" spans="1:18" ht="46.8">
      <c r="A70" s="818"/>
      <c r="B70" s="358"/>
      <c r="C70" s="911"/>
      <c r="D70" s="447" t="s">
        <v>511</v>
      </c>
      <c r="E70" s="30">
        <f>I15*F32</f>
        <v>352.79999999999995</v>
      </c>
      <c r="F70" s="30">
        <f>E70*G33</f>
        <v>2116.7999999999997</v>
      </c>
      <c r="G70" s="408">
        <f>F70*H32</f>
        <v>84671.999999999985</v>
      </c>
      <c r="H70" s="358"/>
      <c r="I70" s="911"/>
      <c r="J70" s="447" t="s">
        <v>511</v>
      </c>
      <c r="K70" s="30">
        <f>I15*F34</f>
        <v>176.39999999999998</v>
      </c>
      <c r="L70" s="30">
        <f>K70*G34</f>
        <v>1058.3999999999999</v>
      </c>
      <c r="M70" s="408">
        <f>L70*H34</f>
        <v>55036.799999999996</v>
      </c>
      <c r="N70" s="358"/>
      <c r="O70" s="358"/>
      <c r="P70" s="358"/>
      <c r="Q70" s="17"/>
      <c r="R70" s="21"/>
    </row>
    <row r="71" spans="1:18" ht="31.2">
      <c r="A71" s="818"/>
      <c r="B71" s="358"/>
      <c r="C71" s="911"/>
      <c r="D71" s="447" t="s">
        <v>185</v>
      </c>
      <c r="E71" s="30">
        <f>E69*D26</f>
        <v>2783.1085321376277</v>
      </c>
      <c r="F71" s="30">
        <f>E71*G32</f>
        <v>13915.542660688137</v>
      </c>
      <c r="G71" s="408">
        <f>F71*H32</f>
        <v>556621.7064275255</v>
      </c>
      <c r="H71" s="358"/>
      <c r="I71" s="911"/>
      <c r="J71" s="447" t="s">
        <v>185</v>
      </c>
      <c r="K71" s="30">
        <f>K69*D26</f>
        <v>1694.7251301360934</v>
      </c>
      <c r="L71" s="30">
        <f>L69*D26</f>
        <v>10168.350780816561</v>
      </c>
      <c r="M71" s="408">
        <f>L71*H34</f>
        <v>528754.24060246116</v>
      </c>
      <c r="N71" s="358"/>
      <c r="O71" s="358"/>
      <c r="P71" s="358"/>
      <c r="Q71" s="17"/>
      <c r="R71" s="21"/>
    </row>
    <row r="72" spans="1:18" ht="31.2">
      <c r="A72" s="818"/>
      <c r="B72" s="358"/>
      <c r="C72" s="911"/>
      <c r="D72" s="447" t="s">
        <v>246</v>
      </c>
      <c r="E72" s="30">
        <f>E70*I23</f>
        <v>305.94374999999997</v>
      </c>
      <c r="F72" s="30">
        <f>E72*G32</f>
        <v>1529.7187499999998</v>
      </c>
      <c r="G72" s="408">
        <f>F72*H32</f>
        <v>61188.749999999993</v>
      </c>
      <c r="H72" s="358"/>
      <c r="I72" s="911"/>
      <c r="J72" s="447" t="s">
        <v>246</v>
      </c>
      <c r="K72" s="30">
        <f>K70*I23</f>
        <v>152.97187499999998</v>
      </c>
      <c r="L72" s="30">
        <f>K72*G34</f>
        <v>917.83124999999995</v>
      </c>
      <c r="M72" s="408">
        <f>L72*H34</f>
        <v>47727.224999999999</v>
      </c>
      <c r="N72" s="358"/>
      <c r="O72" s="358"/>
      <c r="P72" s="358"/>
      <c r="Q72" s="17"/>
      <c r="R72" s="21"/>
    </row>
    <row r="73" spans="1:18" ht="31.2">
      <c r="A73" s="818"/>
      <c r="B73" s="358"/>
      <c r="C73" s="912"/>
      <c r="D73" s="541" t="s">
        <v>187</v>
      </c>
      <c r="E73" s="45">
        <f>E72+E71</f>
        <v>3089.0522821376276</v>
      </c>
      <c r="F73" s="45">
        <f>F71+F72</f>
        <v>15445.261410688137</v>
      </c>
      <c r="G73" s="375">
        <f>G71+G72</f>
        <v>617810.4564275255</v>
      </c>
      <c r="H73" s="358"/>
      <c r="I73" s="912"/>
      <c r="J73" s="541" t="s">
        <v>187</v>
      </c>
      <c r="K73" s="45">
        <f>K72+K71</f>
        <v>1847.6970051360934</v>
      </c>
      <c r="L73" s="45">
        <f>L71+L72</f>
        <v>11086.182030816561</v>
      </c>
      <c r="M73" s="375">
        <f>M71+M72</f>
        <v>576481.46560246113</v>
      </c>
      <c r="N73" s="358"/>
      <c r="O73" s="358"/>
      <c r="P73" s="358"/>
      <c r="Q73" s="17"/>
      <c r="R73" s="21"/>
    </row>
    <row r="74" spans="1:18" ht="32.4" thickTop="1" thickBot="1">
      <c r="A74" s="818"/>
      <c r="B74" s="358"/>
      <c r="C74" s="358"/>
      <c r="D74" s="358"/>
      <c r="E74" s="358"/>
      <c r="F74" s="358"/>
      <c r="G74" s="358"/>
      <c r="H74" s="366" t="s">
        <v>129</v>
      </c>
      <c r="I74" s="537"/>
      <c r="J74" s="537"/>
      <c r="K74" s="223"/>
      <c r="L74" s="358"/>
      <c r="M74" s="358"/>
      <c r="N74" s="358"/>
      <c r="O74" s="358"/>
      <c r="P74" s="358"/>
      <c r="Q74" s="17"/>
      <c r="R74" s="21"/>
    </row>
    <row r="75" spans="1:18" ht="32.4" thickTop="1" thickBot="1">
      <c r="A75" s="818"/>
      <c r="B75" s="358"/>
      <c r="C75" s="907" t="s">
        <v>237</v>
      </c>
      <c r="D75" s="908"/>
      <c r="E75" s="909"/>
      <c r="F75" s="358"/>
      <c r="G75" s="358"/>
      <c r="H75" s="366" t="s">
        <v>129</v>
      </c>
      <c r="I75" s="831" t="s">
        <v>516</v>
      </c>
      <c r="J75" s="832"/>
      <c r="K75" s="832"/>
      <c r="L75" s="832"/>
      <c r="M75" s="832"/>
      <c r="N75" s="833"/>
      <c r="O75" s="358"/>
      <c r="P75" s="358"/>
      <c r="Q75" s="17"/>
      <c r="R75" s="21"/>
    </row>
    <row r="76" spans="1:18" ht="79.2" thickTop="1" thickBot="1">
      <c r="A76" s="818"/>
      <c r="B76" s="358"/>
      <c r="C76" s="542" t="s">
        <v>16</v>
      </c>
      <c r="D76" s="211" t="s">
        <v>230</v>
      </c>
      <c r="E76" s="212" t="s">
        <v>238</v>
      </c>
      <c r="F76" s="379"/>
      <c r="G76" s="379"/>
      <c r="H76" s="366" t="s">
        <v>129</v>
      </c>
      <c r="I76" s="501" t="s">
        <v>16</v>
      </c>
      <c r="J76" s="211" t="s">
        <v>230</v>
      </c>
      <c r="K76" s="213" t="s">
        <v>518</v>
      </c>
      <c r="L76" s="215" t="s">
        <v>517</v>
      </c>
      <c r="M76" s="215" t="s">
        <v>519</v>
      </c>
      <c r="N76" s="216" t="s">
        <v>521</v>
      </c>
      <c r="O76" s="358"/>
      <c r="P76" s="358"/>
      <c r="Q76" s="17"/>
      <c r="R76" s="21"/>
    </row>
    <row r="77" spans="1:18" ht="31.8" thickTop="1">
      <c r="A77" s="818"/>
      <c r="B77" s="358"/>
      <c r="C77" s="543">
        <v>2</v>
      </c>
      <c r="D77" s="544" t="s">
        <v>496</v>
      </c>
      <c r="E77" s="469">
        <f>E66/(E62+E63)</f>
        <v>3.138145775271755</v>
      </c>
      <c r="F77" s="223" t="s">
        <v>129</v>
      </c>
      <c r="G77" s="358"/>
      <c r="H77" s="358"/>
      <c r="I77" s="502">
        <v>2</v>
      </c>
      <c r="J77" s="224" t="s">
        <v>500</v>
      </c>
      <c r="K77" s="503">
        <v>3</v>
      </c>
      <c r="L77" s="504">
        <v>6</v>
      </c>
      <c r="M77" s="226">
        <v>21283607</v>
      </c>
      <c r="N77" s="227">
        <v>19507607</v>
      </c>
      <c r="O77" s="358"/>
      <c r="P77" s="358"/>
      <c r="Q77" s="17"/>
      <c r="R77" s="21"/>
    </row>
    <row r="78" spans="1:18" ht="31.2">
      <c r="A78" s="818"/>
      <c r="B78" s="358"/>
      <c r="C78" s="545">
        <v>4</v>
      </c>
      <c r="D78" s="546" t="s">
        <v>515</v>
      </c>
      <c r="E78" s="470">
        <f>K66/(K62+K63)</f>
        <v>3.1741252386667171</v>
      </c>
      <c r="F78" s="223"/>
      <c r="G78" s="358"/>
      <c r="H78" s="366" t="s">
        <v>129</v>
      </c>
      <c r="I78" s="505">
        <v>2</v>
      </c>
      <c r="J78" s="214" t="s">
        <v>496</v>
      </c>
      <c r="K78" s="506">
        <v>4</v>
      </c>
      <c r="L78" s="507">
        <v>7</v>
      </c>
      <c r="M78" s="228">
        <v>18649898</v>
      </c>
      <c r="N78" s="229">
        <v>16873898</v>
      </c>
      <c r="O78" s="358"/>
      <c r="P78" s="358"/>
      <c r="Q78" s="17"/>
      <c r="R78" s="21"/>
    </row>
    <row r="79" spans="1:18" ht="31.2">
      <c r="A79" s="818"/>
      <c r="B79" s="358"/>
      <c r="C79" s="545">
        <v>2</v>
      </c>
      <c r="D79" s="546" t="s">
        <v>500</v>
      </c>
      <c r="E79" s="470">
        <f>E73/(E70+E69)</f>
        <v>2.6429263194195989</v>
      </c>
      <c r="F79" s="223"/>
      <c r="G79" s="358"/>
      <c r="H79" s="366" t="s">
        <v>129</v>
      </c>
      <c r="I79" s="505">
        <v>4</v>
      </c>
      <c r="J79" s="214" t="s">
        <v>500</v>
      </c>
      <c r="K79" s="506">
        <v>5</v>
      </c>
      <c r="L79" s="507">
        <v>9</v>
      </c>
      <c r="M79" s="228">
        <v>12187562</v>
      </c>
      <c r="N79" s="229">
        <v>10411562</v>
      </c>
      <c r="O79" s="358"/>
      <c r="P79" s="358"/>
      <c r="Q79" s="17"/>
      <c r="R79" s="21"/>
    </row>
    <row r="80" spans="1:18" ht="31.8" thickBot="1">
      <c r="A80" s="818"/>
      <c r="B80" s="358"/>
      <c r="C80" s="547">
        <v>4</v>
      </c>
      <c r="D80" s="548" t="s">
        <v>500</v>
      </c>
      <c r="E80" s="549">
        <f>K73/(K69+K70)</f>
        <v>2.7442856040373687</v>
      </c>
      <c r="F80" s="223"/>
      <c r="G80" s="358"/>
      <c r="H80" s="366" t="s">
        <v>129</v>
      </c>
      <c r="I80" s="508">
        <v>4</v>
      </c>
      <c r="J80" s="225" t="s">
        <v>496</v>
      </c>
      <c r="K80" s="509">
        <v>6</v>
      </c>
      <c r="L80" s="510">
        <v>11</v>
      </c>
      <c r="M80" s="230">
        <v>10518769</v>
      </c>
      <c r="N80" s="231">
        <v>8742769</v>
      </c>
      <c r="O80" s="358"/>
      <c r="P80" s="358"/>
      <c r="Q80" s="17"/>
      <c r="R80" s="21"/>
    </row>
    <row r="81" spans="1:18" ht="31.8" thickTop="1">
      <c r="A81" s="818"/>
      <c r="B81" s="358"/>
      <c r="C81" s="223"/>
      <c r="D81" s="358"/>
      <c r="E81" s="358"/>
      <c r="F81" s="223"/>
      <c r="G81" s="358"/>
      <c r="H81" s="366" t="s">
        <v>129</v>
      </c>
      <c r="L81" s="358"/>
      <c r="M81" s="358"/>
      <c r="N81" s="358"/>
      <c r="O81" s="358"/>
      <c r="P81" s="358"/>
      <c r="Q81" s="17"/>
      <c r="R81" s="21"/>
    </row>
    <row r="82" spans="1:18" ht="15.6">
      <c r="A82" s="818"/>
      <c r="B82" s="358"/>
      <c r="C82" s="379"/>
      <c r="D82" s="358"/>
      <c r="E82" s="358"/>
      <c r="F82" s="379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17"/>
      <c r="R82" s="21"/>
    </row>
    <row r="83" spans="1:18" ht="15.6">
      <c r="A83" s="818"/>
      <c r="B83" s="358"/>
      <c r="C83" s="379"/>
      <c r="D83" s="358"/>
      <c r="E83" s="358"/>
      <c r="F83" s="379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17"/>
      <c r="R83" s="21"/>
    </row>
    <row r="84" spans="1:18" ht="15.6">
      <c r="A84" s="818"/>
      <c r="B84" s="358"/>
      <c r="C84" s="379"/>
      <c r="D84" s="358"/>
      <c r="E84" s="358"/>
      <c r="F84" s="379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17"/>
      <c r="R84" s="21"/>
    </row>
    <row r="85" spans="1:18" ht="15.6">
      <c r="A85" s="819"/>
      <c r="B85" s="396"/>
      <c r="C85" s="395"/>
      <c r="D85" s="396"/>
      <c r="E85" s="396"/>
      <c r="F85" s="395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23"/>
      <c r="R85" s="24"/>
    </row>
    <row r="86" spans="1:18">
      <c r="A86" s="17"/>
      <c r="B86" s="17"/>
      <c r="C86" s="74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</sheetData>
  <mergeCells count="23">
    <mergeCell ref="I61:I66"/>
    <mergeCell ref="I68:I73"/>
    <mergeCell ref="F38:J38"/>
    <mergeCell ref="C50:I50"/>
    <mergeCell ref="I75:N75"/>
    <mergeCell ref="A60:A85"/>
    <mergeCell ref="A49:A59"/>
    <mergeCell ref="A36:A48"/>
    <mergeCell ref="C38:D38"/>
    <mergeCell ref="C75:E75"/>
    <mergeCell ref="C61:C66"/>
    <mergeCell ref="C68:C73"/>
    <mergeCell ref="A4:A18"/>
    <mergeCell ref="C8:F8"/>
    <mergeCell ref="A19:A35"/>
    <mergeCell ref="C20:D20"/>
    <mergeCell ref="K20:N20"/>
    <mergeCell ref="C31:C32"/>
    <mergeCell ref="C33:C34"/>
    <mergeCell ref="K5:L5"/>
    <mergeCell ref="F20:I20"/>
    <mergeCell ref="C29:P29"/>
    <mergeCell ref="C13:J1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B0818-BF7D-4E88-BEAA-84974C88BD14}">
  <dimension ref="A1:R86"/>
  <sheetViews>
    <sheetView tabSelected="1" workbookViewId="0">
      <selection activeCell="J71" sqref="J71"/>
    </sheetView>
  </sheetViews>
  <sheetFormatPr baseColWidth="10" defaultColWidth="8.88671875" defaultRowHeight="14.4"/>
  <cols>
    <col min="1" max="1" width="17.44140625" bestFit="1" customWidth="1"/>
    <col min="3" max="3" width="30.109375" bestFit="1" customWidth="1"/>
    <col min="4" max="4" width="18.6640625" customWidth="1"/>
    <col min="5" max="5" width="15.44140625" customWidth="1"/>
    <col min="6" max="6" width="21.88671875" customWidth="1"/>
    <col min="7" max="7" width="17.88671875" bestFit="1" customWidth="1"/>
    <col min="8" max="8" width="19.44140625" customWidth="1"/>
    <col min="9" max="9" width="20.33203125" customWidth="1"/>
    <col min="10" max="10" width="22.88671875" customWidth="1"/>
    <col min="11" max="11" width="15" bestFit="1" customWidth="1"/>
    <col min="12" max="12" width="15.6640625" customWidth="1"/>
    <col min="13" max="13" width="16.88671875" bestFit="1" customWidth="1"/>
    <col min="14" max="14" width="19.44140625" customWidth="1"/>
    <col min="16" max="16" width="11.6640625" customWidth="1"/>
  </cols>
  <sheetData>
    <row r="1" spans="1:18" ht="15.6">
      <c r="A1" s="311" t="s">
        <v>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8" ht="15.6">
      <c r="A2" s="312" t="s">
        <v>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8" ht="15.6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8" ht="15.6">
      <c r="A4" s="916" t="s">
        <v>525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3"/>
      <c r="R4" s="7"/>
    </row>
    <row r="5" spans="1:18" ht="46.8">
      <c r="A5" s="935"/>
      <c r="B5" s="240"/>
      <c r="C5" s="551"/>
      <c r="D5" s="336" t="s">
        <v>85</v>
      </c>
      <c r="E5" s="336" t="s">
        <v>470</v>
      </c>
      <c r="F5" s="336" t="s">
        <v>127</v>
      </c>
      <c r="G5" s="552" t="s">
        <v>459</v>
      </c>
      <c r="H5" s="337" t="s">
        <v>26</v>
      </c>
      <c r="I5" s="240"/>
      <c r="J5" s="941" t="s">
        <v>128</v>
      </c>
      <c r="K5" s="942"/>
      <c r="L5" s="240"/>
      <c r="M5" s="240"/>
      <c r="N5" s="240"/>
      <c r="O5" s="240"/>
      <c r="P5" s="240"/>
      <c r="R5" s="4"/>
    </row>
    <row r="6" spans="1:18" ht="31.2">
      <c r="A6" s="935"/>
      <c r="B6" s="240"/>
      <c r="C6" s="553" t="s">
        <v>270</v>
      </c>
      <c r="D6" s="554">
        <v>12</v>
      </c>
      <c r="E6" s="554">
        <v>40</v>
      </c>
      <c r="F6" s="554">
        <v>3</v>
      </c>
      <c r="G6" s="554">
        <v>12</v>
      </c>
      <c r="H6" s="99">
        <v>6</v>
      </c>
      <c r="I6" s="240"/>
      <c r="J6" s="555" t="s">
        <v>18</v>
      </c>
      <c r="K6" s="275">
        <v>25</v>
      </c>
      <c r="L6" s="240"/>
      <c r="M6" s="240"/>
      <c r="N6" s="240"/>
      <c r="O6" s="240"/>
      <c r="P6" s="240"/>
      <c r="R6" s="4"/>
    </row>
    <row r="7" spans="1:18" ht="31.2">
      <c r="A7" s="935"/>
      <c r="B7" s="240"/>
      <c r="C7" s="240"/>
      <c r="D7" s="240"/>
      <c r="E7" s="240"/>
      <c r="F7" s="240"/>
      <c r="G7" s="240"/>
      <c r="H7" s="240"/>
      <c r="I7" s="240"/>
      <c r="J7" s="556" t="s">
        <v>26</v>
      </c>
      <c r="K7" s="248">
        <v>6</v>
      </c>
      <c r="L7" s="240"/>
      <c r="M7" s="240"/>
      <c r="N7" s="240"/>
      <c r="O7" s="240"/>
      <c r="P7" s="240"/>
      <c r="R7" s="4"/>
    </row>
    <row r="8" spans="1:18" ht="31.2">
      <c r="A8" s="935"/>
      <c r="B8" s="240"/>
      <c r="C8" s="931" t="s">
        <v>131</v>
      </c>
      <c r="D8" s="937"/>
      <c r="E8" s="937"/>
      <c r="F8" s="938"/>
      <c r="G8" s="240"/>
      <c r="H8" s="240"/>
      <c r="I8" s="240"/>
      <c r="J8" s="557" t="s">
        <v>480</v>
      </c>
      <c r="K8" s="558">
        <f>K6*K7</f>
        <v>150</v>
      </c>
      <c r="L8" s="240"/>
      <c r="M8" s="240"/>
      <c r="N8" s="240"/>
      <c r="O8" s="240"/>
      <c r="P8" s="240"/>
      <c r="R8" s="4"/>
    </row>
    <row r="9" spans="1:18" ht="31.2">
      <c r="A9" s="935"/>
      <c r="B9" s="222" t="s">
        <v>129</v>
      </c>
      <c r="C9" s="285" t="s">
        <v>0</v>
      </c>
      <c r="D9" s="243">
        <v>63</v>
      </c>
      <c r="E9" s="243">
        <v>126</v>
      </c>
      <c r="F9" s="244">
        <v>252</v>
      </c>
      <c r="G9" s="240"/>
      <c r="H9" s="240"/>
      <c r="I9" s="240"/>
      <c r="J9" s="240"/>
      <c r="K9" s="240"/>
      <c r="L9" s="240"/>
      <c r="M9" s="240"/>
      <c r="N9" s="240"/>
      <c r="O9" s="240"/>
      <c r="P9" s="240"/>
      <c r="R9" s="4"/>
    </row>
    <row r="10" spans="1:18" ht="31.2">
      <c r="A10" s="935"/>
      <c r="B10" s="222" t="s">
        <v>129</v>
      </c>
      <c r="C10" s="295" t="s">
        <v>1</v>
      </c>
      <c r="D10" s="247">
        <v>70</v>
      </c>
      <c r="E10" s="247">
        <f>D10</f>
        <v>70</v>
      </c>
      <c r="F10" s="248">
        <f>D10</f>
        <v>70</v>
      </c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R10" s="4"/>
    </row>
    <row r="11" spans="1:18" ht="31.2">
      <c r="A11" s="935"/>
      <c r="B11" s="222" t="s">
        <v>129</v>
      </c>
      <c r="C11" s="288" t="s">
        <v>2</v>
      </c>
      <c r="D11" s="251">
        <f>D9*(D10/100)</f>
        <v>44.099999999999994</v>
      </c>
      <c r="E11" s="251">
        <f t="shared" ref="E11:F11" si="0">E9*(E10/100)</f>
        <v>88.199999999999989</v>
      </c>
      <c r="F11" s="252">
        <f t="shared" si="0"/>
        <v>176.39999999999998</v>
      </c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R11" s="4"/>
    </row>
    <row r="12" spans="1:18" ht="31.2">
      <c r="A12" s="935"/>
      <c r="B12" s="222" t="s">
        <v>129</v>
      </c>
      <c r="C12" s="240"/>
      <c r="D12" s="240"/>
      <c r="E12" s="240"/>
      <c r="F12" s="240"/>
      <c r="G12" s="240"/>
      <c r="H12" s="240"/>
      <c r="I12" s="240"/>
      <c r="J12" s="240"/>
      <c r="K12" s="347"/>
      <c r="L12" s="100"/>
      <c r="M12" s="240"/>
      <c r="N12" s="240"/>
      <c r="O12" s="240"/>
      <c r="P12" s="240"/>
      <c r="R12" s="4"/>
    </row>
    <row r="13" spans="1:18" ht="31.2">
      <c r="A13" s="935"/>
      <c r="B13" s="222" t="s">
        <v>129</v>
      </c>
      <c r="C13" s="960" t="s">
        <v>133</v>
      </c>
      <c r="D13" s="961"/>
      <c r="E13" s="961"/>
      <c r="F13" s="961"/>
      <c r="G13" s="961"/>
      <c r="H13" s="961"/>
      <c r="I13" s="961"/>
      <c r="J13" s="962"/>
      <c r="K13" s="559"/>
      <c r="L13" s="240"/>
      <c r="M13" s="240"/>
      <c r="N13" s="240"/>
      <c r="O13" s="240"/>
      <c r="P13" s="240"/>
      <c r="R13" s="4"/>
    </row>
    <row r="14" spans="1:18" ht="62.4">
      <c r="A14" s="935"/>
      <c r="B14" s="240"/>
      <c r="C14" s="560"/>
      <c r="D14" s="561" t="s">
        <v>134</v>
      </c>
      <c r="E14" s="561" t="s">
        <v>81</v>
      </c>
      <c r="F14" s="562" t="s">
        <v>135</v>
      </c>
      <c r="G14" s="561" t="s">
        <v>81</v>
      </c>
      <c r="H14" s="561" t="s">
        <v>136</v>
      </c>
      <c r="I14" s="561" t="s">
        <v>137</v>
      </c>
      <c r="J14" s="563" t="s">
        <v>271</v>
      </c>
      <c r="K14" s="240"/>
      <c r="L14" s="240"/>
      <c r="M14" s="240"/>
      <c r="N14" s="240"/>
      <c r="O14" s="240"/>
      <c r="P14" s="240"/>
      <c r="R14" s="4"/>
    </row>
    <row r="15" spans="1:18" ht="15.6">
      <c r="A15" s="935"/>
      <c r="B15" s="240"/>
      <c r="C15" s="292" t="s">
        <v>272</v>
      </c>
      <c r="D15" s="297">
        <v>63</v>
      </c>
      <c r="E15" s="297">
        <v>400</v>
      </c>
      <c r="F15" s="564">
        <v>2</v>
      </c>
      <c r="G15" s="297">
        <f>E15*F15</f>
        <v>800</v>
      </c>
      <c r="H15" s="565">
        <f>D15*F15</f>
        <v>126</v>
      </c>
      <c r="I15" s="565">
        <f>H15*(D10/100)</f>
        <v>88.199999999999989</v>
      </c>
      <c r="J15" s="566">
        <f>I15/H6</f>
        <v>14.699999999999998</v>
      </c>
      <c r="K15" s="240"/>
      <c r="L15" s="240"/>
      <c r="M15" s="240"/>
      <c r="N15" s="240"/>
      <c r="O15" s="240"/>
      <c r="P15" s="240"/>
      <c r="R15" s="4"/>
    </row>
    <row r="16" spans="1:18" ht="15.6">
      <c r="A16" s="935"/>
      <c r="B16" s="240"/>
      <c r="C16" s="295" t="s">
        <v>140</v>
      </c>
      <c r="D16" s="567"/>
      <c r="E16" s="247">
        <v>343</v>
      </c>
      <c r="F16" s="568">
        <v>1</v>
      </c>
      <c r="G16" s="247">
        <f>E16*F16</f>
        <v>343</v>
      </c>
      <c r="H16" s="567"/>
      <c r="I16" s="567"/>
      <c r="J16" s="330"/>
      <c r="K16" s="240"/>
      <c r="L16" s="240"/>
      <c r="M16" s="240"/>
      <c r="N16" s="240"/>
      <c r="O16" s="240"/>
      <c r="P16" s="240"/>
      <c r="R16" s="4"/>
    </row>
    <row r="17" spans="1:18" ht="15.6">
      <c r="A17" s="935"/>
      <c r="B17" s="240"/>
      <c r="C17" s="332" t="s">
        <v>141</v>
      </c>
      <c r="D17" s="569"/>
      <c r="E17" s="569"/>
      <c r="F17" s="569"/>
      <c r="G17" s="570">
        <f>G15+G16</f>
        <v>1143</v>
      </c>
      <c r="H17" s="569"/>
      <c r="I17" s="571"/>
      <c r="J17" s="572"/>
      <c r="K17" s="240"/>
      <c r="L17" s="573"/>
      <c r="M17" s="101"/>
      <c r="N17" s="240"/>
      <c r="O17" s="240"/>
      <c r="P17" s="240"/>
      <c r="R17" s="4"/>
    </row>
    <row r="18" spans="1:18" ht="15.6">
      <c r="A18" s="936"/>
      <c r="B18" s="574"/>
      <c r="C18" s="575"/>
      <c r="D18" s="575"/>
      <c r="E18" s="575"/>
      <c r="F18" s="575"/>
      <c r="G18" s="575"/>
      <c r="H18" s="575"/>
      <c r="I18" s="574"/>
      <c r="J18" s="574"/>
      <c r="K18" s="574"/>
      <c r="L18" s="576"/>
      <c r="M18" s="102"/>
      <c r="N18" s="574"/>
      <c r="O18" s="574"/>
      <c r="P18" s="574"/>
      <c r="Q18" s="6"/>
      <c r="R18" s="5"/>
    </row>
    <row r="19" spans="1:18" ht="15.6">
      <c r="A19" s="935" t="s">
        <v>273</v>
      </c>
      <c r="B19" s="240"/>
      <c r="C19" s="240"/>
      <c r="D19" s="240"/>
      <c r="E19" s="240"/>
      <c r="F19" s="240"/>
      <c r="G19" s="240"/>
      <c r="H19" s="240"/>
      <c r="I19" s="240"/>
      <c r="J19" s="240"/>
      <c r="K19" s="573"/>
      <c r="L19" s="100"/>
      <c r="M19" s="240"/>
      <c r="N19" s="240"/>
      <c r="O19" s="240"/>
      <c r="P19" s="240"/>
      <c r="R19" s="4"/>
    </row>
    <row r="20" spans="1:18" ht="15.6">
      <c r="A20" s="935"/>
      <c r="B20" s="240"/>
      <c r="C20" s="939" t="s">
        <v>143</v>
      </c>
      <c r="D20" s="940"/>
      <c r="E20" s="240"/>
      <c r="F20" s="922" t="s">
        <v>155</v>
      </c>
      <c r="G20" s="923"/>
      <c r="H20" s="923"/>
      <c r="I20" s="924"/>
      <c r="J20" s="240"/>
      <c r="K20" s="945" t="s">
        <v>145</v>
      </c>
      <c r="L20" s="946"/>
      <c r="M20" s="946"/>
      <c r="N20" s="947"/>
      <c r="O20" s="240"/>
      <c r="P20" s="240"/>
      <c r="R20" s="4"/>
    </row>
    <row r="21" spans="1:18" ht="31.2">
      <c r="A21" s="935"/>
      <c r="B21" s="240"/>
      <c r="C21" s="577" t="s">
        <v>146</v>
      </c>
      <c r="D21" s="293">
        <v>791</v>
      </c>
      <c r="E21" s="240"/>
      <c r="F21" s="578"/>
      <c r="G21" s="283" t="s">
        <v>231</v>
      </c>
      <c r="H21" s="283" t="s">
        <v>498</v>
      </c>
      <c r="I21" s="579" t="s">
        <v>499</v>
      </c>
      <c r="J21" s="240"/>
      <c r="K21" s="551"/>
      <c r="L21" s="283" t="s">
        <v>81</v>
      </c>
      <c r="M21" s="283" t="s">
        <v>147</v>
      </c>
      <c r="N21" s="579" t="s">
        <v>148</v>
      </c>
      <c r="O21" s="240"/>
      <c r="P21" s="240"/>
      <c r="R21" s="4"/>
    </row>
    <row r="22" spans="1:18" ht="31.2">
      <c r="A22" s="935"/>
      <c r="B22" s="240"/>
      <c r="C22" s="577" t="s">
        <v>149</v>
      </c>
      <c r="D22" s="566">
        <f>D21/1000</f>
        <v>0.79100000000000004</v>
      </c>
      <c r="E22" s="240"/>
      <c r="F22" s="580" t="s">
        <v>496</v>
      </c>
      <c r="G22" s="273">
        <v>1.07</v>
      </c>
      <c r="H22" s="103">
        <f>G22/(32/100)</f>
        <v>3.34375</v>
      </c>
      <c r="I22" s="581">
        <f>H22*0.75</f>
        <v>2.5078125</v>
      </c>
      <c r="J22" s="240"/>
      <c r="K22" s="582" t="s">
        <v>151</v>
      </c>
      <c r="L22" s="273">
        <v>58</v>
      </c>
      <c r="M22" s="273">
        <v>78.203999999999994</v>
      </c>
      <c r="N22" s="275">
        <v>60</v>
      </c>
      <c r="O22" s="240"/>
      <c r="P22" s="240"/>
      <c r="R22" s="4"/>
    </row>
    <row r="23" spans="1:18" ht="31.2">
      <c r="A23" s="935"/>
      <c r="B23" s="240"/>
      <c r="C23" s="239" t="s">
        <v>152</v>
      </c>
      <c r="D23" s="583">
        <f>D21*D27</f>
        <v>4397.96</v>
      </c>
      <c r="E23" s="240"/>
      <c r="F23" s="584" t="s">
        <v>500</v>
      </c>
      <c r="G23" s="251">
        <v>0.37</v>
      </c>
      <c r="H23" s="104">
        <f>G23/(32/100)</f>
        <v>1.15625</v>
      </c>
      <c r="I23" s="558">
        <f>H23*0.75</f>
        <v>0.8671875</v>
      </c>
      <c r="J23" s="240"/>
      <c r="K23" s="585" t="s">
        <v>153</v>
      </c>
      <c r="L23" s="277">
        <v>50</v>
      </c>
      <c r="M23" s="277">
        <v>71.28</v>
      </c>
      <c r="N23" s="279">
        <v>60</v>
      </c>
      <c r="O23" s="240"/>
      <c r="P23" s="240"/>
      <c r="R23" s="4"/>
    </row>
    <row r="24" spans="1:18" ht="31.2">
      <c r="A24" s="935"/>
      <c r="B24" s="240"/>
      <c r="C24" s="239" t="s">
        <v>154</v>
      </c>
      <c r="D24" s="583">
        <f>D23/1000</f>
        <v>4.3979600000000003</v>
      </c>
      <c r="E24" s="240"/>
      <c r="F24" s="240"/>
      <c r="G24" s="240"/>
      <c r="H24" s="240"/>
      <c r="I24" s="240"/>
      <c r="J24" s="240"/>
      <c r="K24" s="98" t="s">
        <v>156</v>
      </c>
      <c r="L24" s="251">
        <v>100</v>
      </c>
      <c r="M24" s="251">
        <v>165.3</v>
      </c>
      <c r="N24" s="572"/>
      <c r="O24" s="240"/>
      <c r="P24" s="240"/>
      <c r="R24" s="4"/>
    </row>
    <row r="25" spans="1:18" ht="31.2">
      <c r="A25" s="935"/>
      <c r="B25" s="240"/>
      <c r="C25" s="586" t="s">
        <v>257</v>
      </c>
      <c r="D25" s="279">
        <v>15</v>
      </c>
      <c r="E25" s="240"/>
      <c r="F25" s="240"/>
      <c r="G25" s="240"/>
      <c r="H25" s="240"/>
      <c r="I25" s="240"/>
      <c r="J25" s="105"/>
      <c r="K25" s="240"/>
      <c r="L25" s="240"/>
      <c r="M25" s="240"/>
      <c r="N25" s="240"/>
      <c r="O25" s="240"/>
      <c r="P25" s="240"/>
      <c r="R25" s="4"/>
    </row>
    <row r="26" spans="1:18" ht="31.2">
      <c r="A26" s="935"/>
      <c r="B26" s="240"/>
      <c r="C26" s="586" t="s">
        <v>258</v>
      </c>
      <c r="D26" s="587">
        <f>D25/D24</f>
        <v>3.4106722207568962</v>
      </c>
      <c r="E26" s="240"/>
      <c r="F26" s="240"/>
      <c r="G26" s="240"/>
      <c r="H26" s="240"/>
      <c r="I26" s="240"/>
      <c r="J26" s="105"/>
      <c r="K26" s="240"/>
      <c r="L26" s="240"/>
      <c r="M26" s="240"/>
      <c r="N26" s="240"/>
      <c r="O26" s="240"/>
      <c r="P26" s="240"/>
      <c r="R26" s="4"/>
    </row>
    <row r="27" spans="1:18" ht="31.2">
      <c r="A27" s="935"/>
      <c r="B27" s="240"/>
      <c r="C27" s="588" t="s">
        <v>159</v>
      </c>
      <c r="D27" s="589">
        <v>5.56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R27" s="4"/>
    </row>
    <row r="28" spans="1:18" ht="31.2">
      <c r="A28" s="935"/>
      <c r="B28" s="222" t="s">
        <v>129</v>
      </c>
      <c r="C28" s="573"/>
      <c r="D28" s="59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R28" s="4"/>
    </row>
    <row r="29" spans="1:18" ht="31.2">
      <c r="A29" s="935"/>
      <c r="B29" s="222" t="s">
        <v>129</v>
      </c>
      <c r="C29" s="925" t="s">
        <v>256</v>
      </c>
      <c r="D29" s="926"/>
      <c r="E29" s="926"/>
      <c r="F29" s="926"/>
      <c r="G29" s="926"/>
      <c r="H29" s="926"/>
      <c r="I29" s="926"/>
      <c r="J29" s="926"/>
      <c r="K29" s="926"/>
      <c r="L29" s="926"/>
      <c r="M29" s="926"/>
      <c r="N29" s="926"/>
      <c r="O29" s="926"/>
      <c r="P29" s="927"/>
      <c r="R29" s="4"/>
    </row>
    <row r="30" spans="1:18" ht="78">
      <c r="A30" s="935"/>
      <c r="B30" s="240"/>
      <c r="C30" s="591"/>
      <c r="D30" s="592" t="s">
        <v>16</v>
      </c>
      <c r="E30" s="235" t="s">
        <v>162</v>
      </c>
      <c r="F30" s="234" t="s">
        <v>163</v>
      </c>
      <c r="G30" s="234" t="s">
        <v>526</v>
      </c>
      <c r="H30" s="234" t="s">
        <v>527</v>
      </c>
      <c r="I30" s="593" t="s">
        <v>274</v>
      </c>
      <c r="J30" s="234" t="s">
        <v>259</v>
      </c>
      <c r="K30" s="234" t="s">
        <v>260</v>
      </c>
      <c r="L30" s="234" t="s">
        <v>261</v>
      </c>
      <c r="M30" s="234" t="s">
        <v>262</v>
      </c>
      <c r="N30" s="235" t="s">
        <v>180</v>
      </c>
      <c r="O30" s="235" t="s">
        <v>263</v>
      </c>
      <c r="P30" s="236" t="s">
        <v>264</v>
      </c>
      <c r="Q30" s="13"/>
      <c r="R30" s="4"/>
    </row>
    <row r="31" spans="1:18" ht="31.2">
      <c r="A31" s="935"/>
      <c r="B31" s="222" t="s">
        <v>129</v>
      </c>
      <c r="C31" s="783" t="s">
        <v>22</v>
      </c>
      <c r="D31" s="594">
        <v>1</v>
      </c>
      <c r="E31" s="286">
        <v>20</v>
      </c>
      <c r="F31" s="273">
        <v>4</v>
      </c>
      <c r="G31" s="273">
        <v>5</v>
      </c>
      <c r="H31" s="595">
        <v>40</v>
      </c>
      <c r="I31" s="596">
        <v>25</v>
      </c>
      <c r="J31" s="597">
        <f>E31-J15</f>
        <v>5.3000000000000025</v>
      </c>
      <c r="K31" s="928"/>
      <c r="L31" s="929"/>
      <c r="M31" s="929"/>
      <c r="N31" s="929"/>
      <c r="O31" s="929"/>
      <c r="P31" s="930"/>
      <c r="Q31" s="14"/>
      <c r="R31" s="4"/>
    </row>
    <row r="32" spans="1:18" ht="31.2">
      <c r="A32" s="935"/>
      <c r="B32" s="222" t="s">
        <v>129</v>
      </c>
      <c r="C32" s="785"/>
      <c r="D32" s="598">
        <v>2</v>
      </c>
      <c r="E32" s="599">
        <v>45</v>
      </c>
      <c r="F32" s="277">
        <v>4</v>
      </c>
      <c r="G32" s="278">
        <v>5</v>
      </c>
      <c r="H32" s="277">
        <v>40</v>
      </c>
      <c r="I32" s="600">
        <v>25</v>
      </c>
      <c r="J32" s="601">
        <f>E32-J15</f>
        <v>30.300000000000004</v>
      </c>
      <c r="K32" s="601">
        <f>J32*H6</f>
        <v>181.8</v>
      </c>
      <c r="L32" s="601">
        <f>K32/(D39/100)</f>
        <v>404</v>
      </c>
      <c r="M32" s="601">
        <f>L32/D24</f>
        <v>91.860771812385735</v>
      </c>
      <c r="N32" s="602">
        <f>M32*D22</f>
        <v>72.661870503597115</v>
      </c>
      <c r="O32" s="602">
        <f>M32/N23</f>
        <v>1.5310128635397622</v>
      </c>
      <c r="P32" s="603">
        <f>N32+2*L23</f>
        <v>172.66187050359713</v>
      </c>
      <c r="Q32" s="14"/>
      <c r="R32" s="4"/>
    </row>
    <row r="33" spans="1:18" ht="31.2">
      <c r="A33" s="935"/>
      <c r="B33" s="222" t="s">
        <v>129</v>
      </c>
      <c r="C33" s="943" t="s">
        <v>23</v>
      </c>
      <c r="D33" s="594">
        <v>3</v>
      </c>
      <c r="E33" s="286">
        <v>15</v>
      </c>
      <c r="F33" s="273">
        <v>2</v>
      </c>
      <c r="G33" s="273">
        <v>6</v>
      </c>
      <c r="H33" s="595">
        <v>52</v>
      </c>
      <c r="I33" s="596">
        <v>25</v>
      </c>
      <c r="J33" s="597">
        <f>E33-J15</f>
        <v>0.30000000000000249</v>
      </c>
      <c r="K33" s="928"/>
      <c r="L33" s="929"/>
      <c r="M33" s="929"/>
      <c r="N33" s="929"/>
      <c r="O33" s="929"/>
      <c r="P33" s="930"/>
      <c r="Q33" s="14"/>
      <c r="R33" s="4"/>
    </row>
    <row r="34" spans="1:18" ht="31.2">
      <c r="A34" s="935"/>
      <c r="B34" s="222" t="s">
        <v>129</v>
      </c>
      <c r="C34" s="944"/>
      <c r="D34" s="604">
        <v>4</v>
      </c>
      <c r="E34" s="605">
        <v>50</v>
      </c>
      <c r="F34" s="251">
        <v>2</v>
      </c>
      <c r="G34" s="281">
        <v>6</v>
      </c>
      <c r="H34" s="251">
        <v>52</v>
      </c>
      <c r="I34" s="606">
        <v>25</v>
      </c>
      <c r="J34" s="607">
        <f>E34-J15</f>
        <v>35.300000000000004</v>
      </c>
      <c r="K34" s="607">
        <f>J34*H6</f>
        <v>211.8</v>
      </c>
      <c r="L34" s="607">
        <f>K34/(D39/100)</f>
        <v>470.66666666666669</v>
      </c>
      <c r="M34" s="607">
        <f>L34/D24</f>
        <v>107.01931501574973</v>
      </c>
      <c r="N34" s="608">
        <f>M34*D22</f>
        <v>84.652278177458044</v>
      </c>
      <c r="O34" s="608">
        <f>M34/N23</f>
        <v>1.7836552502624954</v>
      </c>
      <c r="P34" s="609">
        <f>N34+2*L23</f>
        <v>184.65227817745804</v>
      </c>
      <c r="Q34" s="14"/>
      <c r="R34" s="4"/>
    </row>
    <row r="35" spans="1:18" ht="31.2">
      <c r="A35" s="935"/>
      <c r="B35" s="222" t="s">
        <v>129</v>
      </c>
      <c r="C35" s="61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R35" s="4"/>
    </row>
    <row r="36" spans="1:18" ht="31.2">
      <c r="A36" s="916" t="s">
        <v>265</v>
      </c>
      <c r="B36" s="611" t="s">
        <v>129</v>
      </c>
      <c r="C36" s="612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3"/>
      <c r="R36" s="7"/>
    </row>
    <row r="37" spans="1:18" ht="31.2">
      <c r="A37" s="932"/>
      <c r="B37" s="222" t="s">
        <v>129</v>
      </c>
      <c r="C37" s="240"/>
      <c r="D37" s="613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R37" s="4"/>
    </row>
    <row r="38" spans="1:18" ht="31.2">
      <c r="A38" s="932"/>
      <c r="B38" s="222" t="s">
        <v>129</v>
      </c>
      <c r="C38" s="934" t="s">
        <v>170</v>
      </c>
      <c r="D38" s="934"/>
      <c r="E38" s="240"/>
      <c r="F38" s="922" t="s">
        <v>171</v>
      </c>
      <c r="G38" s="923"/>
      <c r="H38" s="923"/>
      <c r="I38" s="923"/>
      <c r="J38" s="924"/>
      <c r="K38" s="240"/>
      <c r="L38" s="240"/>
      <c r="M38" s="240"/>
      <c r="N38" s="240"/>
      <c r="O38" s="240"/>
      <c r="P38" s="240"/>
      <c r="R38" s="4"/>
    </row>
    <row r="39" spans="1:18" ht="42.6" thickTop="1" thickBot="1">
      <c r="A39" s="932"/>
      <c r="B39" s="240"/>
      <c r="C39" s="614" t="s">
        <v>266</v>
      </c>
      <c r="D39" s="275">
        <v>45</v>
      </c>
      <c r="E39" s="240"/>
      <c r="F39" s="615" t="s">
        <v>16</v>
      </c>
      <c r="G39" s="58" t="s">
        <v>233</v>
      </c>
      <c r="H39" s="58" t="s">
        <v>234</v>
      </c>
      <c r="I39" s="58" t="s">
        <v>235</v>
      </c>
      <c r="J39" s="59" t="s">
        <v>236</v>
      </c>
      <c r="K39" s="240"/>
      <c r="L39" s="240"/>
      <c r="M39" s="240"/>
      <c r="N39" s="240"/>
      <c r="O39" s="240"/>
      <c r="P39" s="240"/>
      <c r="R39" s="4"/>
    </row>
    <row r="40" spans="1:18" ht="31.8" thickTop="1">
      <c r="A40" s="932"/>
      <c r="B40" s="240"/>
      <c r="C40" s="556" t="s">
        <v>480</v>
      </c>
      <c r="D40" s="248">
        <v>160</v>
      </c>
      <c r="E40" s="240"/>
      <c r="F40" s="616">
        <v>2</v>
      </c>
      <c r="G40" s="565">
        <f>E32/I32</f>
        <v>1.8</v>
      </c>
      <c r="H40" s="565">
        <f>G40*F32</f>
        <v>7.2</v>
      </c>
      <c r="I40" s="565">
        <f>H40*G32</f>
        <v>36</v>
      </c>
      <c r="J40" s="566">
        <f>I40*H32</f>
        <v>1440</v>
      </c>
      <c r="K40" s="240"/>
      <c r="L40" s="240"/>
      <c r="M40" s="240"/>
      <c r="N40" s="240"/>
      <c r="O40" s="240"/>
      <c r="P40" s="240"/>
      <c r="R40" s="4"/>
    </row>
    <row r="41" spans="1:18" ht="31.8" thickBot="1">
      <c r="A41" s="932"/>
      <c r="B41" s="240"/>
      <c r="C41" s="556" t="s">
        <v>173</v>
      </c>
      <c r="D41" s="248">
        <v>25</v>
      </c>
      <c r="E41" s="240"/>
      <c r="F41" s="584">
        <v>4</v>
      </c>
      <c r="G41" s="617">
        <f>E34/I34</f>
        <v>2</v>
      </c>
      <c r="H41" s="617">
        <f>G41*F34</f>
        <v>4</v>
      </c>
      <c r="I41" s="617">
        <f>H41*G34</f>
        <v>24</v>
      </c>
      <c r="J41" s="558">
        <f>I41*H34</f>
        <v>1248</v>
      </c>
      <c r="K41" s="240"/>
      <c r="L41" s="240"/>
      <c r="M41" s="240"/>
      <c r="N41" s="240"/>
      <c r="O41" s="240"/>
      <c r="P41" s="240"/>
      <c r="R41" s="4"/>
    </row>
    <row r="42" spans="1:18" ht="31.8" thickTop="1">
      <c r="A42" s="932"/>
      <c r="B42" s="240"/>
      <c r="C42" s="556" t="s">
        <v>481</v>
      </c>
      <c r="D42" s="248">
        <v>100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R42" s="4"/>
    </row>
    <row r="43" spans="1:18" ht="31.2">
      <c r="A43" s="932"/>
      <c r="B43" s="240"/>
      <c r="C43" s="556" t="s">
        <v>482</v>
      </c>
      <c r="D43" s="248">
        <v>20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R43" s="4"/>
    </row>
    <row r="44" spans="1:18" ht="31.2">
      <c r="A44" s="932"/>
      <c r="B44" s="240"/>
      <c r="C44" s="556" t="s">
        <v>174</v>
      </c>
      <c r="D44" s="248">
        <v>8</v>
      </c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R44" s="4"/>
    </row>
    <row r="45" spans="1:18" ht="31.2">
      <c r="A45" s="932"/>
      <c r="B45" s="240"/>
      <c r="C45" s="556" t="s">
        <v>528</v>
      </c>
      <c r="D45" s="583">
        <f>D42*D44</f>
        <v>800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R45" s="4"/>
    </row>
    <row r="46" spans="1:18" ht="31.2">
      <c r="A46" s="932"/>
      <c r="B46" s="240"/>
      <c r="C46" s="556" t="s">
        <v>507</v>
      </c>
      <c r="D46" s="106">
        <v>18250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R46" s="4"/>
    </row>
    <row r="47" spans="1:18" ht="31.2">
      <c r="A47" s="932"/>
      <c r="B47" s="240"/>
      <c r="C47" s="557" t="s">
        <v>508</v>
      </c>
      <c r="D47" s="618">
        <f>D46*D40</f>
        <v>2920000</v>
      </c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R47" s="4"/>
    </row>
    <row r="48" spans="1:18" ht="31.2">
      <c r="A48" s="932"/>
      <c r="B48" s="222" t="s">
        <v>129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R48" s="4"/>
    </row>
    <row r="49" spans="1:18" ht="31.2">
      <c r="A49" s="931" t="s">
        <v>175</v>
      </c>
      <c r="B49" s="550"/>
      <c r="C49" s="550"/>
      <c r="D49" s="550"/>
      <c r="E49" s="611" t="s">
        <v>129</v>
      </c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3"/>
      <c r="R49" s="7"/>
    </row>
    <row r="50" spans="1:18" ht="30.75" customHeight="1">
      <c r="A50" s="932"/>
      <c r="B50" s="240"/>
      <c r="C50" s="913" t="s">
        <v>175</v>
      </c>
      <c r="D50" s="914"/>
      <c r="E50" s="914"/>
      <c r="F50" s="914"/>
      <c r="G50" s="914"/>
      <c r="H50" s="914"/>
      <c r="I50" s="915"/>
      <c r="J50" s="240"/>
      <c r="K50" s="240"/>
      <c r="L50" s="240"/>
      <c r="M50" s="240"/>
      <c r="N50" s="240"/>
      <c r="O50" s="240"/>
      <c r="P50" s="240"/>
      <c r="R50" s="4"/>
    </row>
    <row r="51" spans="1:18" ht="48" thickTop="1" thickBot="1">
      <c r="A51" s="932"/>
      <c r="B51" s="240"/>
      <c r="C51" s="619" t="s">
        <v>16</v>
      </c>
      <c r="D51" s="561" t="s">
        <v>176</v>
      </c>
      <c r="E51" s="561" t="s">
        <v>177</v>
      </c>
      <c r="F51" s="561" t="s">
        <v>275</v>
      </c>
      <c r="G51" s="561" t="s">
        <v>276</v>
      </c>
      <c r="H51" s="561" t="s">
        <v>180</v>
      </c>
      <c r="I51" s="563" t="s">
        <v>181</v>
      </c>
      <c r="J51" s="240"/>
      <c r="K51" s="240"/>
      <c r="L51" s="240"/>
      <c r="M51" s="240"/>
      <c r="N51" s="240"/>
      <c r="O51" s="240"/>
      <c r="P51" s="240"/>
      <c r="R51" s="4"/>
    </row>
    <row r="52" spans="1:18" ht="31.8" thickTop="1">
      <c r="A52" s="932"/>
      <c r="B52" s="222" t="s">
        <v>129</v>
      </c>
      <c r="C52" s="616">
        <v>1</v>
      </c>
      <c r="D52" s="620">
        <f>G15</f>
        <v>800</v>
      </c>
      <c r="E52" s="621">
        <f>G16</f>
        <v>343</v>
      </c>
      <c r="F52" s="620">
        <f>D45</f>
        <v>800</v>
      </c>
      <c r="G52" s="622">
        <f>2*L23</f>
        <v>100</v>
      </c>
      <c r="H52" s="620">
        <f>N31</f>
        <v>0</v>
      </c>
      <c r="I52" s="623">
        <f>D52+E52+F52+G52+H52</f>
        <v>2043</v>
      </c>
      <c r="J52" s="240"/>
      <c r="K52" s="240"/>
      <c r="L52" s="240"/>
      <c r="M52" s="240"/>
      <c r="N52" s="240"/>
      <c r="O52" s="240"/>
      <c r="P52" s="240"/>
      <c r="R52" s="4"/>
    </row>
    <row r="53" spans="1:18" ht="31.2">
      <c r="A53" s="932"/>
      <c r="B53" s="222" t="s">
        <v>129</v>
      </c>
      <c r="C53" s="624">
        <v>2</v>
      </c>
      <c r="D53" s="625">
        <f>G15</f>
        <v>800</v>
      </c>
      <c r="E53" s="625">
        <f>G16</f>
        <v>343</v>
      </c>
      <c r="F53" s="620">
        <f>D45</f>
        <v>800</v>
      </c>
      <c r="G53" s="625">
        <f>2*L23</f>
        <v>100</v>
      </c>
      <c r="H53" s="625">
        <f>N32</f>
        <v>72.661870503597115</v>
      </c>
      <c r="I53" s="626">
        <f>D53+E53+F53+G53+H53</f>
        <v>2115.6618705035971</v>
      </c>
      <c r="J53" s="240"/>
      <c r="K53" s="240"/>
      <c r="L53" s="240"/>
      <c r="M53" s="240"/>
      <c r="N53" s="240"/>
      <c r="O53" s="240"/>
      <c r="P53" s="240"/>
      <c r="R53" s="4"/>
    </row>
    <row r="54" spans="1:18" ht="31.2">
      <c r="A54" s="932"/>
      <c r="B54" s="222" t="s">
        <v>129</v>
      </c>
      <c r="C54" s="624">
        <v>3</v>
      </c>
      <c r="D54" s="625">
        <f>G15</f>
        <v>800</v>
      </c>
      <c r="E54" s="625">
        <f>G16</f>
        <v>343</v>
      </c>
      <c r="F54" s="625">
        <f>D45</f>
        <v>800</v>
      </c>
      <c r="G54" s="625">
        <f>1*L23</f>
        <v>50</v>
      </c>
      <c r="H54" s="625">
        <f>N33</f>
        <v>0</v>
      </c>
      <c r="I54" s="626">
        <f>D54+E54+F54+G54+H54</f>
        <v>1993</v>
      </c>
      <c r="J54" s="240"/>
      <c r="K54" s="240"/>
      <c r="L54" s="240"/>
      <c r="M54" s="240"/>
      <c r="N54" s="240"/>
      <c r="O54" s="240"/>
      <c r="P54" s="240"/>
      <c r="R54" s="4"/>
    </row>
    <row r="55" spans="1:18" ht="31.8" thickBot="1">
      <c r="A55" s="932"/>
      <c r="B55" s="222" t="s">
        <v>129</v>
      </c>
      <c r="C55" s="584">
        <v>4</v>
      </c>
      <c r="D55" s="607">
        <f>G15</f>
        <v>800</v>
      </c>
      <c r="E55" s="607">
        <f>G16</f>
        <v>343</v>
      </c>
      <c r="F55" s="607">
        <f>D45</f>
        <v>800</v>
      </c>
      <c r="G55" s="607">
        <f>2*L23</f>
        <v>100</v>
      </c>
      <c r="H55" s="607">
        <f>N34</f>
        <v>84.652278177458044</v>
      </c>
      <c r="I55" s="609">
        <f>D55+E55+F55+G55+H55</f>
        <v>2127.6522781774579</v>
      </c>
      <c r="J55" s="240"/>
      <c r="K55" s="613"/>
      <c r="L55" s="240"/>
      <c r="M55" s="240"/>
      <c r="N55" s="240"/>
      <c r="O55" s="240"/>
      <c r="P55" s="240"/>
      <c r="R55" s="4"/>
    </row>
    <row r="56" spans="1:18" ht="31.8" thickTop="1">
      <c r="A56" s="932"/>
      <c r="B56" s="222" t="s">
        <v>129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R56" s="4"/>
    </row>
    <row r="57" spans="1:18" ht="31.2">
      <c r="A57" s="932"/>
      <c r="B57" s="222" t="s">
        <v>129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R57" s="4"/>
    </row>
    <row r="58" spans="1:18" ht="31.2">
      <c r="A58" s="932"/>
      <c r="B58" s="222" t="s">
        <v>129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R58" s="4"/>
    </row>
    <row r="59" spans="1:18" ht="31.2">
      <c r="A59" s="932"/>
      <c r="B59" s="222" t="s">
        <v>129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R59" s="4"/>
    </row>
    <row r="60" spans="1:18" ht="31.2">
      <c r="A60" s="932"/>
      <c r="B60" s="222" t="s">
        <v>129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R60" s="4"/>
    </row>
    <row r="61" spans="1:18" ht="31.2">
      <c r="A61" s="919" t="s">
        <v>182</v>
      </c>
      <c r="B61" s="627" t="s">
        <v>129</v>
      </c>
      <c r="C61" s="628"/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217"/>
      <c r="R61" s="218"/>
    </row>
    <row r="62" spans="1:18" ht="31.2">
      <c r="A62" s="920"/>
      <c r="B62" s="222" t="s">
        <v>129</v>
      </c>
      <c r="C62" s="916" t="s">
        <v>522</v>
      </c>
      <c r="D62" s="629"/>
      <c r="E62" s="232" t="s">
        <v>239</v>
      </c>
      <c r="F62" s="232" t="s">
        <v>240</v>
      </c>
      <c r="G62" s="233" t="s">
        <v>241</v>
      </c>
      <c r="H62" s="240"/>
      <c r="I62" s="916" t="s">
        <v>523</v>
      </c>
      <c r="J62" s="629"/>
      <c r="K62" s="232" t="s">
        <v>239</v>
      </c>
      <c r="L62" s="232" t="s">
        <v>240</v>
      </c>
      <c r="M62" s="233" t="s">
        <v>241</v>
      </c>
      <c r="N62" s="240"/>
      <c r="O62" s="240"/>
      <c r="P62" s="240"/>
      <c r="R62" s="219"/>
    </row>
    <row r="63" spans="1:18" ht="46.8">
      <c r="A63" s="920"/>
      <c r="B63" s="240"/>
      <c r="C63" s="917"/>
      <c r="D63" s="630" t="s">
        <v>488</v>
      </c>
      <c r="E63" s="620">
        <f>L32*F32</f>
        <v>1616</v>
      </c>
      <c r="F63" s="565">
        <f>E63*G32</f>
        <v>8080</v>
      </c>
      <c r="G63" s="566">
        <f>F63*H32</f>
        <v>323200</v>
      </c>
      <c r="H63" s="240"/>
      <c r="I63" s="917"/>
      <c r="J63" s="630" t="s">
        <v>488</v>
      </c>
      <c r="K63" s="620">
        <f>L34*F34</f>
        <v>941.33333333333337</v>
      </c>
      <c r="L63" s="620">
        <f>K63*G34</f>
        <v>5648</v>
      </c>
      <c r="M63" s="623">
        <f>L63*H34</f>
        <v>293696</v>
      </c>
      <c r="N63" s="240"/>
      <c r="O63" s="240"/>
      <c r="P63" s="240"/>
      <c r="R63" s="219"/>
    </row>
    <row r="64" spans="1:18" ht="31.2">
      <c r="A64" s="920"/>
      <c r="B64" s="240"/>
      <c r="C64" s="917"/>
      <c r="D64" s="631" t="s">
        <v>511</v>
      </c>
      <c r="E64" s="632">
        <f>I15*F32</f>
        <v>352.79999999999995</v>
      </c>
      <c r="F64" s="632">
        <f>E64*G32</f>
        <v>1763.9999999999998</v>
      </c>
      <c r="G64" s="583">
        <f>F64*H32</f>
        <v>70559.999999999985</v>
      </c>
      <c r="H64" s="240"/>
      <c r="I64" s="917"/>
      <c r="J64" s="631" t="s">
        <v>511</v>
      </c>
      <c r="K64" s="625">
        <f>I15*F34</f>
        <v>176.39999999999998</v>
      </c>
      <c r="L64" s="625">
        <f>K64*G34</f>
        <v>1058.3999999999999</v>
      </c>
      <c r="M64" s="626">
        <f>L64*H34</f>
        <v>55036.799999999996</v>
      </c>
      <c r="N64" s="240"/>
      <c r="O64" s="240"/>
      <c r="P64" s="240"/>
      <c r="R64" s="219"/>
    </row>
    <row r="65" spans="1:18" ht="45.75" customHeight="1">
      <c r="A65" s="920"/>
      <c r="B65" s="240"/>
      <c r="C65" s="917"/>
      <c r="D65" s="631" t="s">
        <v>185</v>
      </c>
      <c r="E65" s="633">
        <f>D26*E63</f>
        <v>5511.6463087431439</v>
      </c>
      <c r="F65" s="633">
        <f>E65*G32</f>
        <v>27558.231543715719</v>
      </c>
      <c r="G65" s="634">
        <f>F65*H32</f>
        <v>1102329.2617486287</v>
      </c>
      <c r="H65" s="240"/>
      <c r="I65" s="917"/>
      <c r="J65" s="631" t="s">
        <v>185</v>
      </c>
      <c r="K65" s="633">
        <f>K63*D26</f>
        <v>3210.5794504724918</v>
      </c>
      <c r="L65" s="633">
        <f>L63*D26</f>
        <v>19263.476702834949</v>
      </c>
      <c r="M65" s="634">
        <f>L65*H34</f>
        <v>1001700.7885474174</v>
      </c>
      <c r="N65" s="240"/>
      <c r="O65" s="240"/>
      <c r="P65" s="240"/>
      <c r="R65" s="219"/>
    </row>
    <row r="66" spans="1:18" ht="45.75" customHeight="1">
      <c r="A66" s="920"/>
      <c r="B66" s="240"/>
      <c r="C66" s="917"/>
      <c r="D66" s="631" t="s">
        <v>186</v>
      </c>
      <c r="E66" s="633">
        <f>E64*I22</f>
        <v>884.75624999999991</v>
      </c>
      <c r="F66" s="633">
        <f>E66*G32</f>
        <v>4423.78125</v>
      </c>
      <c r="G66" s="634">
        <f>F66*H32</f>
        <v>176951.25</v>
      </c>
      <c r="H66" s="240"/>
      <c r="I66" s="917"/>
      <c r="J66" s="631" t="s">
        <v>186</v>
      </c>
      <c r="K66" s="633">
        <f>K64*I22</f>
        <v>442.37812499999995</v>
      </c>
      <c r="L66" s="633">
        <f>K66*G34</f>
        <v>2654.2687499999997</v>
      </c>
      <c r="M66" s="634">
        <f>L66*H34</f>
        <v>138021.97499999998</v>
      </c>
      <c r="N66" s="240"/>
      <c r="O66" s="240"/>
      <c r="P66" s="240"/>
      <c r="R66" s="219"/>
    </row>
    <row r="67" spans="1:18" ht="31.2">
      <c r="A67" s="920"/>
      <c r="B67" s="240"/>
      <c r="C67" s="918"/>
      <c r="D67" s="635" t="s">
        <v>187</v>
      </c>
      <c r="E67" s="636">
        <f>E66+E65</f>
        <v>6396.4025587431443</v>
      </c>
      <c r="F67" s="636">
        <f>E67*G32</f>
        <v>31982.012793715723</v>
      </c>
      <c r="G67" s="618">
        <f>G65+G66</f>
        <v>1279280.5117486287</v>
      </c>
      <c r="H67" s="240"/>
      <c r="I67" s="918"/>
      <c r="J67" s="635" t="s">
        <v>187</v>
      </c>
      <c r="K67" s="636">
        <f>K66+K65</f>
        <v>3652.957575472492</v>
      </c>
      <c r="L67" s="636">
        <f>L65+L66</f>
        <v>21917.745452834948</v>
      </c>
      <c r="M67" s="618">
        <f>M65+M66</f>
        <v>1139722.7635474172</v>
      </c>
      <c r="N67" s="240"/>
      <c r="O67" s="240"/>
      <c r="P67" s="240"/>
      <c r="R67" s="219"/>
    </row>
    <row r="68" spans="1:18" ht="27" customHeight="1">
      <c r="A68" s="920"/>
      <c r="B68" s="222" t="s">
        <v>129</v>
      </c>
      <c r="C68" s="240"/>
      <c r="D68" s="240"/>
      <c r="E68" s="240"/>
      <c r="F68" s="240"/>
      <c r="G68" s="240"/>
      <c r="H68" s="222" t="s">
        <v>129</v>
      </c>
      <c r="I68" s="240"/>
      <c r="J68" s="240"/>
      <c r="K68" s="240"/>
      <c r="L68" s="240"/>
      <c r="M68" s="240"/>
      <c r="N68" s="222" t="s">
        <v>129</v>
      </c>
      <c r="O68" s="222" t="s">
        <v>129</v>
      </c>
      <c r="P68" s="240"/>
      <c r="R68" s="219"/>
    </row>
    <row r="69" spans="1:18" ht="31.2">
      <c r="A69" s="920"/>
      <c r="B69" s="222" t="s">
        <v>129</v>
      </c>
      <c r="C69" s="916" t="s">
        <v>520</v>
      </c>
      <c r="D69" s="629"/>
      <c r="E69" s="232" t="s">
        <v>239</v>
      </c>
      <c r="F69" s="232" t="s">
        <v>240</v>
      </c>
      <c r="G69" s="233" t="s">
        <v>241</v>
      </c>
      <c r="H69" s="240"/>
      <c r="I69" s="916" t="s">
        <v>524</v>
      </c>
      <c r="J69" s="629"/>
      <c r="K69" s="232" t="s">
        <v>239</v>
      </c>
      <c r="L69" s="232" t="s">
        <v>240</v>
      </c>
      <c r="M69" s="233" t="s">
        <v>241</v>
      </c>
      <c r="N69" s="240"/>
      <c r="O69" s="240"/>
      <c r="P69" s="240"/>
      <c r="R69" s="219"/>
    </row>
    <row r="70" spans="1:18" ht="46.8">
      <c r="A70" s="920"/>
      <c r="B70" s="240"/>
      <c r="C70" s="917"/>
      <c r="D70" s="630" t="s">
        <v>488</v>
      </c>
      <c r="E70" s="620">
        <f>L32*F32</f>
        <v>1616</v>
      </c>
      <c r="F70" s="565">
        <f>E70*G32</f>
        <v>8080</v>
      </c>
      <c r="G70" s="566">
        <f>F70*H32</f>
        <v>323200</v>
      </c>
      <c r="H70" s="240"/>
      <c r="I70" s="917"/>
      <c r="J70" s="630" t="s">
        <v>488</v>
      </c>
      <c r="K70" s="620">
        <f>L34*F34</f>
        <v>941.33333333333337</v>
      </c>
      <c r="L70" s="620">
        <f>K70*G34</f>
        <v>5648</v>
      </c>
      <c r="M70" s="623">
        <f>L70*H34</f>
        <v>293696</v>
      </c>
      <c r="N70" s="240"/>
      <c r="O70" s="240"/>
      <c r="P70" s="240"/>
      <c r="R70" s="219"/>
    </row>
    <row r="71" spans="1:18" ht="31.2">
      <c r="A71" s="920"/>
      <c r="B71" s="240"/>
      <c r="C71" s="917"/>
      <c r="D71" s="631" t="s">
        <v>511</v>
      </c>
      <c r="E71" s="632">
        <f>I15*F32</f>
        <v>352.79999999999995</v>
      </c>
      <c r="F71" s="632">
        <f>E71*G33</f>
        <v>2116.7999999999997</v>
      </c>
      <c r="G71" s="583">
        <f>F71*H32</f>
        <v>84671.999999999985</v>
      </c>
      <c r="H71" s="240"/>
      <c r="I71" s="917"/>
      <c r="J71" s="631" t="s">
        <v>511</v>
      </c>
      <c r="K71" s="625">
        <f>I15*F34</f>
        <v>176.39999999999998</v>
      </c>
      <c r="L71" s="625">
        <f>K71*G34</f>
        <v>1058.3999999999999</v>
      </c>
      <c r="M71" s="626">
        <f>L71*H34</f>
        <v>55036.799999999996</v>
      </c>
      <c r="N71" s="240"/>
      <c r="O71" s="240"/>
      <c r="P71" s="240"/>
      <c r="R71" s="219"/>
    </row>
    <row r="72" spans="1:18" ht="31.2">
      <c r="A72" s="920"/>
      <c r="B72" s="240"/>
      <c r="C72" s="917"/>
      <c r="D72" s="631" t="s">
        <v>185</v>
      </c>
      <c r="E72" s="633">
        <f>E70*D26</f>
        <v>5511.6463087431439</v>
      </c>
      <c r="F72" s="633">
        <f>E72*G32</f>
        <v>27558.231543715719</v>
      </c>
      <c r="G72" s="634">
        <f>F72*H32</f>
        <v>1102329.2617486287</v>
      </c>
      <c r="H72" s="240"/>
      <c r="I72" s="917"/>
      <c r="J72" s="631" t="s">
        <v>185</v>
      </c>
      <c r="K72" s="633">
        <f>K70*D26</f>
        <v>3210.5794504724918</v>
      </c>
      <c r="L72" s="633">
        <f>L70*D26</f>
        <v>19263.476702834949</v>
      </c>
      <c r="M72" s="634">
        <f>L72*H34</f>
        <v>1001700.7885474174</v>
      </c>
      <c r="N72" s="240"/>
      <c r="O72" s="240"/>
      <c r="P72" s="240"/>
      <c r="R72" s="219"/>
    </row>
    <row r="73" spans="1:18" ht="31.2">
      <c r="A73" s="920"/>
      <c r="B73" s="240"/>
      <c r="C73" s="917"/>
      <c r="D73" s="631" t="s">
        <v>246</v>
      </c>
      <c r="E73" s="633">
        <f>E71*I23</f>
        <v>305.94374999999997</v>
      </c>
      <c r="F73" s="633">
        <f>E73*G32</f>
        <v>1529.7187499999998</v>
      </c>
      <c r="G73" s="634">
        <f>F73*H32</f>
        <v>61188.749999999993</v>
      </c>
      <c r="H73" s="240"/>
      <c r="I73" s="917"/>
      <c r="J73" s="631" t="s">
        <v>246</v>
      </c>
      <c r="K73" s="633">
        <f>K71*I23</f>
        <v>152.97187499999998</v>
      </c>
      <c r="L73" s="633">
        <f>K73*G34</f>
        <v>917.83124999999995</v>
      </c>
      <c r="M73" s="634">
        <f>L73*H34</f>
        <v>47727.224999999999</v>
      </c>
      <c r="N73" s="240"/>
      <c r="O73" s="240"/>
      <c r="P73" s="240"/>
      <c r="R73" s="219"/>
    </row>
    <row r="74" spans="1:18" ht="31.2">
      <c r="A74" s="920"/>
      <c r="B74" s="240"/>
      <c r="C74" s="918"/>
      <c r="D74" s="635" t="s">
        <v>187</v>
      </c>
      <c r="E74" s="636">
        <f>E73+E72</f>
        <v>5817.5900587431443</v>
      </c>
      <c r="F74" s="636">
        <f>F72+F73</f>
        <v>29087.950293715719</v>
      </c>
      <c r="G74" s="618">
        <f>G72+G73</f>
        <v>1163518.0117486287</v>
      </c>
      <c r="H74" s="240"/>
      <c r="I74" s="918"/>
      <c r="J74" s="635" t="s">
        <v>187</v>
      </c>
      <c r="K74" s="636">
        <f>K73+K72</f>
        <v>3363.551325472492</v>
      </c>
      <c r="L74" s="636">
        <f>L72+L73</f>
        <v>20181.307952834948</v>
      </c>
      <c r="M74" s="618">
        <f>M72+M73</f>
        <v>1049428.0135474175</v>
      </c>
      <c r="N74" s="240"/>
      <c r="O74" s="240"/>
      <c r="P74" s="240"/>
      <c r="R74" s="219"/>
    </row>
    <row r="75" spans="1:18" ht="32.4" thickTop="1" thickBot="1">
      <c r="A75" s="920"/>
      <c r="B75" s="240"/>
      <c r="C75" s="240"/>
      <c r="D75" s="240"/>
      <c r="E75" s="240"/>
      <c r="F75" s="240"/>
      <c r="G75" s="240"/>
      <c r="H75" s="222" t="s">
        <v>129</v>
      </c>
      <c r="I75" s="240"/>
      <c r="J75" s="240"/>
      <c r="K75" s="240"/>
      <c r="L75" s="240"/>
      <c r="M75" s="240"/>
      <c r="N75" s="240"/>
      <c r="O75" s="240"/>
      <c r="P75" s="240"/>
      <c r="R75" s="219"/>
    </row>
    <row r="76" spans="1:18" ht="32.4" thickTop="1" thickBot="1">
      <c r="A76" s="920"/>
      <c r="B76" s="240"/>
      <c r="C76" s="933" t="s">
        <v>237</v>
      </c>
      <c r="D76" s="923"/>
      <c r="E76" s="924"/>
      <c r="F76" s="240"/>
      <c r="G76" s="240"/>
      <c r="H76" s="222" t="s">
        <v>129</v>
      </c>
      <c r="I76" s="831" t="s">
        <v>516</v>
      </c>
      <c r="J76" s="832"/>
      <c r="K76" s="832"/>
      <c r="L76" s="832"/>
      <c r="M76" s="832"/>
      <c r="N76" s="833"/>
      <c r="O76" s="240"/>
      <c r="P76" s="240"/>
      <c r="R76" s="219"/>
    </row>
    <row r="77" spans="1:18" ht="63.6" thickTop="1" thickBot="1">
      <c r="A77" s="920"/>
      <c r="B77" s="240"/>
      <c r="C77" s="637" t="s">
        <v>16</v>
      </c>
      <c r="D77" s="211" t="s">
        <v>230</v>
      </c>
      <c r="E77" s="212" t="s">
        <v>238</v>
      </c>
      <c r="F77" s="347"/>
      <c r="G77" s="347"/>
      <c r="H77" s="222" t="s">
        <v>129</v>
      </c>
      <c r="I77" s="501" t="s">
        <v>16</v>
      </c>
      <c r="J77" s="211" t="s">
        <v>230</v>
      </c>
      <c r="K77" s="213" t="s">
        <v>518</v>
      </c>
      <c r="L77" s="215" t="s">
        <v>517</v>
      </c>
      <c r="M77" s="215" t="s">
        <v>519</v>
      </c>
      <c r="N77" s="216" t="s">
        <v>521</v>
      </c>
      <c r="R77" s="219"/>
    </row>
    <row r="78" spans="1:18" ht="31.8" thickTop="1">
      <c r="A78" s="920"/>
      <c r="B78" s="240"/>
      <c r="C78" s="638">
        <v>2</v>
      </c>
      <c r="D78" s="594" t="s">
        <v>496</v>
      </c>
      <c r="E78" s="639">
        <f>E67/(E63+E64)</f>
        <v>3.2488838677078142</v>
      </c>
      <c r="F78" s="347"/>
      <c r="G78" s="240"/>
      <c r="H78" s="222" t="s">
        <v>129</v>
      </c>
      <c r="I78" s="502">
        <v>2</v>
      </c>
      <c r="J78" s="224" t="s">
        <v>500</v>
      </c>
      <c r="K78" s="503">
        <v>4</v>
      </c>
      <c r="L78" s="504">
        <v>7</v>
      </c>
      <c r="M78" s="226">
        <v>22527655</v>
      </c>
      <c r="N78" s="227">
        <v>20569155</v>
      </c>
      <c r="R78" s="219"/>
    </row>
    <row r="79" spans="1:18" ht="31.2">
      <c r="A79" s="920"/>
      <c r="B79" s="240"/>
      <c r="C79" s="640">
        <v>4</v>
      </c>
      <c r="D79" s="214" t="s">
        <v>496</v>
      </c>
      <c r="E79" s="641">
        <f>K67/(K63+K64)</f>
        <v>3.2681834445954538</v>
      </c>
      <c r="F79" s="573"/>
      <c r="G79" s="240"/>
      <c r="H79" s="222" t="s">
        <v>129</v>
      </c>
      <c r="I79" s="505">
        <v>2</v>
      </c>
      <c r="J79" s="214" t="s">
        <v>496</v>
      </c>
      <c r="K79" s="506">
        <v>4</v>
      </c>
      <c r="L79" s="507">
        <v>7</v>
      </c>
      <c r="M79" s="228">
        <v>20583277</v>
      </c>
      <c r="N79" s="229">
        <v>18624777</v>
      </c>
      <c r="R79" s="219"/>
    </row>
    <row r="80" spans="1:18" ht="31.2">
      <c r="A80" s="920"/>
      <c r="B80" s="240"/>
      <c r="C80" s="640">
        <v>2</v>
      </c>
      <c r="D80" s="214" t="s">
        <v>500</v>
      </c>
      <c r="E80" s="641">
        <f>E74/(E71+E70)</f>
        <v>2.9548913341848562</v>
      </c>
      <c r="F80" s="573"/>
      <c r="G80" s="240"/>
      <c r="H80" s="222" t="s">
        <v>129</v>
      </c>
      <c r="I80" s="505">
        <v>4</v>
      </c>
      <c r="J80" s="214" t="s">
        <v>500</v>
      </c>
      <c r="K80" s="506">
        <v>5</v>
      </c>
      <c r="L80" s="507">
        <v>8</v>
      </c>
      <c r="M80" s="228">
        <v>15067384</v>
      </c>
      <c r="N80" s="229">
        <v>13108884</v>
      </c>
      <c r="R80" s="219"/>
    </row>
    <row r="81" spans="1:18" ht="31.8" thickBot="1">
      <c r="A81" s="920"/>
      <c r="B81" s="240"/>
      <c r="C81" s="642">
        <v>4</v>
      </c>
      <c r="D81" s="604" t="s">
        <v>500</v>
      </c>
      <c r="E81" s="643">
        <f>K74/(K70+K71)</f>
        <v>3.0092609973808528</v>
      </c>
      <c r="F81" s="573"/>
      <c r="G81" s="240"/>
      <c r="H81" s="222" t="s">
        <v>129</v>
      </c>
      <c r="I81" s="508">
        <v>4</v>
      </c>
      <c r="J81" s="225" t="s">
        <v>496</v>
      </c>
      <c r="K81" s="509">
        <v>6</v>
      </c>
      <c r="L81" s="510">
        <v>10</v>
      </c>
      <c r="M81" s="230">
        <v>13564051</v>
      </c>
      <c r="N81" s="231">
        <v>11695551</v>
      </c>
      <c r="R81" s="219"/>
    </row>
    <row r="82" spans="1:18" ht="31.8" thickTop="1">
      <c r="A82" s="920"/>
      <c r="B82" s="240"/>
      <c r="C82" s="573"/>
      <c r="D82" s="613"/>
      <c r="E82" s="240"/>
      <c r="F82" s="573"/>
      <c r="G82" s="644"/>
      <c r="H82" s="222" t="s">
        <v>129</v>
      </c>
      <c r="L82" s="240"/>
      <c r="R82" s="219"/>
    </row>
    <row r="83" spans="1:18" ht="16.2" thickBot="1">
      <c r="A83" s="921"/>
      <c r="B83" s="645"/>
      <c r="C83" s="646"/>
      <c r="D83" s="647"/>
      <c r="E83" s="645"/>
      <c r="F83" s="646"/>
      <c r="G83" s="647"/>
      <c r="H83" s="645"/>
      <c r="I83" s="645"/>
      <c r="J83" s="645"/>
      <c r="K83" s="645"/>
      <c r="L83" s="645"/>
      <c r="M83" s="645"/>
      <c r="N83" s="645"/>
      <c r="O83" s="645"/>
      <c r="P83" s="645"/>
      <c r="Q83" s="220"/>
      <c r="R83" s="221"/>
    </row>
    <row r="84" spans="1:18">
      <c r="C84" s="13"/>
      <c r="D84" s="9"/>
      <c r="F84" s="13"/>
      <c r="G84" s="9"/>
    </row>
    <row r="85" spans="1:18">
      <c r="C85" s="13"/>
      <c r="D85" s="9"/>
      <c r="F85" s="13"/>
      <c r="G85" s="9"/>
    </row>
    <row r="86" spans="1:18">
      <c r="C86" s="13"/>
      <c r="D86" s="9"/>
      <c r="F86" s="13"/>
      <c r="G86" s="9"/>
    </row>
  </sheetData>
  <mergeCells count="25">
    <mergeCell ref="A4:A18"/>
    <mergeCell ref="C8:F8"/>
    <mergeCell ref="C13:J13"/>
    <mergeCell ref="A19:A35"/>
    <mergeCell ref="C20:D20"/>
    <mergeCell ref="C31:C32"/>
    <mergeCell ref="J5:K5"/>
    <mergeCell ref="C33:C34"/>
    <mergeCell ref="K20:N20"/>
    <mergeCell ref="I76:N76"/>
    <mergeCell ref="C69:C74"/>
    <mergeCell ref="I69:I74"/>
    <mergeCell ref="A61:A83"/>
    <mergeCell ref="F20:I20"/>
    <mergeCell ref="C29:P29"/>
    <mergeCell ref="K31:P31"/>
    <mergeCell ref="K33:P33"/>
    <mergeCell ref="C62:C67"/>
    <mergeCell ref="I62:I67"/>
    <mergeCell ref="F38:J38"/>
    <mergeCell ref="A49:A60"/>
    <mergeCell ref="C76:E76"/>
    <mergeCell ref="A36:A48"/>
    <mergeCell ref="C38:D38"/>
    <mergeCell ref="C50:I50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808C-750D-4000-90C6-5C436861AF05}">
  <dimension ref="A1:A3"/>
  <sheetViews>
    <sheetView workbookViewId="0"/>
  </sheetViews>
  <sheetFormatPr baseColWidth="10" defaultColWidth="8.88671875" defaultRowHeight="14.4"/>
  <sheetData>
    <row r="1" spans="1:1">
      <c r="A1" s="1" t="s">
        <v>277</v>
      </c>
    </row>
    <row r="2" spans="1:1">
      <c r="A2" s="1" t="s">
        <v>278</v>
      </c>
    </row>
    <row r="3" spans="1:1">
      <c r="A3" s="1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B2FE-6AB1-4CEA-9235-740FF7CA9168}">
  <dimension ref="A1:K56"/>
  <sheetViews>
    <sheetView topLeftCell="A4" workbookViewId="0">
      <selection activeCell="F20" sqref="F20"/>
    </sheetView>
  </sheetViews>
  <sheetFormatPr baseColWidth="10" defaultColWidth="8.88671875" defaultRowHeight="14.4"/>
  <cols>
    <col min="1" max="1" width="20.33203125" customWidth="1"/>
    <col min="2" max="2" width="12.44140625" customWidth="1"/>
    <col min="3" max="3" width="11.88671875" customWidth="1"/>
    <col min="4" max="4" width="15.6640625" bestFit="1" customWidth="1"/>
    <col min="5" max="5" width="14.109375" customWidth="1"/>
    <col min="6" max="6" width="15.109375" customWidth="1"/>
    <col min="7" max="7" width="15.44140625" customWidth="1"/>
    <col min="8" max="8" width="11" customWidth="1"/>
  </cols>
  <sheetData>
    <row r="1" spans="1:11" ht="15.6">
      <c r="A1" s="311" t="s">
        <v>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5.6">
      <c r="A2" s="312" t="s">
        <v>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5.6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15.6">
      <c r="A4" s="648" t="s">
        <v>280</v>
      </c>
      <c r="B4" s="649" t="s">
        <v>281</v>
      </c>
      <c r="C4" s="650" t="s">
        <v>282</v>
      </c>
      <c r="D4" s="240"/>
      <c r="E4" s="922" t="s">
        <v>283</v>
      </c>
      <c r="F4" s="924"/>
      <c r="G4" s="240"/>
      <c r="H4" s="825" t="s">
        <v>531</v>
      </c>
      <c r="I4" s="826"/>
      <c r="J4" s="826"/>
      <c r="K4" s="827"/>
    </row>
    <row r="5" spans="1:11" ht="46.8">
      <c r="A5" s="651" t="s">
        <v>284</v>
      </c>
      <c r="B5" s="652">
        <v>60</v>
      </c>
      <c r="C5" s="653">
        <v>60</v>
      </c>
      <c r="D5" s="240"/>
      <c r="E5" s="555" t="s">
        <v>285</v>
      </c>
      <c r="F5" s="275">
        <v>791</v>
      </c>
      <c r="G5" s="240"/>
      <c r="H5" s="654"/>
      <c r="I5" s="562" t="s">
        <v>286</v>
      </c>
      <c r="J5" s="562" t="s">
        <v>287</v>
      </c>
      <c r="K5" s="655" t="s">
        <v>288</v>
      </c>
    </row>
    <row r="6" spans="1:11" ht="46.8">
      <c r="A6" s="656" t="s">
        <v>289</v>
      </c>
      <c r="B6" s="657">
        <v>0.38</v>
      </c>
      <c r="C6" s="658">
        <v>0.6</v>
      </c>
      <c r="D6" s="240"/>
      <c r="E6" s="656" t="s">
        <v>290</v>
      </c>
      <c r="F6" s="107">
        <v>0.9</v>
      </c>
      <c r="G6" s="108"/>
      <c r="H6" s="557" t="s">
        <v>291</v>
      </c>
      <c r="I6" s="659">
        <v>15</v>
      </c>
      <c r="J6" s="659">
        <f>I6/100</f>
        <v>0.15</v>
      </c>
      <c r="K6" s="660">
        <f>I6/1000</f>
        <v>1.4999999999999999E-2</v>
      </c>
    </row>
    <row r="7" spans="1:11" ht="46.8">
      <c r="A7" s="656" t="s">
        <v>292</v>
      </c>
      <c r="B7" s="657">
        <v>0.28000000000000003</v>
      </c>
      <c r="C7" s="658">
        <v>0.36</v>
      </c>
      <c r="D7" s="240"/>
      <c r="E7" s="656" t="s">
        <v>293</v>
      </c>
      <c r="F7" s="658">
        <f>8*1000</f>
        <v>8000</v>
      </c>
      <c r="G7" s="661"/>
      <c r="H7" s="240"/>
      <c r="I7" s="240"/>
      <c r="J7" s="240"/>
      <c r="K7" s="240"/>
    </row>
    <row r="8" spans="1:11" ht="46.8">
      <c r="A8" s="656" t="s">
        <v>294</v>
      </c>
      <c r="B8" s="657">
        <v>0.73499999999999999</v>
      </c>
      <c r="C8" s="658">
        <v>0.33</v>
      </c>
      <c r="D8" s="240"/>
      <c r="E8" s="662" t="s">
        <v>295</v>
      </c>
      <c r="F8" s="663">
        <f>F7/1000</f>
        <v>8</v>
      </c>
      <c r="G8" s="661"/>
      <c r="H8" s="240"/>
      <c r="I8" s="240"/>
      <c r="J8" s="240"/>
      <c r="K8" s="240"/>
    </row>
    <row r="9" spans="1:11" ht="15.6">
      <c r="A9" s="656" t="s">
        <v>296</v>
      </c>
      <c r="B9" s="664">
        <f>B6*B7*B8</f>
        <v>7.820400000000001E-2</v>
      </c>
      <c r="C9" s="665">
        <f>C6*C7*C8</f>
        <v>7.1279999999999996E-2</v>
      </c>
      <c r="D9" s="240"/>
      <c r="E9" s="240"/>
      <c r="F9" s="240"/>
      <c r="G9" s="240"/>
      <c r="H9" s="240"/>
      <c r="I9" s="240"/>
      <c r="J9" s="240"/>
      <c r="K9" s="240"/>
    </row>
    <row r="10" spans="1:11" ht="15.6">
      <c r="A10" s="656" t="s">
        <v>297</v>
      </c>
      <c r="B10" s="664">
        <f>(B6*B7*B8)*1000</f>
        <v>78.204000000000008</v>
      </c>
      <c r="C10" s="665">
        <f>(C6*C7*C8)*1000</f>
        <v>71.28</v>
      </c>
      <c r="D10" s="240"/>
      <c r="E10" s="240"/>
      <c r="F10" s="240"/>
      <c r="G10" s="240"/>
      <c r="H10" s="240"/>
      <c r="I10" s="240"/>
      <c r="J10" s="240"/>
      <c r="K10" s="240"/>
    </row>
    <row r="11" spans="1:11" ht="31.2">
      <c r="A11" s="656" t="s">
        <v>298</v>
      </c>
      <c r="B11" s="664">
        <f>B10-B5</f>
        <v>18.204000000000008</v>
      </c>
      <c r="C11" s="665">
        <f>C10-C5</f>
        <v>11.280000000000001</v>
      </c>
      <c r="D11" s="240"/>
      <c r="E11" s="240"/>
      <c r="F11" s="240"/>
      <c r="G11" s="240"/>
      <c r="H11" s="240"/>
      <c r="I11" s="240"/>
      <c r="J11" s="240"/>
      <c r="K11" s="240"/>
    </row>
    <row r="12" spans="1:11" ht="15.6">
      <c r="A12" s="666" t="s">
        <v>299</v>
      </c>
      <c r="B12" s="109">
        <v>6.5</v>
      </c>
      <c r="C12" s="107">
        <v>5.65</v>
      </c>
      <c r="D12" s="240"/>
      <c r="E12" s="240"/>
      <c r="F12" s="240"/>
      <c r="G12" s="240"/>
      <c r="H12" s="240"/>
      <c r="I12" s="240"/>
      <c r="J12" s="240"/>
      <c r="K12" s="240"/>
    </row>
    <row r="13" spans="1:11" ht="31.2">
      <c r="A13" s="662" t="s">
        <v>300</v>
      </c>
      <c r="B13" s="667">
        <f>B12*(F8/F6)</f>
        <v>57.777777777777779</v>
      </c>
      <c r="C13" s="668">
        <f>C12*(F8/F6)</f>
        <v>50.222222222222229</v>
      </c>
      <c r="D13" s="240"/>
      <c r="E13" s="240"/>
      <c r="F13" s="240"/>
      <c r="G13" s="240"/>
      <c r="H13" s="240"/>
      <c r="I13" s="240"/>
      <c r="J13" s="240"/>
      <c r="K13" s="240"/>
    </row>
    <row r="14" spans="1:11" ht="15.6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1" ht="46.8">
      <c r="A15" s="615" t="s">
        <v>169</v>
      </c>
      <c r="B15" s="669" t="s">
        <v>301</v>
      </c>
      <c r="C15" s="669" t="s">
        <v>302</v>
      </c>
      <c r="D15" s="669" t="s">
        <v>284</v>
      </c>
      <c r="E15" s="669" t="s">
        <v>303</v>
      </c>
      <c r="F15" s="669" t="s">
        <v>304</v>
      </c>
      <c r="G15" s="670" t="s">
        <v>305</v>
      </c>
      <c r="H15" s="110"/>
      <c r="I15" s="240"/>
      <c r="J15" s="240"/>
      <c r="K15" s="240"/>
    </row>
    <row r="16" spans="1:11" ht="15.6">
      <c r="A16" s="671">
        <v>1</v>
      </c>
      <c r="B16" s="672">
        <f>A16*B13</f>
        <v>57.777777777777779</v>
      </c>
      <c r="C16" s="672">
        <f>A16*C13</f>
        <v>50.222222222222229</v>
      </c>
      <c r="D16" s="565">
        <f>A16*B5</f>
        <v>60</v>
      </c>
      <c r="E16" s="565">
        <f>A16*B10</f>
        <v>78.204000000000008</v>
      </c>
      <c r="F16" s="673">
        <f>A16*C10</f>
        <v>71.28</v>
      </c>
      <c r="G16" s="566">
        <f>D16*(F5/1000)</f>
        <v>47.46</v>
      </c>
      <c r="H16" s="111"/>
      <c r="I16" s="240"/>
      <c r="J16" s="240"/>
      <c r="K16" s="240"/>
    </row>
    <row r="17" spans="1:11" ht="15.6">
      <c r="A17" s="674">
        <v>2</v>
      </c>
      <c r="B17" s="675">
        <f>A17*B13</f>
        <v>115.55555555555556</v>
      </c>
      <c r="C17" s="675">
        <f>A17*C13</f>
        <v>100.44444444444446</v>
      </c>
      <c r="D17" s="632">
        <f>A17*B5</f>
        <v>120</v>
      </c>
      <c r="E17" s="632">
        <f>A17*B10</f>
        <v>156.40800000000002</v>
      </c>
      <c r="F17" s="676">
        <f>A17*C10</f>
        <v>142.56</v>
      </c>
      <c r="G17" s="583">
        <f>D17*(F5/1000)</f>
        <v>94.92</v>
      </c>
      <c r="H17" s="111"/>
      <c r="I17" s="240"/>
      <c r="J17" s="240"/>
      <c r="K17" s="240"/>
    </row>
    <row r="18" spans="1:11" ht="15.6">
      <c r="A18" s="674">
        <v>3</v>
      </c>
      <c r="B18" s="675">
        <f>A18*B13</f>
        <v>173.33333333333334</v>
      </c>
      <c r="C18" s="675">
        <f>A18*C13</f>
        <v>150.66666666666669</v>
      </c>
      <c r="D18" s="632">
        <f>A18*B5</f>
        <v>180</v>
      </c>
      <c r="E18" s="632">
        <f>A18*B10</f>
        <v>234.61200000000002</v>
      </c>
      <c r="F18" s="676">
        <f>A18*C10</f>
        <v>213.84</v>
      </c>
      <c r="G18" s="583">
        <f>D18*(F5/1000)</f>
        <v>142.38</v>
      </c>
      <c r="H18" s="111"/>
      <c r="I18" s="240"/>
      <c r="J18" s="240"/>
      <c r="K18" s="240"/>
    </row>
    <row r="19" spans="1:11" ht="15.6">
      <c r="A19" s="674">
        <v>4</v>
      </c>
      <c r="B19" s="675">
        <f>A19*B13</f>
        <v>231.11111111111111</v>
      </c>
      <c r="C19" s="675">
        <f>A19*C13</f>
        <v>200.88888888888891</v>
      </c>
      <c r="D19" s="632">
        <f>A19*B5</f>
        <v>240</v>
      </c>
      <c r="E19" s="632">
        <f>A19*B10</f>
        <v>312.81600000000003</v>
      </c>
      <c r="F19" s="676">
        <f>A19*C10</f>
        <v>285.12</v>
      </c>
      <c r="G19" s="583">
        <f>D19*(F5/1000)</f>
        <v>189.84</v>
      </c>
      <c r="H19" s="111"/>
      <c r="I19" s="240"/>
      <c r="J19" s="240"/>
      <c r="K19" s="240"/>
    </row>
    <row r="20" spans="1:11" ht="15.6">
      <c r="A20" s="677">
        <v>5</v>
      </c>
      <c r="B20" s="678">
        <f>A20*B13</f>
        <v>288.88888888888891</v>
      </c>
      <c r="C20" s="678">
        <f>A20*C13</f>
        <v>251.11111111111114</v>
      </c>
      <c r="D20" s="617">
        <f>A20*B5</f>
        <v>300</v>
      </c>
      <c r="E20" s="617">
        <f>A20*B10</f>
        <v>391.02000000000004</v>
      </c>
      <c r="F20" s="679">
        <f>A20*C10</f>
        <v>356.4</v>
      </c>
      <c r="G20" s="558">
        <f>D20*(F5/1000)</f>
        <v>237.3</v>
      </c>
      <c r="H20" s="111"/>
      <c r="I20" s="240"/>
      <c r="J20" s="240"/>
      <c r="K20" s="240"/>
    </row>
    <row r="21" spans="1:11" ht="15.6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ht="15.6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</row>
    <row r="23" spans="1:11" ht="15.6">
      <c r="A23" s="939" t="s">
        <v>306</v>
      </c>
      <c r="B23" s="9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1" ht="15.6">
      <c r="A24" s="292" t="s">
        <v>307</v>
      </c>
      <c r="B24" s="566">
        <f>G16*1.6</f>
        <v>75.936000000000007</v>
      </c>
      <c r="C24" s="240"/>
      <c r="D24" s="240"/>
      <c r="E24" s="240"/>
      <c r="F24" s="240"/>
      <c r="G24" s="240"/>
      <c r="H24" s="240"/>
      <c r="I24" s="240"/>
      <c r="J24" s="240"/>
      <c r="K24" s="240"/>
    </row>
    <row r="25" spans="1:11" ht="15.6">
      <c r="A25" s="295" t="s">
        <v>308</v>
      </c>
      <c r="B25" s="583">
        <f>B24*0.4</f>
        <v>30.374400000000005</v>
      </c>
      <c r="C25" s="240"/>
      <c r="D25" s="240"/>
      <c r="E25" s="240"/>
      <c r="F25" s="240"/>
      <c r="G25" s="240"/>
      <c r="H25" s="240"/>
      <c r="I25" s="240"/>
      <c r="J25" s="240"/>
      <c r="K25" s="240"/>
    </row>
    <row r="26" spans="1:11" ht="15.6">
      <c r="A26" s="295" t="s">
        <v>307</v>
      </c>
      <c r="B26" s="583">
        <f>G16+B25</f>
        <v>77.834400000000002</v>
      </c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ht="15.6">
      <c r="A27" s="288" t="s">
        <v>309</v>
      </c>
      <c r="B27" s="558">
        <f>G16</f>
        <v>47.46</v>
      </c>
      <c r="C27" s="240"/>
      <c r="D27" s="240"/>
      <c r="E27" s="240"/>
      <c r="F27" s="240"/>
      <c r="G27" s="240"/>
      <c r="H27" s="240"/>
      <c r="I27" s="240"/>
      <c r="J27" s="240"/>
      <c r="K27" s="240"/>
    </row>
    <row r="28" spans="1:11" ht="15.6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</row>
    <row r="29" spans="1:11" ht="15.6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</row>
    <row r="30" spans="1:11" ht="15.6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</row>
    <row r="31" spans="1:11" ht="15.6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1:11" ht="15.6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  <row r="33" spans="1:11" ht="15.6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</row>
    <row r="34" spans="1:11" ht="15.6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</row>
    <row r="35" spans="1:11" ht="15.6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</row>
    <row r="36" spans="1:11" ht="15.6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</row>
    <row r="37" spans="1:11" ht="15.6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</row>
    <row r="38" spans="1:11" ht="15.6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</row>
    <row r="39" spans="1:11" ht="15.6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</row>
    <row r="40" spans="1:11" ht="15.6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</row>
    <row r="41" spans="1:11" ht="15.6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</row>
    <row r="42" spans="1:11" ht="15.6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</row>
    <row r="43" spans="1:11" ht="15.6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1" ht="15.6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</row>
    <row r="45" spans="1:11" ht="15.6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</row>
    <row r="46" spans="1:11" ht="15.6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</row>
    <row r="47" spans="1:11" ht="15.6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</row>
    <row r="48" spans="1:11" ht="15.6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1:11" ht="15.6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</row>
    <row r="50" spans="1:11" ht="15.6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</row>
    <row r="51" spans="1:11" ht="15.6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</row>
    <row r="52" spans="1:11" ht="15.6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</row>
    <row r="53" spans="1:11" ht="15.6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</row>
    <row r="54" spans="1:11" ht="15.6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</row>
    <row r="55" spans="1:11" ht="15.6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</row>
    <row r="56" spans="1:11" ht="15.6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</row>
  </sheetData>
  <mergeCells count="3">
    <mergeCell ref="A23:B23"/>
    <mergeCell ref="E4:F4"/>
    <mergeCell ref="H4:K4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AAC47D25B99242BC629F585176AF81" ma:contentTypeVersion="6" ma:contentTypeDescription="Opprett et nytt dokument." ma:contentTypeScope="" ma:versionID="87c93433832ecd8db53f12f72cb8da3c">
  <xsd:schema xmlns:xsd="http://www.w3.org/2001/XMLSchema" xmlns:xs="http://www.w3.org/2001/XMLSchema" xmlns:p="http://schemas.microsoft.com/office/2006/metadata/properties" xmlns:ns2="dc957638-0d76-4230-b6d4-637634968471" xmlns:ns3="3a6fbb3e-1651-472e-9ec1-fd0234b1fe56" targetNamespace="http://schemas.microsoft.com/office/2006/metadata/properties" ma:root="true" ma:fieldsID="5ba592c59a27930e0ac44555c7dd46d8" ns2:_="" ns3:_="">
    <xsd:import namespace="dc957638-0d76-4230-b6d4-637634968471"/>
    <xsd:import namespace="3a6fbb3e-1651-472e-9ec1-fd0234b1fe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57638-0d76-4230-b6d4-637634968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fbb3e-1651-472e-9ec1-fd0234b1fe5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99DC94-AC91-40AF-8C21-BE3DA7F65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957638-0d76-4230-b6d4-637634968471"/>
    <ds:schemaRef ds:uri="3a6fbb3e-1651-472e-9ec1-fd0234b1f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BB4A2C-1DD5-4213-A6D9-D51C851076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7CA755-AA68-4392-B5C6-7BE55911F6F8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dc957638-0d76-4230-b6d4-637634968471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a6fbb3e-1651-472e-9ec1-fd0234b1fe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Info</vt:lpstr>
      <vt:lpstr>Fuel</vt:lpstr>
      <vt:lpstr>Boat size</vt:lpstr>
      <vt:lpstr>Boat 1</vt:lpstr>
      <vt:lpstr>Boat 1 case</vt:lpstr>
      <vt:lpstr>Goldfish X9 EXPLORER</vt:lpstr>
      <vt:lpstr>SKARSVÅG 799</vt:lpstr>
      <vt:lpstr>Tank</vt:lpstr>
      <vt:lpstr>Suppliers</vt:lpstr>
      <vt:lpstr>HTPEM leverandør</vt:lpstr>
      <vt:lpstr>CH3OH - Metanol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47468</dc:creator>
  <cp:keywords/>
  <dc:description/>
  <cp:lastModifiedBy>4746811155</cp:lastModifiedBy>
  <cp:revision/>
  <cp:lastPrinted>2022-05-30T10:47:43Z</cp:lastPrinted>
  <dcterms:created xsi:type="dcterms:W3CDTF">2006-09-16T00:00:00Z</dcterms:created>
  <dcterms:modified xsi:type="dcterms:W3CDTF">2022-05-30T11:23:54Z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0x01010001AAC47D25B99242BC629F585176AF81</vt:lpwstr>
  </property>
</Properties>
</file>