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be\Downloads\"/>
    </mc:Choice>
  </mc:AlternateContent>
  <xr:revisionPtr revIDLastSave="0" documentId="13_ncr:1_{17B1CED5-A067-42C3-B398-91A8D9B3B9A9}" xr6:coauthVersionLast="47" xr6:coauthVersionMax="47" xr10:uidLastSave="{00000000-0000-0000-0000-000000000000}"/>
  <bookViews>
    <workbookView xWindow="0" yWindow="390" windowWidth="28800" windowHeight="12570" xr2:uid="{00000000-000D-0000-FFFF-FFFF00000000}"/>
  </bookViews>
  <sheets>
    <sheet name="Calculation tool" sheetId="2" r:id="rId1"/>
    <sheet name="Calculations" sheetId="3" r:id="rId2"/>
    <sheet name="Data for calculations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0" i="3" l="1"/>
  <c r="E119" i="3"/>
  <c r="B118" i="3"/>
  <c r="B116" i="3"/>
  <c r="B115" i="3"/>
  <c r="E115" i="3" s="1"/>
  <c r="B113" i="3"/>
  <c r="B112" i="3"/>
  <c r="B110" i="3"/>
  <c r="B108" i="3"/>
  <c r="B106" i="3"/>
  <c r="B105" i="3"/>
  <c r="G103" i="3"/>
  <c r="F103" i="3"/>
  <c r="D103" i="3"/>
  <c r="C103" i="3"/>
  <c r="H93" i="3"/>
  <c r="E93" i="3" s="1"/>
  <c r="E97" i="3" s="1"/>
  <c r="H97" i="3" s="1"/>
  <c r="B93" i="3"/>
  <c r="B92" i="3"/>
  <c r="G86" i="3"/>
  <c r="F86" i="3"/>
  <c r="D86" i="3"/>
  <c r="C86" i="3"/>
  <c r="B74" i="3"/>
  <c r="B73" i="3"/>
  <c r="H73" i="3" s="1"/>
  <c r="E73" i="3" s="1"/>
  <c r="H72" i="3"/>
  <c r="E72" i="3" s="1"/>
  <c r="B72" i="3"/>
  <c r="H69" i="3"/>
  <c r="E69" i="3" s="1"/>
  <c r="H66" i="3"/>
  <c r="E66" i="3" s="1"/>
  <c r="B66" i="3"/>
  <c r="H65" i="3"/>
  <c r="E65" i="3" s="1"/>
  <c r="B65" i="3"/>
  <c r="H64" i="3"/>
  <c r="E64" i="3" s="1"/>
  <c r="B64" i="3"/>
  <c r="B63" i="3"/>
  <c r="H63" i="3" s="1"/>
  <c r="E63" i="3" s="1"/>
  <c r="G61" i="3"/>
  <c r="F61" i="3"/>
  <c r="D61" i="3"/>
  <c r="C61" i="3"/>
  <c r="H50" i="3"/>
  <c r="E50" i="3" s="1"/>
  <c r="B49" i="3"/>
  <c r="H49" i="3" s="1"/>
  <c r="E49" i="3" s="1"/>
  <c r="B47" i="3"/>
  <c r="B42" i="3"/>
  <c r="B39" i="3"/>
  <c r="H39" i="3" s="1"/>
  <c r="B38" i="3"/>
  <c r="G35" i="3"/>
  <c r="F35" i="3"/>
  <c r="D35" i="3"/>
  <c r="C35" i="3"/>
  <c r="B19" i="3"/>
  <c r="H19" i="3" s="1"/>
  <c r="E19" i="3" s="1"/>
  <c r="B17" i="3"/>
  <c r="B16" i="3"/>
  <c r="E16" i="3" s="1"/>
  <c r="B11" i="3"/>
  <c r="B10" i="3"/>
  <c r="H10" i="3" s="1"/>
  <c r="E10" i="3" s="1"/>
  <c r="B9" i="3"/>
  <c r="B6" i="3"/>
  <c r="B40" i="2" s="1"/>
  <c r="B5" i="3"/>
  <c r="H9" i="3" s="1"/>
  <c r="F30" i="2"/>
  <c r="F31" i="2"/>
  <c r="C57" i="2"/>
  <c r="G15" i="2"/>
  <c r="I17" i="1"/>
  <c r="G66" i="3" l="1"/>
  <c r="F66" i="3"/>
  <c r="D66" i="3"/>
  <c r="C66" i="3"/>
  <c r="F10" i="3"/>
  <c r="G10" i="3" s="1"/>
  <c r="D10" i="3"/>
  <c r="C10" i="3" s="1"/>
  <c r="G16" i="3"/>
  <c r="F16" i="3"/>
  <c r="D16" i="3"/>
  <c r="C16" i="3"/>
  <c r="E39" i="3"/>
  <c r="H42" i="3"/>
  <c r="F69" i="3"/>
  <c r="C69" i="3"/>
  <c r="G69" i="3"/>
  <c r="D69" i="3"/>
  <c r="D64" i="3"/>
  <c r="G64" i="3"/>
  <c r="C64" i="3"/>
  <c r="F64" i="3"/>
  <c r="D63" i="3"/>
  <c r="C63" i="3"/>
  <c r="F63" i="3"/>
  <c r="E79" i="3"/>
  <c r="G63" i="3"/>
  <c r="E9" i="3"/>
  <c r="H12" i="3"/>
  <c r="H23" i="3" s="1"/>
  <c r="F65" i="3"/>
  <c r="C65" i="3"/>
  <c r="D65" i="3"/>
  <c r="G65" i="3"/>
  <c r="H16" i="3"/>
  <c r="H20" i="3" s="1"/>
  <c r="H24" i="3" s="1"/>
  <c r="E24" i="3" s="1"/>
  <c r="C58" i="2"/>
  <c r="G10" i="2"/>
  <c r="F24" i="3" l="1"/>
  <c r="C24" i="3"/>
  <c r="D24" i="3"/>
  <c r="G24" i="3"/>
  <c r="E42" i="3"/>
  <c r="H53" i="3"/>
  <c r="E53" i="3" s="1"/>
  <c r="G8" i="2" s="1"/>
  <c r="H25" i="3"/>
  <c r="E23" i="3"/>
  <c r="D79" i="3"/>
  <c r="C79" i="3"/>
  <c r="H79" i="3"/>
  <c r="F79" i="3"/>
  <c r="G79" i="3"/>
  <c r="G9" i="2"/>
  <c r="D23" i="3" l="1"/>
  <c r="C23" i="3"/>
  <c r="F23" i="3"/>
  <c r="G23" i="3"/>
  <c r="E25" i="3"/>
  <c r="H28" i="3"/>
  <c r="H41" i="3" s="1"/>
  <c r="E41" i="3" l="1"/>
  <c r="G7" i="2" s="1"/>
  <c r="H55" i="3"/>
  <c r="E55" i="3" s="1"/>
  <c r="G25" i="3"/>
  <c r="F25" i="3"/>
  <c r="D25" i="3"/>
  <c r="E28" i="3"/>
  <c r="C25" i="3"/>
  <c r="G28" i="3" l="1"/>
  <c r="F28" i="3"/>
  <c r="D28" i="3"/>
  <c r="C28" i="3"/>
  <c r="G55" i="3"/>
  <c r="E81" i="3"/>
  <c r="F55" i="3"/>
  <c r="D55" i="3"/>
  <c r="C55" i="3"/>
  <c r="F81" i="3" l="1"/>
  <c r="E99" i="3"/>
  <c r="C81" i="3"/>
  <c r="D81" i="3"/>
  <c r="H81" i="3"/>
  <c r="G81" i="3"/>
  <c r="F99" i="3" l="1"/>
  <c r="C99" i="3"/>
  <c r="D99" i="3"/>
  <c r="H99" i="3"/>
  <c r="G99" i="3"/>
  <c r="E106" i="3"/>
  <c r="E122" i="3" s="1"/>
  <c r="E116" i="3"/>
  <c r="E120" i="3"/>
  <c r="E110" i="3"/>
  <c r="D122" i="3" l="1"/>
  <c r="C122" i="3"/>
  <c r="G122" i="3"/>
  <c r="F122" i="3"/>
  <c r="G11" i="2"/>
  <c r="G13" i="2" s="1"/>
  <c r="E124" i="3"/>
  <c r="G124" i="3" l="1"/>
  <c r="F124" i="3"/>
  <c r="D124" i="3"/>
  <c r="C124" i="3"/>
  <c r="F28" i="2"/>
  <c r="F29" i="2"/>
</calcChain>
</file>

<file path=xl/sharedStrings.xml><?xml version="1.0" encoding="utf-8"?>
<sst xmlns="http://schemas.openxmlformats.org/spreadsheetml/2006/main" count="288" uniqueCount="166">
  <si>
    <t>Introduction to the calculation tool</t>
  </si>
  <si>
    <t xml:space="preserve">The tool aims to give a representation of the carbon emissions of ammonia </t>
  </si>
  <si>
    <t>Colour code</t>
  </si>
  <si>
    <t>depending on location, pathway,electricity source and more</t>
  </si>
  <si>
    <t>Enter data</t>
  </si>
  <si>
    <t>Automatic data from input</t>
  </si>
  <si>
    <t>Results</t>
  </si>
  <si>
    <t xml:space="preserve">Please only edit cells in the left below "User input". </t>
  </si>
  <si>
    <t>Calculated data</t>
  </si>
  <si>
    <t>A1  Primary energy production</t>
  </si>
  <si>
    <t>[g CO2-eq/kWh]</t>
  </si>
  <si>
    <t>Automatic data</t>
  </si>
  <si>
    <t>A3  Ammonia synthesis</t>
  </si>
  <si>
    <t>If renewable energy is directly used, use values from table below</t>
  </si>
  <si>
    <t>A4  Transport and distribution</t>
  </si>
  <si>
    <t>A4  Storage and bunkering</t>
  </si>
  <si>
    <t xml:space="preserve">B4  Propulsion </t>
  </si>
  <si>
    <t>Common values for electricity carbon intensity</t>
  </si>
  <si>
    <t>Source</t>
  </si>
  <si>
    <t>[g CO2-eq / kWh]</t>
  </si>
  <si>
    <t>Total GWP "Well to Wake" estimate</t>
  </si>
  <si>
    <t>Norwegian grid</t>
  </si>
  <si>
    <t>Wind power (offshore and onshore)</t>
  </si>
  <si>
    <t>Goal</t>
  </si>
  <si>
    <t>Photovoltaic (Solar panels)</t>
  </si>
  <si>
    <t>Hydropower</t>
  </si>
  <si>
    <t>Nuclear power</t>
  </si>
  <si>
    <t>Concentrated solar power</t>
  </si>
  <si>
    <t>Geothermal</t>
  </si>
  <si>
    <t>Coal</t>
  </si>
  <si>
    <t xml:space="preserve">For carbon intensity of electricity grid of specific countries see: </t>
  </si>
  <si>
    <t>https://app.electricitymap.org/map</t>
  </si>
  <si>
    <t>User input</t>
  </si>
  <si>
    <t>Emission goal (if any)</t>
  </si>
  <si>
    <t>"Yes" for blue ammonia (Steam reforming and CCUS)</t>
  </si>
  <si>
    <t>"Yes" for green ammonia (Electrolysis)</t>
  </si>
  <si>
    <t>yes</t>
  </si>
  <si>
    <t xml:space="preserve">Electrolysis </t>
  </si>
  <si>
    <t>Efficiency of electrolyzer (Usually 50-80%)</t>
  </si>
  <si>
    <t>Carbon intensity of electricity used</t>
  </si>
  <si>
    <t>Calculations</t>
  </si>
  <si>
    <t>A1</t>
  </si>
  <si>
    <t>Steam reforming</t>
  </si>
  <si>
    <t>Primary energy production (Hydrogen)</t>
  </si>
  <si>
    <t>Input</t>
  </si>
  <si>
    <t>Baseline</t>
  </si>
  <si>
    <t>CO2 emission per mass of product</t>
  </si>
  <si>
    <t>Carbon capture rate of SMR (usually 70-95%)</t>
  </si>
  <si>
    <t>-</t>
  </si>
  <si>
    <t>+</t>
  </si>
  <si>
    <t>Steam methane reforming (SMR)</t>
  </si>
  <si>
    <t>Electrolysis (El)</t>
  </si>
  <si>
    <t>Transportation</t>
  </si>
  <si>
    <t>Transportation by ship [km]</t>
  </si>
  <si>
    <t>[kilometers]</t>
  </si>
  <si>
    <t>Transporation by rail [km]</t>
  </si>
  <si>
    <t>NG production and transport  [g CO2-eq /kg H]</t>
  </si>
  <si>
    <t>[g CO2-eq /kg H]</t>
  </si>
  <si>
    <t>Transportation by truck [km]</t>
  </si>
  <si>
    <t>SMR process emission [g CO2-eq /kg H]</t>
  </si>
  <si>
    <t>Transportation by pipeline [km]</t>
  </si>
  <si>
    <t>Carbon capture rate</t>
  </si>
  <si>
    <t>SMR total</t>
  </si>
  <si>
    <t>Propulsion system</t>
  </si>
  <si>
    <t>"Yes" for choice</t>
  </si>
  <si>
    <t>Efficiency of system for propulsion</t>
  </si>
  <si>
    <t>High temperature fuel cell</t>
  </si>
  <si>
    <t>Low temperature fuel cell (on-board cracking)</t>
  </si>
  <si>
    <t>Electricity emission [g CO2-eq /kWh]</t>
  </si>
  <si>
    <t>Low temperature fuel cell (cracking by land-electricity)</t>
  </si>
  <si>
    <t>Efficiency</t>
  </si>
  <si>
    <t>Combustion engine</t>
  </si>
  <si>
    <t>Electrolyzer unit [g CO2-eq / kg H]</t>
  </si>
  <si>
    <t>Electrolysis total</t>
  </si>
  <si>
    <t>Hydrogen mix</t>
  </si>
  <si>
    <t>SMR contribution</t>
  </si>
  <si>
    <t>Only edit if ammonia is NOT transported to Norway</t>
  </si>
  <si>
    <t>Electrolysis contribution</t>
  </si>
  <si>
    <t>Carbon intensity of recieving country grid</t>
  </si>
  <si>
    <t xml:space="preserve">Total </t>
  </si>
  <si>
    <t>Primary energy production total</t>
  </si>
  <si>
    <t>Compression, storage and transport of hydrogen</t>
  </si>
  <si>
    <t>Special input [g CO2-eq /kg H]</t>
  </si>
  <si>
    <t>A3</t>
  </si>
  <si>
    <t>Ammonia synthesis</t>
  </si>
  <si>
    <t>Nitrogen generation [kWh/kg NH3]</t>
  </si>
  <si>
    <t>Electricity carbon intensity [g CO2-eq /kWh]</t>
  </si>
  <si>
    <t>[g CO2-eq / kg NH3]</t>
  </si>
  <si>
    <t>Part Hydrogen (From A1)</t>
  </si>
  <si>
    <t>Part Nitrogen</t>
  </si>
  <si>
    <t>Energy demand [kWh / kg NH3]</t>
  </si>
  <si>
    <t>Part electric powered</t>
  </si>
  <si>
    <t>Part thermal powered</t>
  </si>
  <si>
    <t xml:space="preserve">Electricity source </t>
  </si>
  <si>
    <t>Thermal power source</t>
  </si>
  <si>
    <t>Syntheis total contribution</t>
  </si>
  <si>
    <t>Ammonia accumulated</t>
  </si>
  <si>
    <t>A4</t>
  </si>
  <si>
    <t>Distribution</t>
  </si>
  <si>
    <t>Transportation special input [km]</t>
  </si>
  <si>
    <t>Transportation special input [g CO2-eq/km]</t>
  </si>
  <si>
    <t>Loading electricity source [g CO2-eq/kWh]</t>
  </si>
  <si>
    <t>Unloading electricity source [g CO2-eq/kWh]</t>
  </si>
  <si>
    <t>Pump energy requirement (from data) [kWh/kg NH3]</t>
  </si>
  <si>
    <t>Reliquification included</t>
  </si>
  <si>
    <t>Transportation total contribution</t>
  </si>
  <si>
    <t>Storage and bunkering</t>
  </si>
  <si>
    <t>Storage</t>
  </si>
  <si>
    <t>Assumed negligible</t>
  </si>
  <si>
    <t>Bunkering</t>
  </si>
  <si>
    <t>Pump electricity source [g CO2-eq/kWh]</t>
  </si>
  <si>
    <t>Storage and bunkering total contribution</t>
  </si>
  <si>
    <t>B4</t>
  </si>
  <si>
    <t>Operational energy use</t>
  </si>
  <si>
    <t>High temperature fuel cell (1 = true)</t>
  </si>
  <si>
    <t>Efficiency of system [%]</t>
  </si>
  <si>
    <t>Low temperature fuel cell (on board cracking)</t>
  </si>
  <si>
    <t>Cracking loss  (energy use of cracker included) [%]</t>
  </si>
  <si>
    <t>Low temperature fuel cell (land electricity cracking)</t>
  </si>
  <si>
    <t>Cracking electricity source [g CO2-eq/kWh]</t>
  </si>
  <si>
    <t>Cracking loss  [%]</t>
  </si>
  <si>
    <t>Cracking energy requirement [kWh/kg NH3]</t>
  </si>
  <si>
    <t>NOX-emissions [g CO2-eq/kWh]</t>
  </si>
  <si>
    <t>Propulsion total "contribution"</t>
  </si>
  <si>
    <t>Final GWP-value Well to Wake</t>
  </si>
  <si>
    <t>Constants</t>
  </si>
  <si>
    <t>Unit</t>
  </si>
  <si>
    <t>Ammonia energy density (LHV)</t>
  </si>
  <si>
    <t>[kWh/kg]</t>
  </si>
  <si>
    <t>Higher heating value Hydrogen (Electrolyser theoretical 100% efficiency)</t>
  </si>
  <si>
    <t>[kWh/kg H]</t>
  </si>
  <si>
    <t>Lower heating value Hydrogen</t>
  </si>
  <si>
    <t>Data for calculations</t>
  </si>
  <si>
    <t>Steam reforming emission</t>
  </si>
  <si>
    <t>[g CO2/kg H]</t>
  </si>
  <si>
    <t>[41] in Report</t>
  </si>
  <si>
    <r>
      <t xml:space="preserve">E. Budsberg, J. Crawford, R. Gustafson, R. Buro og M. Puettmann, «Ethanologens vs. acetogens: Environmental impacts of two ethanol fermentation pathways,» </t>
    </r>
    <r>
      <rPr>
        <i/>
        <sz val="12"/>
        <color theme="1"/>
        <rFont val="Times New Roman"/>
        <family val="1"/>
      </rPr>
      <t xml:space="preserve">Biomass and Bioenergy, </t>
    </r>
    <r>
      <rPr>
        <sz val="12"/>
        <color theme="1"/>
        <rFont val="Times New Roman"/>
        <family val="1"/>
      </rPr>
      <t>vol. 83, pp. 23-31, 2015.</t>
    </r>
  </si>
  <si>
    <t>https://doi.org/10.1016/j.biombioe.2015.08.019</t>
  </si>
  <si>
    <t>Ammonia synthesis energy</t>
  </si>
  <si>
    <t>[kWh/kg NH3]</t>
  </si>
  <si>
    <t>SINTEF</t>
  </si>
  <si>
    <t>Value chain analysis and comparison of liquid hydrogen and ammonia as energy carriers</t>
  </si>
  <si>
    <t>NH3 generation energy</t>
  </si>
  <si>
    <t>https://doi.org/10.1016/j.ijhydene.2020.09.017</t>
  </si>
  <si>
    <t>Unloading/loading pump  energy</t>
  </si>
  <si>
    <t>Cracking energy</t>
  </si>
  <si>
    <t>Cracking loss</t>
  </si>
  <si>
    <t>%</t>
  </si>
  <si>
    <t>Total cracking loss  by using FC for energy</t>
  </si>
  <si>
    <t>NG production and transport</t>
  </si>
  <si>
    <t xml:space="preserve"> [g CO2 /kg H]</t>
  </si>
  <si>
    <t>LCA Various hydrogen produciton methods</t>
  </si>
  <si>
    <t>Electrolyzer unit</t>
  </si>
  <si>
    <t>Rail emission factor / km</t>
  </si>
  <si>
    <t>[g CO2/ km kg NH3)]</t>
  </si>
  <si>
    <t>ECTA</t>
  </si>
  <si>
    <t>Truck emission factor / km</t>
  </si>
  <si>
    <t>https://www.ecta.com/wp-content/uploads/2021/03/ECTA-CEFIC-GUIDELINE-FOR-MEASURING-AND-MANAGING-CO2-ISSUE-1.pdf</t>
  </si>
  <si>
    <t>Ship emission factor deep-sea / km</t>
  </si>
  <si>
    <t>Ship emission factor short-sea / km</t>
  </si>
  <si>
    <t>Pipeline emission factor /km</t>
  </si>
  <si>
    <t>Natural Gas production and transport</t>
  </si>
  <si>
    <t>https://www.sciencedirect.com/science/article/pii/S095965261832170X</t>
  </si>
  <si>
    <t>NOx emissions estimate</t>
  </si>
  <si>
    <t>[g Nox/kWh]</t>
  </si>
  <si>
    <t>NoX GWP100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</si>
</sst>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.0"/>
    <numFmt numFmtId="165" formatCode="_ [$€-2]\ * #,##0.00_ ;_ [$€-2]\ * \-#,##0.00_ ;_ [$€-2]\ * &quot;-&quot;??_ "/>
    <numFmt numFmtId="166" formatCode="_ [$€-2]\ * #,##0.000000000000_ ;_ [$€-2]\ * \-#,##0.000000000000_ ;_ [$€-2]\ * &quot;-&quot;??_ "/>
    <numFmt numFmtId="167" formatCode="0.0\ %"/>
  </numFmts>
  <fonts count="4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8"/>
      <color rgb="FF3F3F76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232629"/>
      <name val="Segoe UI"/>
      <family val="2"/>
    </font>
    <font>
      <b/>
      <sz val="16"/>
      <name val="Calibri"/>
      <family val="2"/>
      <scheme val="minor"/>
    </font>
    <font>
      <b/>
      <sz val="26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4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7" fillId="6" borderId="0" applyNumberFormat="0" applyBorder="0" applyAlignment="0" applyProtection="0"/>
    <xf numFmtId="0" fontId="4" fillId="7" borderId="16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/>
    <xf numFmtId="165" fontId="6" fillId="0" borderId="0"/>
    <xf numFmtId="166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9" borderId="2" applyNumberFormat="0" applyAlignment="0" applyProtection="0"/>
    <xf numFmtId="0" fontId="13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0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4" borderId="5" xfId="0" applyFill="1" applyBorder="1"/>
    <xf numFmtId="0" fontId="0" fillId="5" borderId="7" xfId="0" applyFill="1" applyBorder="1"/>
    <xf numFmtId="0" fontId="0" fillId="5" borderId="8" xfId="0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0" fillId="4" borderId="3" xfId="0" applyFill="1" applyBorder="1"/>
    <xf numFmtId="9" fontId="0" fillId="4" borderId="10" xfId="0" applyNumberFormat="1" applyFill="1" applyBorder="1"/>
    <xf numFmtId="9" fontId="0" fillId="4" borderId="7" xfId="0" applyNumberFormat="1" applyFill="1" applyBorder="1"/>
    <xf numFmtId="9" fontId="0" fillId="4" borderId="12" xfId="0" applyNumberFormat="1" applyFill="1" applyBorder="1"/>
    <xf numFmtId="0" fontId="5" fillId="5" borderId="9" xfId="0" applyFont="1" applyFill="1" applyBorder="1"/>
    <xf numFmtId="2" fontId="5" fillId="5" borderId="5" xfId="0" applyNumberFormat="1" applyFont="1" applyFill="1" applyBorder="1"/>
    <xf numFmtId="0" fontId="0" fillId="4" borderId="7" xfId="0" applyFill="1" applyBorder="1" applyAlignment="1">
      <alignment horizontal="right"/>
    </xf>
    <xf numFmtId="0" fontId="0" fillId="4" borderId="14" xfId="0" applyFill="1" applyBorder="1"/>
    <xf numFmtId="0" fontId="0" fillId="4" borderId="4" xfId="0" applyFill="1" applyBorder="1"/>
    <xf numFmtId="0" fontId="0" fillId="8" borderId="0" xfId="0" applyFill="1"/>
    <xf numFmtId="0" fontId="0" fillId="8" borderId="17" xfId="0" applyFill="1" applyBorder="1"/>
    <xf numFmtId="0" fontId="8" fillId="8" borderId="17" xfId="0" applyFont="1" applyFill="1" applyBorder="1"/>
    <xf numFmtId="0" fontId="2" fillId="2" borderId="19" xfId="1" applyBorder="1"/>
    <xf numFmtId="164" fontId="7" fillId="6" borderId="20" xfId="3" applyNumberFormat="1" applyBorder="1" applyAlignment="1">
      <alignment vertical="center"/>
    </xf>
    <xf numFmtId="0" fontId="7" fillId="6" borderId="20" xfId="3" applyBorder="1"/>
    <xf numFmtId="1" fontId="7" fillId="6" borderId="20" xfId="3" applyNumberFormat="1" applyBorder="1"/>
    <xf numFmtId="0" fontId="0" fillId="8" borderId="13" xfId="0" applyFill="1" applyBorder="1" applyAlignment="1">
      <alignment vertical="center"/>
    </xf>
    <xf numFmtId="0" fontId="0" fillId="8" borderId="13" xfId="0" applyFill="1" applyBorder="1"/>
    <xf numFmtId="0" fontId="5" fillId="5" borderId="20" xfId="0" applyFont="1" applyFill="1" applyBorder="1"/>
    <xf numFmtId="9" fontId="0" fillId="4" borderId="10" xfId="0" applyNumberFormat="1" applyFill="1" applyBorder="1" applyAlignment="1">
      <alignment horizontal="center" vertical="top"/>
    </xf>
    <xf numFmtId="164" fontId="6" fillId="10" borderId="20" xfId="16" applyNumberFormat="1" applyBorder="1" applyAlignment="1">
      <alignment vertical="center"/>
    </xf>
    <xf numFmtId="0" fontId="0" fillId="0" borderId="3" xfId="0" applyBorder="1"/>
    <xf numFmtId="164" fontId="7" fillId="6" borderId="3" xfId="3" applyNumberFormat="1" applyBorder="1"/>
    <xf numFmtId="164" fontId="7" fillId="6" borderId="7" xfId="3" applyNumberFormat="1" applyBorder="1"/>
    <xf numFmtId="164" fontId="0" fillId="4" borderId="3" xfId="0" applyNumberFormat="1" applyFill="1" applyBorder="1"/>
    <xf numFmtId="164" fontId="0" fillId="5" borderId="7" xfId="0" applyNumberFormat="1" applyFill="1" applyBorder="1"/>
    <xf numFmtId="0" fontId="0" fillId="0" borderId="7" xfId="0" applyBorder="1"/>
    <xf numFmtId="164" fontId="0" fillId="0" borderId="7" xfId="0" applyNumberFormat="1" applyBorder="1"/>
    <xf numFmtId="0" fontId="0" fillId="0" borderId="10" xfId="0" applyBorder="1"/>
    <xf numFmtId="164" fontId="7" fillId="6" borderId="10" xfId="3" applyNumberFormat="1" applyBorder="1"/>
    <xf numFmtId="0" fontId="5" fillId="5" borderId="24" xfId="0" applyFont="1" applyFill="1" applyBorder="1"/>
    <xf numFmtId="0" fontId="0" fillId="8" borderId="10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7" xfId="0" applyFill="1" applyBorder="1"/>
    <xf numFmtId="2" fontId="3" fillId="3" borderId="23" xfId="2" applyNumberFormat="1" applyBorder="1"/>
    <xf numFmtId="9" fontId="0" fillId="4" borderId="10" xfId="0" applyNumberFormat="1" applyFill="1" applyBorder="1" applyAlignment="1">
      <alignment horizontal="center" vertical="center"/>
    </xf>
    <xf numFmtId="9" fontId="0" fillId="4" borderId="12" xfId="0" applyNumberForma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8" borderId="0" xfId="0" applyFont="1" applyFill="1"/>
    <xf numFmtId="0" fontId="0" fillId="0" borderId="8" xfId="0" applyBorder="1"/>
    <xf numFmtId="9" fontId="2" fillId="2" borderId="20" xfId="1" applyNumberFormat="1" applyBorder="1"/>
    <xf numFmtId="0" fontId="0" fillId="5" borderId="5" xfId="0" applyFill="1" applyBorder="1"/>
    <xf numFmtId="167" fontId="4" fillId="7" borderId="28" xfId="4" applyNumberFormat="1" applyBorder="1"/>
    <xf numFmtId="9" fontId="3" fillId="3" borderId="20" xfId="2" applyNumberFormat="1" applyBorder="1"/>
    <xf numFmtId="2" fontId="3" fillId="3" borderId="29" xfId="2" applyNumberFormat="1" applyBorder="1"/>
    <xf numFmtId="0" fontId="3" fillId="3" borderId="29" xfId="2" applyBorder="1"/>
    <xf numFmtId="164" fontId="6" fillId="10" borderId="6" xfId="16" applyNumberFormat="1" applyBorder="1" applyAlignment="1">
      <alignment vertical="center"/>
    </xf>
    <xf numFmtId="0" fontId="7" fillId="6" borderId="6" xfId="3" applyBorder="1"/>
    <xf numFmtId="0" fontId="0" fillId="8" borderId="15" xfId="0" applyFill="1" applyBorder="1"/>
    <xf numFmtId="0" fontId="0" fillId="8" borderId="8" xfId="0" applyFill="1" applyBorder="1"/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5" xfId="0" applyFill="1" applyBorder="1"/>
    <xf numFmtId="164" fontId="0" fillId="8" borderId="12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0" fontId="0" fillId="8" borderId="4" xfId="0" applyFill="1" applyBorder="1"/>
    <xf numFmtId="0" fontId="7" fillId="6" borderId="4" xfId="3" applyBorder="1"/>
    <xf numFmtId="164" fontId="7" fillId="8" borderId="0" xfId="3" applyNumberFormat="1" applyFill="1" applyBorder="1" applyAlignment="1">
      <alignment vertical="center"/>
    </xf>
    <xf numFmtId="0" fontId="3" fillId="3" borderId="20" xfId="2" applyBorder="1"/>
    <xf numFmtId="9" fontId="3" fillId="3" borderId="13" xfId="2" applyNumberFormat="1" applyBorder="1"/>
    <xf numFmtId="164" fontId="6" fillId="12" borderId="6" xfId="18" applyNumberFormat="1" applyBorder="1" applyAlignment="1">
      <alignment vertical="center"/>
    </xf>
    <xf numFmtId="164" fontId="6" fillId="12" borderId="20" xfId="18" applyNumberFormat="1" applyBorder="1" applyAlignment="1">
      <alignment vertical="center"/>
    </xf>
    <xf numFmtId="164" fontId="6" fillId="13" borderId="20" xfId="19" applyNumberFormat="1" applyBorder="1" applyAlignment="1">
      <alignment vertical="center"/>
    </xf>
    <xf numFmtId="164" fontId="6" fillId="14" borderId="8" xfId="20" applyNumberFormat="1" applyBorder="1" applyAlignment="1">
      <alignment vertical="center"/>
    </xf>
    <xf numFmtId="164" fontId="6" fillId="13" borderId="6" xfId="19" applyNumberFormat="1" applyBorder="1" applyAlignment="1">
      <alignment vertical="center"/>
    </xf>
    <xf numFmtId="164" fontId="6" fillId="14" borderId="11" xfId="20" applyNumberFormat="1" applyBorder="1" applyAlignment="1">
      <alignment vertical="center"/>
    </xf>
    <xf numFmtId="164" fontId="6" fillId="14" borderId="30" xfId="20" applyNumberFormat="1" applyBorder="1" applyAlignment="1">
      <alignment vertical="center"/>
    </xf>
    <xf numFmtId="164" fontId="6" fillId="14" borderId="25" xfId="20" applyNumberFormat="1" applyBorder="1"/>
    <xf numFmtId="164" fontId="6" fillId="13" borderId="25" xfId="19" applyNumberFormat="1" applyBorder="1"/>
    <xf numFmtId="164" fontId="6" fillId="13" borderId="24" xfId="19" applyNumberFormat="1" applyBorder="1" applyAlignment="1">
      <alignment vertical="center"/>
    </xf>
    <xf numFmtId="164" fontId="6" fillId="10" borderId="24" xfId="16" applyNumberFormat="1" applyBorder="1" applyAlignment="1">
      <alignment vertical="center"/>
    </xf>
    <xf numFmtId="164" fontId="6" fillId="10" borderId="25" xfId="16" applyNumberFormat="1" applyBorder="1"/>
    <xf numFmtId="164" fontId="6" fillId="12" borderId="25" xfId="18" applyNumberFormat="1" applyBorder="1"/>
    <xf numFmtId="164" fontId="6" fillId="12" borderId="24" xfId="18" applyNumberFormat="1" applyBorder="1" applyAlignment="1">
      <alignment vertical="center"/>
    </xf>
    <xf numFmtId="1" fontId="6" fillId="15" borderId="20" xfId="21" applyNumberFormat="1" applyBorder="1"/>
    <xf numFmtId="164" fontId="6" fillId="15" borderId="6" xfId="21" applyNumberFormat="1" applyBorder="1" applyAlignment="1">
      <alignment vertical="center"/>
    </xf>
    <xf numFmtId="164" fontId="6" fillId="15" borderId="20" xfId="21" applyNumberFormat="1" applyBorder="1" applyAlignment="1">
      <alignment vertical="center"/>
    </xf>
    <xf numFmtId="164" fontId="6" fillId="15" borderId="10" xfId="21" applyNumberFormat="1" applyBorder="1"/>
    <xf numFmtId="164" fontId="6" fillId="15" borderId="7" xfId="21" applyNumberFormat="1" applyBorder="1"/>
    <xf numFmtId="0" fontId="6" fillId="15" borderId="7" xfId="21" applyBorder="1"/>
    <xf numFmtId="2" fontId="6" fillId="15" borderId="7" xfId="21" applyNumberFormat="1" applyBorder="1"/>
    <xf numFmtId="164" fontId="5" fillId="5" borderId="12" xfId="0" applyNumberFormat="1" applyFont="1" applyFill="1" applyBorder="1" applyAlignment="1">
      <alignment horizontal="right"/>
    </xf>
    <xf numFmtId="164" fontId="6" fillId="15" borderId="3" xfId="21" applyNumberFormat="1" applyBorder="1"/>
    <xf numFmtId="0" fontId="6" fillId="15" borderId="18" xfId="21" applyBorder="1" applyAlignment="1">
      <alignment vertical="center" wrapText="1"/>
    </xf>
    <xf numFmtId="164" fontId="2" fillId="2" borderId="4" xfId="1" applyNumberFormat="1" applyBorder="1"/>
    <xf numFmtId="164" fontId="2" fillId="2" borderId="20" xfId="1" applyNumberFormat="1" applyBorder="1"/>
    <xf numFmtId="164" fontId="7" fillId="6" borderId="20" xfId="3" applyNumberFormat="1" applyBorder="1"/>
    <xf numFmtId="0" fontId="0" fillId="8" borderId="10" xfId="0" applyFill="1" applyBorder="1"/>
    <xf numFmtId="164" fontId="17" fillId="6" borderId="24" xfId="3" applyNumberFormat="1" applyFont="1" applyBorder="1" applyAlignment="1">
      <alignment vertical="center"/>
    </xf>
    <xf numFmtId="164" fontId="21" fillId="15" borderId="25" xfId="21" applyNumberFormat="1" applyFont="1" applyBorder="1"/>
    <xf numFmtId="164" fontId="17" fillId="6" borderId="25" xfId="3" applyNumberFormat="1" applyFont="1" applyBorder="1"/>
    <xf numFmtId="9" fontId="0" fillId="4" borderId="7" xfId="0" applyNumberForma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0" fontId="19" fillId="9" borderId="31" xfId="14" applyFont="1" applyBorder="1" applyAlignment="1">
      <alignment vertical="center" wrapText="1"/>
    </xf>
    <xf numFmtId="0" fontId="22" fillId="3" borderId="31" xfId="2" applyFont="1" applyBorder="1"/>
    <xf numFmtId="164" fontId="21" fillId="15" borderId="24" xfId="21" applyNumberFormat="1" applyFont="1" applyBorder="1" applyAlignment="1">
      <alignment vertical="center"/>
    </xf>
    <xf numFmtId="0" fontId="7" fillId="6" borderId="7" xfId="3" applyBorder="1"/>
    <xf numFmtId="0" fontId="0" fillId="5" borderId="4" xfId="0" applyFill="1" applyBorder="1"/>
    <xf numFmtId="0" fontId="3" fillId="3" borderId="32" xfId="2" applyBorder="1"/>
    <xf numFmtId="0" fontId="23" fillId="3" borderId="22" xfId="2" applyFont="1" applyBorder="1"/>
    <xf numFmtId="164" fontId="6" fillId="10" borderId="7" xfId="16" applyNumberFormat="1" applyBorder="1"/>
    <xf numFmtId="164" fontId="6" fillId="17" borderId="8" xfId="23" applyNumberFormat="1" applyBorder="1"/>
    <xf numFmtId="164" fontId="6" fillId="13" borderId="7" xfId="19" applyNumberFormat="1" applyBorder="1"/>
    <xf numFmtId="164" fontId="6" fillId="16" borderId="7" xfId="22" applyNumberFormat="1" applyBorder="1"/>
    <xf numFmtId="2" fontId="5" fillId="5" borderId="6" xfId="0" applyNumberFormat="1" applyFont="1" applyFill="1" applyBorder="1"/>
    <xf numFmtId="0" fontId="16" fillId="9" borderId="34" xfId="14" applyFont="1" applyBorder="1"/>
    <xf numFmtId="0" fontId="16" fillId="9" borderId="35" xfId="14" applyFont="1" applyBorder="1"/>
    <xf numFmtId="0" fontId="3" fillId="3" borderId="33" xfId="2" applyBorder="1"/>
    <xf numFmtId="0" fontId="3" fillId="3" borderId="35" xfId="2" applyBorder="1"/>
    <xf numFmtId="2" fontId="3" fillId="3" borderId="19" xfId="2" applyNumberFormat="1" applyBorder="1"/>
    <xf numFmtId="2" fontId="3" fillId="3" borderId="22" xfId="2" applyNumberFormat="1" applyBorder="1"/>
    <xf numFmtId="9" fontId="15" fillId="9" borderId="22" xfId="14" applyNumberFormat="1" applyFont="1" applyBorder="1"/>
    <xf numFmtId="1" fontId="2" fillId="2" borderId="36" xfId="1" applyNumberFormat="1" applyBorder="1"/>
    <xf numFmtId="9" fontId="0" fillId="4" borderId="13" xfId="0" applyNumberFormat="1" applyFill="1" applyBorder="1" applyAlignment="1">
      <alignment horizontal="center" vertical="center"/>
    </xf>
    <xf numFmtId="9" fontId="24" fillId="9" borderId="37" xfId="14" applyNumberFormat="1" applyFont="1" applyBorder="1"/>
    <xf numFmtId="9" fontId="24" fillId="9" borderId="38" xfId="14" applyNumberFormat="1" applyFont="1" applyBorder="1"/>
    <xf numFmtId="0" fontId="5" fillId="5" borderId="4" xfId="0" applyFont="1" applyFill="1" applyBorder="1"/>
    <xf numFmtId="2" fontId="0" fillId="8" borderId="0" xfId="0" applyNumberFormat="1" applyFill="1"/>
    <xf numFmtId="0" fontId="0" fillId="8" borderId="0" xfId="0" applyFill="1" applyAlignment="1">
      <alignment horizontal="center" vertical="center"/>
    </xf>
    <xf numFmtId="0" fontId="1" fillId="8" borderId="0" xfId="0" applyFont="1" applyFill="1"/>
    <xf numFmtId="0" fontId="0" fillId="8" borderId="3" xfId="0" applyFill="1" applyBorder="1"/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left"/>
    </xf>
    <xf numFmtId="2" fontId="0" fillId="8" borderId="7" xfId="0" applyNumberFormat="1" applyFill="1" applyBorder="1"/>
    <xf numFmtId="0" fontId="0" fillId="8" borderId="7" xfId="0" applyFill="1" applyBorder="1" applyAlignment="1">
      <alignment wrapText="1"/>
    </xf>
    <xf numFmtId="2" fontId="0" fillId="8" borderId="3" xfId="0" applyNumberFormat="1" applyFill="1" applyBorder="1"/>
    <xf numFmtId="0" fontId="0" fillId="8" borderId="39" xfId="0" applyFill="1" applyBorder="1"/>
    <xf numFmtId="2" fontId="0" fillId="8" borderId="10" xfId="0" applyNumberFormat="1" applyFill="1" applyBorder="1"/>
    <xf numFmtId="0" fontId="0" fillId="8" borderId="3" xfId="0" applyFill="1" applyBorder="1" applyAlignment="1">
      <alignment wrapText="1"/>
    </xf>
    <xf numFmtId="0" fontId="0" fillId="8" borderId="10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5" fillId="8" borderId="39" xfId="0" applyFont="1" applyFill="1" applyBorder="1"/>
    <xf numFmtId="0" fontId="25" fillId="8" borderId="17" xfId="0" applyFont="1" applyFill="1" applyBorder="1"/>
    <xf numFmtId="0" fontId="25" fillId="8" borderId="39" xfId="0" applyFont="1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14" fillId="8" borderId="3" xfId="17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14" fillId="8" borderId="7" xfId="17" applyFill="1" applyBorder="1" applyAlignment="1">
      <alignment horizontal="center" wrapText="1"/>
    </xf>
    <xf numFmtId="0" fontId="13" fillId="8" borderId="0" xfId="15" applyFill="1" applyBorder="1"/>
    <xf numFmtId="0" fontId="0" fillId="8" borderId="40" xfId="0" applyFill="1" applyBorder="1"/>
    <xf numFmtId="0" fontId="0" fillId="8" borderId="41" xfId="0" applyFill="1" applyBorder="1"/>
    <xf numFmtId="0" fontId="5" fillId="8" borderId="42" xfId="0" applyFont="1" applyFill="1" applyBorder="1"/>
    <xf numFmtId="0" fontId="0" fillId="8" borderId="43" xfId="0" applyFill="1" applyBorder="1"/>
    <xf numFmtId="0" fontId="0" fillId="4" borderId="42" xfId="0" applyFill="1" applyBorder="1"/>
    <xf numFmtId="0" fontId="0" fillId="0" borderId="42" xfId="0" applyBorder="1"/>
    <xf numFmtId="0" fontId="0" fillId="0" borderId="43" xfId="0" applyBorder="1"/>
    <xf numFmtId="0" fontId="0" fillId="8" borderId="42" xfId="0" applyFill="1" applyBorder="1"/>
    <xf numFmtId="0" fontId="0" fillId="8" borderId="47" xfId="0" applyFill="1" applyBorder="1"/>
    <xf numFmtId="0" fontId="28" fillId="4" borderId="46" xfId="0" applyFont="1" applyFill="1" applyBorder="1" applyAlignment="1">
      <alignment vertical="center"/>
    </xf>
    <xf numFmtId="0" fontId="4" fillId="5" borderId="5" xfId="0" applyFont="1" applyFill="1" applyBorder="1"/>
    <xf numFmtId="0" fontId="21" fillId="4" borderId="42" xfId="0" applyFont="1" applyFill="1" applyBorder="1"/>
    <xf numFmtId="0" fontId="21" fillId="4" borderId="44" xfId="0" applyFont="1" applyFill="1" applyBorder="1"/>
    <xf numFmtId="0" fontId="0" fillId="8" borderId="48" xfId="0" applyFill="1" applyBorder="1"/>
    <xf numFmtId="0" fontId="30" fillId="0" borderId="0" xfId="0" applyFont="1"/>
    <xf numFmtId="9" fontId="16" fillId="9" borderId="22" xfId="14" applyNumberFormat="1" applyFont="1" applyBorder="1" applyAlignment="1">
      <alignment horizontal="right"/>
    </xf>
    <xf numFmtId="0" fontId="29" fillId="4" borderId="46" xfId="0" applyFont="1" applyFill="1" applyBorder="1" applyAlignment="1">
      <alignment vertical="center"/>
    </xf>
    <xf numFmtId="0" fontId="16" fillId="9" borderId="51" xfId="14" applyFont="1" applyBorder="1"/>
    <xf numFmtId="0" fontId="29" fillId="5" borderId="21" xfId="0" applyFont="1" applyFill="1" applyBorder="1"/>
    <xf numFmtId="0" fontId="16" fillId="9" borderId="49" xfId="14" applyFont="1" applyBorder="1" applyAlignment="1">
      <alignment horizontal="right"/>
    </xf>
    <xf numFmtId="0" fontId="29" fillId="4" borderId="47" xfId="0" applyFont="1" applyFill="1" applyBorder="1"/>
    <xf numFmtId="0" fontId="16" fillId="9" borderId="2" xfId="14" applyFont="1" applyAlignment="1">
      <alignment horizontal="right"/>
    </xf>
    <xf numFmtId="9" fontId="3" fillId="3" borderId="26" xfId="2" applyNumberFormat="1" applyBorder="1"/>
    <xf numFmtId="9" fontId="13" fillId="3" borderId="26" xfId="15" applyNumberFormat="1" applyFill="1" applyBorder="1"/>
    <xf numFmtId="0" fontId="4" fillId="4" borderId="46" xfId="0" applyFont="1" applyFill="1" applyBorder="1" applyAlignment="1">
      <alignment vertical="center"/>
    </xf>
    <xf numFmtId="9" fontId="16" fillId="9" borderId="52" xfId="14" applyNumberFormat="1" applyFont="1" applyBorder="1" applyAlignment="1">
      <alignment horizontal="right"/>
    </xf>
    <xf numFmtId="0" fontId="18" fillId="4" borderId="50" xfId="0" applyFont="1" applyFill="1" applyBorder="1" applyAlignment="1">
      <alignment vertical="center"/>
    </xf>
    <xf numFmtId="0" fontId="18" fillId="4" borderId="44" xfId="0" applyFont="1" applyFill="1" applyBorder="1" applyAlignment="1">
      <alignment vertical="center"/>
    </xf>
    <xf numFmtId="0" fontId="31" fillId="8" borderId="53" xfId="0" applyFont="1" applyFill="1" applyBorder="1"/>
    <xf numFmtId="9" fontId="2" fillId="2" borderId="5" xfId="1" applyNumberFormat="1" applyBorder="1"/>
    <xf numFmtId="0" fontId="0" fillId="8" borderId="1" xfId="0" applyFill="1" applyBorder="1"/>
    <xf numFmtId="0" fontId="0" fillId="8" borderId="0" xfId="0" applyFill="1" applyAlignment="1">
      <alignment wrapText="1"/>
    </xf>
    <xf numFmtId="1" fontId="0" fillId="8" borderId="0" xfId="0" applyNumberFormat="1" applyFill="1"/>
    <xf numFmtId="0" fontId="32" fillId="8" borderId="0" xfId="0" applyFont="1" applyFill="1"/>
    <xf numFmtId="2" fontId="15" fillId="9" borderId="22" xfId="14" applyNumberFormat="1" applyFont="1" applyBorder="1"/>
    <xf numFmtId="0" fontId="0" fillId="8" borderId="57" xfId="0" applyFill="1" applyBorder="1"/>
    <xf numFmtId="2" fontId="0" fillId="8" borderId="58" xfId="0" applyNumberFormat="1" applyFill="1" applyBorder="1"/>
    <xf numFmtId="0" fontId="0" fillId="8" borderId="58" xfId="0" applyFill="1" applyBorder="1"/>
    <xf numFmtId="0" fontId="14" fillId="8" borderId="46" xfId="17" applyFill="1" applyBorder="1"/>
    <xf numFmtId="0" fontId="8" fillId="20" borderId="56" xfId="0" applyFont="1" applyFill="1" applyBorder="1"/>
    <xf numFmtId="0" fontId="0" fillId="20" borderId="57" xfId="0" applyFill="1" applyBorder="1"/>
    <xf numFmtId="0" fontId="0" fillId="20" borderId="58" xfId="0" applyFill="1" applyBorder="1"/>
    <xf numFmtId="0" fontId="25" fillId="20" borderId="55" xfId="0" applyFont="1" applyFill="1" applyBorder="1"/>
    <xf numFmtId="0" fontId="16" fillId="9" borderId="22" xfId="14" applyFont="1" applyBorder="1"/>
    <xf numFmtId="0" fontId="0" fillId="11" borderId="43" xfId="0" applyFill="1" applyBorder="1"/>
    <xf numFmtId="0" fontId="0" fillId="11" borderId="42" xfId="0" applyFill="1" applyBorder="1"/>
    <xf numFmtId="0" fontId="8" fillId="11" borderId="0" xfId="0" applyFont="1" applyFill="1"/>
    <xf numFmtId="0" fontId="0" fillId="11" borderId="0" xfId="0" applyFill="1"/>
    <xf numFmtId="0" fontId="33" fillId="3" borderId="61" xfId="15" applyFont="1" applyFill="1" applyBorder="1"/>
    <xf numFmtId="164" fontId="17" fillId="6" borderId="3" xfId="3" applyNumberFormat="1" applyFont="1" applyBorder="1"/>
    <xf numFmtId="2" fontId="17" fillId="6" borderId="7" xfId="3" applyNumberFormat="1" applyFont="1" applyBorder="1"/>
    <xf numFmtId="164" fontId="17" fillId="6" borderId="7" xfId="3" applyNumberFormat="1" applyFont="1" applyBorder="1"/>
    <xf numFmtId="164" fontId="17" fillId="6" borderId="64" xfId="3" applyNumberFormat="1" applyFont="1" applyBorder="1"/>
    <xf numFmtId="0" fontId="4" fillId="4" borderId="65" xfId="0" applyFont="1" applyFill="1" applyBorder="1"/>
    <xf numFmtId="0" fontId="4" fillId="4" borderId="59" xfId="0" applyFont="1" applyFill="1" applyBorder="1"/>
    <xf numFmtId="0" fontId="5" fillId="4" borderId="42" xfId="0" applyFont="1" applyFill="1" applyBorder="1"/>
    <xf numFmtId="9" fontId="0" fillId="4" borderId="0" xfId="0" applyNumberFormat="1" applyFill="1" applyAlignment="1">
      <alignment horizontal="center" vertical="center"/>
    </xf>
    <xf numFmtId="0" fontId="0" fillId="4" borderId="58" xfId="0" applyFill="1" applyBorder="1"/>
    <xf numFmtId="0" fontId="0" fillId="4" borderId="42" xfId="0" applyFill="1" applyBorder="1" applyAlignment="1">
      <alignment vertical="center"/>
    </xf>
    <xf numFmtId="9" fontId="3" fillId="3" borderId="2" xfId="2" applyNumberFormat="1"/>
    <xf numFmtId="0" fontId="0" fillId="5" borderId="58" xfId="0" applyFill="1" applyBorder="1"/>
    <xf numFmtId="0" fontId="0" fillId="4" borderId="66" xfId="0" applyFill="1" applyBorder="1" applyAlignment="1">
      <alignment vertical="center"/>
    </xf>
    <xf numFmtId="0" fontId="0" fillId="8" borderId="67" xfId="0" applyFill="1" applyBorder="1"/>
    <xf numFmtId="0" fontId="0" fillId="8" borderId="68" xfId="0" applyFill="1" applyBorder="1"/>
    <xf numFmtId="0" fontId="5" fillId="4" borderId="46" xfId="0" applyFont="1" applyFill="1" applyBorder="1" applyAlignment="1">
      <alignment vertical="center"/>
    </xf>
    <xf numFmtId="0" fontId="0" fillId="0" borderId="69" xfId="0" applyBorder="1"/>
    <xf numFmtId="0" fontId="0" fillId="8" borderId="0" xfId="0" applyFill="1" applyAlignment="1">
      <alignment vertical="center"/>
    </xf>
    <xf numFmtId="0" fontId="8" fillId="4" borderId="57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2" fontId="3" fillId="3" borderId="2" xfId="2" applyNumberFormat="1"/>
    <xf numFmtId="0" fontId="0" fillId="4" borderId="66" xfId="0" applyFill="1" applyBorder="1"/>
    <xf numFmtId="0" fontId="8" fillId="4" borderId="57" xfId="0" applyFont="1" applyFill="1" applyBorder="1"/>
    <xf numFmtId="0" fontId="5" fillId="4" borderId="46" xfId="0" applyFont="1" applyFill="1" applyBorder="1"/>
    <xf numFmtId="0" fontId="0" fillId="4" borderId="70" xfId="0" applyFill="1" applyBorder="1"/>
    <xf numFmtId="0" fontId="0" fillId="4" borderId="57" xfId="0" applyFill="1" applyBorder="1"/>
    <xf numFmtId="164" fontId="0" fillId="8" borderId="0" xfId="0" applyNumberFormat="1" applyFill="1" applyAlignment="1">
      <alignment vertical="center"/>
    </xf>
    <xf numFmtId="0" fontId="4" fillId="4" borderId="71" xfId="0" applyFont="1" applyFill="1" applyBorder="1"/>
    <xf numFmtId="0" fontId="5" fillId="4" borderId="57" xfId="0" applyFont="1" applyFill="1" applyBorder="1"/>
    <xf numFmtId="0" fontId="4" fillId="4" borderId="72" xfId="0" applyFont="1" applyFill="1" applyBorder="1"/>
    <xf numFmtId="0" fontId="0" fillId="4" borderId="73" xfId="0" applyFill="1" applyBorder="1"/>
    <xf numFmtId="164" fontId="0" fillId="8" borderId="0" xfId="0" applyNumberFormat="1" applyFill="1"/>
    <xf numFmtId="164" fontId="0" fillId="8" borderId="43" xfId="0" applyNumberFormat="1" applyFill="1" applyBorder="1"/>
    <xf numFmtId="164" fontId="0" fillId="0" borderId="58" xfId="0" applyNumberFormat="1" applyBorder="1"/>
    <xf numFmtId="0" fontId="0" fillId="4" borderId="57" xfId="0" applyFill="1" applyBorder="1" applyAlignment="1">
      <alignment vertical="center"/>
    </xf>
    <xf numFmtId="0" fontId="5" fillId="4" borderId="70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5" fillId="4" borderId="71" xfId="0" applyFont="1" applyFill="1" applyBorder="1" applyAlignment="1">
      <alignment vertical="center"/>
    </xf>
    <xf numFmtId="164" fontId="5" fillId="5" borderId="58" xfId="0" applyNumberFormat="1" applyFont="1" applyFill="1" applyBorder="1"/>
    <xf numFmtId="0" fontId="0" fillId="4" borderId="44" xfId="0" applyFill="1" applyBorder="1" applyAlignment="1">
      <alignment vertical="center"/>
    </xf>
    <xf numFmtId="0" fontId="3" fillId="3" borderId="2" xfId="2"/>
    <xf numFmtId="164" fontId="0" fillId="0" borderId="0" xfId="0" applyNumberFormat="1"/>
    <xf numFmtId="164" fontId="0" fillId="0" borderId="43" xfId="0" applyNumberFormat="1" applyBorder="1"/>
    <xf numFmtId="0" fontId="0" fillId="4" borderId="71" xfId="0" applyFill="1" applyBorder="1" applyAlignment="1">
      <alignment vertical="center"/>
    </xf>
    <xf numFmtId="164" fontId="0" fillId="4" borderId="73" xfId="0" applyNumberFormat="1" applyFill="1" applyBorder="1"/>
    <xf numFmtId="164" fontId="0" fillId="5" borderId="58" xfId="0" applyNumberFormat="1" applyFill="1" applyBorder="1"/>
    <xf numFmtId="0" fontId="5" fillId="4" borderId="50" xfId="0" applyFont="1" applyFill="1" applyBorder="1" applyAlignment="1">
      <alignment vertical="center"/>
    </xf>
    <xf numFmtId="0" fontId="5" fillId="4" borderId="57" xfId="0" applyFont="1" applyFill="1" applyBorder="1" applyAlignment="1">
      <alignment vertical="center"/>
    </xf>
    <xf numFmtId="0" fontId="4" fillId="4" borderId="42" xfId="0" applyFont="1" applyFill="1" applyBorder="1"/>
    <xf numFmtId="0" fontId="5" fillId="4" borderId="42" xfId="0" applyFont="1" applyFill="1" applyBorder="1" applyAlignment="1">
      <alignment vertical="center"/>
    </xf>
    <xf numFmtId="0" fontId="20" fillId="4" borderId="74" xfId="0" applyFont="1" applyFill="1" applyBorder="1" applyAlignment="1">
      <alignment vertical="center"/>
    </xf>
    <xf numFmtId="0" fontId="20" fillId="5" borderId="75" xfId="0" applyFont="1" applyFill="1" applyBorder="1"/>
    <xf numFmtId="164" fontId="11" fillId="14" borderId="39" xfId="20" applyNumberFormat="1" applyFont="1" applyBorder="1"/>
    <xf numFmtId="164" fontId="11" fillId="13" borderId="39" xfId="19" applyNumberFormat="1" applyFont="1" applyBorder="1"/>
    <xf numFmtId="164" fontId="11" fillId="10" borderId="39" xfId="16" applyNumberFormat="1" applyFont="1" applyBorder="1"/>
    <xf numFmtId="164" fontId="11" fillId="12" borderId="76" xfId="18" applyNumberFormat="1" applyFont="1" applyBorder="1"/>
    <xf numFmtId="0" fontId="18" fillId="11" borderId="45" xfId="0" applyFont="1" applyFill="1" applyBorder="1"/>
    <xf numFmtId="0" fontId="18" fillId="11" borderId="56" xfId="0" applyFont="1" applyFill="1" applyBorder="1"/>
    <xf numFmtId="0" fontId="26" fillId="21" borderId="22" xfId="0" applyFont="1" applyFill="1" applyBorder="1"/>
    <xf numFmtId="164" fontId="21" fillId="15" borderId="22" xfId="21" applyNumberFormat="1" applyFont="1" applyBorder="1"/>
    <xf numFmtId="0" fontId="18" fillId="11" borderId="27" xfId="0" applyFont="1" applyFill="1" applyBorder="1"/>
    <xf numFmtId="0" fontId="18" fillId="11" borderId="53" xfId="0" applyFont="1" applyFill="1" applyBorder="1"/>
    <xf numFmtId="0" fontId="18" fillId="11" borderId="64" xfId="0" applyFont="1" applyFill="1" applyBorder="1"/>
    <xf numFmtId="0" fontId="18" fillId="11" borderId="44" xfId="0" applyFont="1" applyFill="1" applyBorder="1"/>
    <xf numFmtId="0" fontId="18" fillId="11" borderId="7" xfId="0" applyFont="1" applyFill="1" applyBorder="1"/>
    <xf numFmtId="0" fontId="18" fillId="11" borderId="58" xfId="0" applyFont="1" applyFill="1" applyBorder="1"/>
    <xf numFmtId="0" fontId="18" fillId="11" borderId="43" xfId="0" applyFont="1" applyFill="1" applyBorder="1"/>
    <xf numFmtId="0" fontId="18" fillId="11" borderId="42" xfId="0" applyFont="1" applyFill="1" applyBorder="1"/>
    <xf numFmtId="0" fontId="21" fillId="11" borderId="0" xfId="0" applyFont="1" applyFill="1"/>
    <xf numFmtId="0" fontId="18" fillId="11" borderId="0" xfId="0" applyFont="1" applyFill="1"/>
    <xf numFmtId="0" fontId="18" fillId="11" borderId="60" xfId="0" applyFont="1" applyFill="1" applyBorder="1"/>
    <xf numFmtId="0" fontId="18" fillId="11" borderId="62" xfId="0" applyFont="1" applyFill="1" applyBorder="1"/>
    <xf numFmtId="0" fontId="18" fillId="11" borderId="63" xfId="0" applyFont="1" applyFill="1" applyBorder="1"/>
    <xf numFmtId="0" fontId="35" fillId="8" borderId="17" xfId="0" applyFont="1" applyFill="1" applyBorder="1"/>
    <xf numFmtId="0" fontId="3" fillId="3" borderId="77" xfId="2" applyBorder="1"/>
    <xf numFmtId="9" fontId="3" fillId="3" borderId="77" xfId="2" applyNumberFormat="1" applyBorder="1"/>
    <xf numFmtId="0" fontId="36" fillId="8" borderId="7" xfId="0" applyFont="1" applyFill="1" applyBorder="1"/>
    <xf numFmtId="0" fontId="21" fillId="18" borderId="20" xfId="0" applyFont="1" applyFill="1" applyBorder="1" applyAlignment="1">
      <alignment horizontal="center" vertical="center"/>
    </xf>
    <xf numFmtId="9" fontId="16" fillId="9" borderId="78" xfId="14" applyNumberFormat="1" applyFont="1" applyBorder="1" applyAlignment="1">
      <alignment horizontal="right"/>
    </xf>
    <xf numFmtId="0" fontId="34" fillId="0" borderId="43" xfId="0" applyFont="1" applyBorder="1" applyAlignment="1">
      <alignment wrapText="1"/>
    </xf>
    <xf numFmtId="0" fontId="29" fillId="8" borderId="0" xfId="0" applyFont="1" applyFill="1"/>
    <xf numFmtId="0" fontId="37" fillId="8" borderId="0" xfId="0" applyFont="1" applyFill="1"/>
    <xf numFmtId="0" fontId="29" fillId="4" borderId="33" xfId="0" applyFont="1" applyFill="1" applyBorder="1"/>
    <xf numFmtId="0" fontId="29" fillId="4" borderId="34" xfId="0" applyFont="1" applyFill="1" applyBorder="1"/>
    <xf numFmtId="0" fontId="39" fillId="8" borderId="42" xfId="0" applyFont="1" applyFill="1" applyBorder="1"/>
    <xf numFmtId="0" fontId="4" fillId="5" borderId="68" xfId="0" applyFont="1" applyFill="1" applyBorder="1"/>
    <xf numFmtId="0" fontId="0" fillId="4" borderId="79" xfId="0" applyFill="1" applyBorder="1"/>
    <xf numFmtId="0" fontId="21" fillId="18" borderId="69" xfId="0" applyFont="1" applyFill="1" applyBorder="1" applyAlignment="1">
      <alignment horizontal="center" wrapText="1"/>
    </xf>
    <xf numFmtId="164" fontId="38" fillId="2" borderId="22" xfId="1" applyNumberFormat="1" applyFont="1" applyBorder="1"/>
    <xf numFmtId="0" fontId="14" fillId="8" borderId="0" xfId="17" applyFill="1"/>
    <xf numFmtId="0" fontId="26" fillId="21" borderId="27" xfId="0" applyFont="1" applyFill="1" applyBorder="1" applyAlignment="1">
      <alignment horizontal="center"/>
    </xf>
    <xf numFmtId="0" fontId="26" fillId="21" borderId="54" xfId="0" applyFont="1" applyFill="1" applyBorder="1" applyAlignment="1">
      <alignment horizontal="center"/>
    </xf>
    <xf numFmtId="0" fontId="21" fillId="0" borderId="81" xfId="0" applyFont="1" applyBorder="1"/>
    <xf numFmtId="0" fontId="0" fillId="8" borderId="82" xfId="0" applyFill="1" applyBorder="1"/>
    <xf numFmtId="0" fontId="0" fillId="8" borderId="83" xfId="0" applyFill="1" applyBorder="1"/>
    <xf numFmtId="0" fontId="18" fillId="8" borderId="84" xfId="0" applyFont="1" applyFill="1" applyBorder="1"/>
    <xf numFmtId="0" fontId="15" fillId="9" borderId="80" xfId="14" applyFont="1" applyBorder="1"/>
    <xf numFmtId="0" fontId="18" fillId="11" borderId="85" xfId="0" applyFont="1" applyFill="1" applyBorder="1"/>
    <xf numFmtId="0" fontId="8" fillId="8" borderId="0" xfId="0" applyFont="1" applyFill="1"/>
    <xf numFmtId="0" fontId="40" fillId="0" borderId="0" xfId="0" applyFont="1" applyAlignment="1">
      <alignment vertical="center" wrapText="1"/>
    </xf>
    <xf numFmtId="0" fontId="14" fillId="0" borderId="0" xfId="17"/>
    <xf numFmtId="0" fontId="14" fillId="8" borderId="0" xfId="24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58" xfId="0" applyNumberFormat="1" applyFill="1" applyBorder="1" applyAlignment="1">
      <alignment horizontal="center"/>
    </xf>
    <xf numFmtId="0" fontId="27" fillId="19" borderId="27" xfId="0" applyFont="1" applyFill="1" applyBorder="1" applyAlignment="1">
      <alignment horizontal="center"/>
    </xf>
    <xf numFmtId="0" fontId="27" fillId="19" borderId="54" xfId="0" applyFont="1" applyFill="1" applyBorder="1" applyAlignment="1">
      <alignment horizontal="center"/>
    </xf>
    <xf numFmtId="0" fontId="0" fillId="8" borderId="0" xfId="0" applyFill="1" applyAlignment="1">
      <alignment horizontal="center" wrapText="1"/>
    </xf>
    <xf numFmtId="0" fontId="0" fillId="8" borderId="3" xfId="0" applyFill="1" applyBorder="1" applyAlignment="1">
      <alignment horizontal="center" wrapText="1"/>
    </xf>
  </cellXfs>
  <cellStyles count="25">
    <cellStyle name="20 % – uthevingsfarge 4" xfId="16" builtinId="42"/>
    <cellStyle name="20 % – uthevingsfarge 5" xfId="19" builtinId="46"/>
    <cellStyle name="40 % – uthevingsfarge 1" xfId="22" builtinId="31"/>
    <cellStyle name="40 % – uthevingsfarge 4" xfId="18" builtinId="43"/>
    <cellStyle name="40 % – uthevingsfarge 5" xfId="20" builtinId="47"/>
    <cellStyle name="60 % – uthevingsfarge 4" xfId="23" builtinId="44"/>
    <cellStyle name="60 % – uthevingsfarge 6" xfId="21" builtinId="52"/>
    <cellStyle name="Beregning" xfId="2" builtinId="22"/>
    <cellStyle name="Comma 2" xfId="13" xr:uid="{8372F355-6BC9-4998-A090-3276E314287F}"/>
    <cellStyle name="Forklarende tekst" xfId="15" builtinId="53"/>
    <cellStyle name="God" xfId="3" builtinId="26"/>
    <cellStyle name="Hyperkobling" xfId="17" builtinId="8"/>
    <cellStyle name="Hyperlink" xfId="24" xr:uid="{00000000-000B-0000-0000-000008000000}"/>
    <cellStyle name="Inndata" xfId="14" builtinId="20"/>
    <cellStyle name="Komma 2" xfId="11" xr:uid="{5DE9395F-101F-426A-A676-45F893830E93}"/>
    <cellStyle name="Kontrollcelle" xfId="4" builtinId="23"/>
    <cellStyle name="Normal" xfId="0" builtinId="0"/>
    <cellStyle name="Normal 10 2" xfId="9" xr:uid="{92DFE0E5-9639-4D15-A075-9CB6572DB217}"/>
    <cellStyle name="Normal 10 2 2" xfId="10" xr:uid="{EC9FFA49-3A9A-4A88-9C68-2D2B32ADAA8E}"/>
    <cellStyle name="Normal 2" xfId="5" xr:uid="{C9AE8CFD-88BD-4049-AF23-F454DA3BACBC}"/>
    <cellStyle name="Normal 2 11" xfId="7" xr:uid="{229A2B04-BC50-4CE7-A7B2-F243E2B022D0}"/>
    <cellStyle name="Normal 2 2 4" xfId="8" xr:uid="{D2B36CD1-8A65-4258-8BF0-F7FC7D4ABC3C}"/>
    <cellStyle name="Nøytral" xfId="1" builtinId="28"/>
    <cellStyle name="Separador de milhares 2" xfId="6" xr:uid="{7EBCA694-42A2-40E8-A47D-70F65A4F38CC}"/>
    <cellStyle name="Separador de milhares 2 2" xfId="12" xr:uid="{D04448B3-B6E0-4693-A4D9-2882D3A3876F}"/>
  </cellStyles>
  <dxfs count="0"/>
  <tableStyles count="1" defaultTableStyle="TableStyleMedium2" defaultPivotStyle="PivotStyleMedium9">
    <tableStyle name="Tabellstil 1" pivot="0" count="0" xr9:uid="{F848AC23-C0D4-47CB-ADBE-18F57C4222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05191093240975E-2"/>
          <c:y val="8.7254643736408052E-2"/>
          <c:w val="0.55179883952159103"/>
          <c:h val="0.583277239043795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756-432C-AB72-07E19FFD87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00-45C9-B43D-D5EAB9F822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00-45C9-B43D-D5EAB9F822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100-45C9-B43D-D5EAB9F822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756-432C-AB72-07E19FFD87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'Calculation tool'!$F$7:$F$11</c:f>
              <c:strCache>
                <c:ptCount val="5"/>
                <c:pt idx="0">
                  <c:v>A1  Primary energy production</c:v>
                </c:pt>
                <c:pt idx="1">
                  <c:v>A3  Ammonia synthesis</c:v>
                </c:pt>
                <c:pt idx="2">
                  <c:v>A4  Transport and distribution</c:v>
                </c:pt>
                <c:pt idx="3">
                  <c:v>A4  Storage and bunkering</c:v>
                </c:pt>
                <c:pt idx="4">
                  <c:v>B4  Propulsion </c:v>
                </c:pt>
              </c:strCache>
            </c:strRef>
          </c:cat>
          <c:val>
            <c:numRef>
              <c:f>'Calculation tool'!$G$7:$G$11</c:f>
              <c:numCache>
                <c:formatCode>0,0</c:formatCode>
                <c:ptCount val="5"/>
                <c:pt idx="0">
                  <c:v>34.759003831417623</c:v>
                </c:pt>
                <c:pt idx="1">
                  <c:v>3.4482758620689657</c:v>
                </c:pt>
                <c:pt idx="2">
                  <c:v>7.2536398467432965</c:v>
                </c:pt>
                <c:pt idx="3" formatCode="0,00">
                  <c:v>0.26053639846743298</c:v>
                </c:pt>
                <c:pt idx="4">
                  <c:v>30.480970625798221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6-432C-AB72-07E19FFD87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64136898703638"/>
          <c:y val="0.54981770948612285"/>
          <c:w val="0.36435863101296367"/>
          <c:h val="0.450028896933694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svg"/><Relationship Id="rId7" Type="http://schemas.openxmlformats.org/officeDocument/2006/relationships/image" Target="../media/image8.sv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123826</xdr:colOff>
      <xdr:row>2</xdr:row>
      <xdr:rowOff>58507</xdr:rowOff>
    </xdr:from>
    <xdr:to>
      <xdr:col>15</xdr:col>
      <xdr:colOff>1317171</xdr:colOff>
      <xdr:row>36</xdr:row>
      <xdr:rowOff>190496</xdr:rowOff>
    </xdr:to>
    <xdr:graphicFrame macro="">
      <xdr:nvGraphicFramePr>
        <xdr:cNvPr id="62" name="Diagram 6">
          <a:extLst>
            <a:ext uri="{FF2B5EF4-FFF2-40B4-BE49-F238E27FC236}">
              <a16:creationId xmlns:a16="http://schemas.microsoft.com/office/drawing/2014/main" id="{DD4B2F7F-308F-7B90-D2E1-A4305CDD23B2}"/>
            </a:ext>
            <a:ext uri="{147F2762-F138-4A5C-976F-8EAC2B608ADB}">
              <a16:predDERef xmlns:a16="http://schemas.microsoft.com/office/drawing/2014/main" pred="{DFB93C5E-8F73-42B3-8D07-78A3EBB9B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394604</xdr:colOff>
      <xdr:row>33</xdr:row>
      <xdr:rowOff>72573</xdr:rowOff>
    </xdr:from>
    <xdr:to>
      <xdr:col>14</xdr:col>
      <xdr:colOff>1265462</xdr:colOff>
      <xdr:row>36</xdr:row>
      <xdr:rowOff>114302</xdr:rowOff>
    </xdr:to>
    <xdr:pic>
      <xdr:nvPicPr>
        <xdr:cNvPr id="58" name="Grafikk 8" descr="Cruiseskip kontur">
          <a:extLst>
            <a:ext uri="{FF2B5EF4-FFF2-40B4-BE49-F238E27FC236}">
              <a16:creationId xmlns:a16="http://schemas.microsoft.com/office/drawing/2014/main" id="{57D3904C-E169-88AA-3E31-4CF172F63E96}"/>
            </a:ext>
            <a:ext uri="{147F2762-F138-4A5C-976F-8EAC2B608ADB}">
              <a16:predDERef xmlns:a16="http://schemas.microsoft.com/office/drawing/2014/main" pred="{DD4B2F7F-308F-7B90-D2E1-A4305CDD2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458211" y="7624537"/>
          <a:ext cx="870858" cy="858158"/>
        </a:xfrm>
        <a:prstGeom prst="rect">
          <a:avLst/>
        </a:prstGeom>
      </xdr:spPr>
    </xdr:pic>
    <xdr:clientData/>
  </xdr:twoCellAnchor>
  <xdr:twoCellAnchor>
    <xdr:from>
      <xdr:col>14</xdr:col>
      <xdr:colOff>462642</xdr:colOff>
      <xdr:row>25</xdr:row>
      <xdr:rowOff>125184</xdr:rowOff>
    </xdr:from>
    <xdr:to>
      <xdr:col>14</xdr:col>
      <xdr:colOff>1156607</xdr:colOff>
      <xdr:row>28</xdr:row>
      <xdr:rowOff>264431</xdr:rowOff>
    </xdr:to>
    <xdr:pic>
      <xdr:nvPicPr>
        <xdr:cNvPr id="48" name="Grafikk 10" descr="Fabrikk kontur">
          <a:extLst>
            <a:ext uri="{FF2B5EF4-FFF2-40B4-BE49-F238E27FC236}">
              <a16:creationId xmlns:a16="http://schemas.microsoft.com/office/drawing/2014/main" id="{F9518265-2FE5-C419-11F8-B15380333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9526249" y="5568041"/>
          <a:ext cx="693965" cy="724354"/>
        </a:xfrm>
        <a:prstGeom prst="rect">
          <a:avLst/>
        </a:prstGeom>
      </xdr:spPr>
    </xdr:pic>
    <xdr:clientData/>
  </xdr:twoCellAnchor>
  <xdr:twoCellAnchor>
    <xdr:from>
      <xdr:col>14</xdr:col>
      <xdr:colOff>530674</xdr:colOff>
      <xdr:row>28</xdr:row>
      <xdr:rowOff>249463</xdr:rowOff>
    </xdr:from>
    <xdr:to>
      <xdr:col>14</xdr:col>
      <xdr:colOff>1240967</xdr:colOff>
      <xdr:row>30</xdr:row>
      <xdr:rowOff>322033</xdr:rowOff>
    </xdr:to>
    <xdr:pic>
      <xdr:nvPicPr>
        <xdr:cNvPr id="47" name="Grafikk 12" descr="Lastebil kontur">
          <a:extLst>
            <a:ext uri="{FF2B5EF4-FFF2-40B4-BE49-F238E27FC236}">
              <a16:creationId xmlns:a16="http://schemas.microsoft.com/office/drawing/2014/main" id="{B60084D8-1A96-A0E5-4F79-921F952D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9594281" y="6277427"/>
          <a:ext cx="710293" cy="698499"/>
        </a:xfrm>
        <a:prstGeom prst="rect">
          <a:avLst/>
        </a:prstGeom>
      </xdr:spPr>
    </xdr:pic>
    <xdr:clientData/>
  </xdr:twoCellAnchor>
  <xdr:twoCellAnchor>
    <xdr:from>
      <xdr:col>14</xdr:col>
      <xdr:colOff>385536</xdr:colOff>
      <xdr:row>30</xdr:row>
      <xdr:rowOff>140606</xdr:rowOff>
    </xdr:from>
    <xdr:to>
      <xdr:col>14</xdr:col>
      <xdr:colOff>1367971</xdr:colOff>
      <xdr:row>33</xdr:row>
      <xdr:rowOff>208642</xdr:rowOff>
    </xdr:to>
    <xdr:pic>
      <xdr:nvPicPr>
        <xdr:cNvPr id="49" name="Bilde 17">
          <a:extLst>
            <a:ext uri="{FF2B5EF4-FFF2-40B4-BE49-F238E27FC236}">
              <a16:creationId xmlns:a16="http://schemas.microsoft.com/office/drawing/2014/main" id="{18129128-676B-5782-7346-8A24D5B1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9143" y="6794499"/>
          <a:ext cx="982435" cy="966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0.53202</cdr:x>
      <cdr:y>0.53965</cdr:y>
    </cdr:from>
    <cdr:to>
      <cdr:x>0.62444</cdr:x>
      <cdr:y>0.63437</cdr:y>
    </cdr:to>
    <cdr:pic>
      <cdr:nvPicPr>
        <cdr:cNvPr id="3" name="Grafikk 2" descr="Oljerigg kontur">
          <a:extLst xmlns:a="http://schemas.openxmlformats.org/drawingml/2006/main">
            <a:ext uri="{FF2B5EF4-FFF2-40B4-BE49-F238E27FC236}">
              <a16:creationId xmlns:a16="http://schemas.microsoft.com/office/drawing/2014/main" id="{6CB8401C-5490-D999-72B9-DFEAB17F1BC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32899" y="4428148"/>
          <a:ext cx="891660" cy="77723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302079</xdr:colOff>
      <xdr:row>30</xdr:row>
      <xdr:rowOff>176893</xdr:rowOff>
    </xdr:from>
    <xdr:to>
      <xdr:col>4</xdr:col>
      <xdr:colOff>884465</xdr:colOff>
      <xdr:row>33</xdr:row>
      <xdr:rowOff>97971</xdr:rowOff>
    </xdr:to>
    <xdr:sp macro="" textlink="">
      <xdr:nvSpPr>
        <xdr:cNvPr id="2" name="Pil: ned 1">
          <a:extLst>
            <a:ext uri="{FF2B5EF4-FFF2-40B4-BE49-F238E27FC236}">
              <a16:creationId xmlns:a16="http://schemas.microsoft.com/office/drawing/2014/main" id="{2ED9C386-4128-43AB-A6DA-871E474F3B7C}"/>
            </a:ext>
          </a:extLst>
        </xdr:cNvPr>
        <xdr:cNvSpPr/>
      </xdr:nvSpPr>
      <xdr:spPr>
        <a:xfrm>
          <a:off x="14580054" y="16683718"/>
          <a:ext cx="582386" cy="492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263979</xdr:colOff>
      <xdr:row>56</xdr:row>
      <xdr:rowOff>138793</xdr:rowOff>
    </xdr:from>
    <xdr:to>
      <xdr:col>4</xdr:col>
      <xdr:colOff>846365</xdr:colOff>
      <xdr:row>59</xdr:row>
      <xdr:rowOff>59871</xdr:rowOff>
    </xdr:to>
    <xdr:sp macro="" textlink="">
      <xdr:nvSpPr>
        <xdr:cNvPr id="3" name="Pil: ned 2">
          <a:extLst>
            <a:ext uri="{FF2B5EF4-FFF2-40B4-BE49-F238E27FC236}">
              <a16:creationId xmlns:a16="http://schemas.microsoft.com/office/drawing/2014/main" id="{5983F4D2-9202-4DBB-BDFC-573D04DF6D47}"/>
            </a:ext>
          </a:extLst>
        </xdr:cNvPr>
        <xdr:cNvSpPr/>
      </xdr:nvSpPr>
      <xdr:spPr>
        <a:xfrm>
          <a:off x="14541954" y="21598618"/>
          <a:ext cx="582386" cy="492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266701</xdr:colOff>
      <xdr:row>81</xdr:row>
      <xdr:rowOff>168730</xdr:rowOff>
    </xdr:from>
    <xdr:to>
      <xdr:col>4</xdr:col>
      <xdr:colOff>849087</xdr:colOff>
      <xdr:row>84</xdr:row>
      <xdr:rowOff>76201</xdr:rowOff>
    </xdr:to>
    <xdr:sp macro="" textlink="">
      <xdr:nvSpPr>
        <xdr:cNvPr id="4" name="Pil: ned 3">
          <a:extLst>
            <a:ext uri="{FF2B5EF4-FFF2-40B4-BE49-F238E27FC236}">
              <a16:creationId xmlns:a16="http://schemas.microsoft.com/office/drawing/2014/main" id="{C091301D-F80D-46D4-839A-F24870648FB3}"/>
            </a:ext>
          </a:extLst>
        </xdr:cNvPr>
        <xdr:cNvSpPr/>
      </xdr:nvSpPr>
      <xdr:spPr>
        <a:xfrm>
          <a:off x="14544676" y="26391055"/>
          <a:ext cx="582386" cy="4789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272143</xdr:colOff>
      <xdr:row>99</xdr:row>
      <xdr:rowOff>68035</xdr:rowOff>
    </xdr:from>
    <xdr:to>
      <xdr:col>4</xdr:col>
      <xdr:colOff>854529</xdr:colOff>
      <xdr:row>101</xdr:row>
      <xdr:rowOff>152399</xdr:rowOff>
    </xdr:to>
    <xdr:sp macro="" textlink="">
      <xdr:nvSpPr>
        <xdr:cNvPr id="5" name="Pil: ned 4">
          <a:extLst>
            <a:ext uri="{FF2B5EF4-FFF2-40B4-BE49-F238E27FC236}">
              <a16:creationId xmlns:a16="http://schemas.microsoft.com/office/drawing/2014/main" id="{A61464CB-0C1E-43F8-A033-EB5C4D5AE574}"/>
            </a:ext>
          </a:extLst>
        </xdr:cNvPr>
        <xdr:cNvSpPr/>
      </xdr:nvSpPr>
      <xdr:spPr>
        <a:xfrm>
          <a:off x="14550118" y="29719360"/>
          <a:ext cx="582386" cy="4844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electricitymap.org/ma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16/j.ijhydene.2020.09.017" TargetMode="External"/><Relationship Id="rId2" Type="http://schemas.openxmlformats.org/officeDocument/2006/relationships/hyperlink" Target="https://doi.org/10.1016/j.biombioe.2015.08.019" TargetMode="External"/><Relationship Id="rId1" Type="http://schemas.openxmlformats.org/officeDocument/2006/relationships/hyperlink" Target="https://app.electricitymap.org/ma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6481-14D7-4506-AF7F-EB4DE62CE874}">
  <dimension ref="A2:W178"/>
  <sheetViews>
    <sheetView tabSelected="1" zoomScale="70" zoomScaleNormal="70" workbookViewId="0">
      <selection activeCell="F45" sqref="F45"/>
    </sheetView>
  </sheetViews>
  <sheetFormatPr baseColWidth="10" defaultColWidth="11.42578125" defaultRowHeight="15" x14ac:dyDescent="0.25"/>
  <cols>
    <col min="1" max="1" width="11.42578125" style="17"/>
    <col min="2" max="2" width="62.7109375" customWidth="1"/>
    <col min="3" max="3" width="20.85546875" customWidth="1"/>
    <col min="4" max="4" width="27.5703125" customWidth="1"/>
    <col min="5" max="5" width="10.5703125" customWidth="1"/>
    <col min="6" max="6" width="48.7109375" customWidth="1"/>
    <col min="7" max="7" width="13.28515625" customWidth="1"/>
    <col min="8" max="8" width="7.140625" customWidth="1"/>
    <col min="9" max="9" width="11.85546875" customWidth="1"/>
    <col min="10" max="10" width="17.28515625" customWidth="1"/>
    <col min="11" max="11" width="5.85546875" customWidth="1"/>
    <col min="12" max="12" width="6" customWidth="1"/>
    <col min="13" max="13" width="14.42578125" customWidth="1"/>
    <col min="14" max="14" width="20.42578125" customWidth="1"/>
    <col min="15" max="15" width="46.42578125" customWidth="1"/>
    <col min="16" max="16" width="20.5703125" customWidth="1"/>
    <col min="17" max="17" width="34.5703125" customWidth="1"/>
    <col min="18" max="18" width="23" customWidth="1"/>
    <col min="19" max="19" width="21.7109375" customWidth="1"/>
    <col min="20" max="20" width="18.7109375" customWidth="1"/>
  </cols>
  <sheetData>
    <row r="2" spans="2:22" ht="15.75" thickBot="1" x14ac:dyDescent="0.3">
      <c r="B2" s="19" t="s">
        <v>0</v>
      </c>
      <c r="C2" s="19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15.75" thickBot="1" x14ac:dyDescent="0.3">
      <c r="B3" s="296"/>
      <c r="C3" s="296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2:22" ht="15.75" thickBot="1" x14ac:dyDescent="0.3">
      <c r="B4" s="17" t="s">
        <v>1</v>
      </c>
      <c r="C4" s="17"/>
      <c r="D4" s="45" t="s">
        <v>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V4" s="17"/>
    </row>
    <row r="5" spans="2:22" ht="20.25" customHeight="1" thickBot="1" x14ac:dyDescent="0.3">
      <c r="B5" s="17" t="s">
        <v>3</v>
      </c>
      <c r="C5" s="17"/>
      <c r="D5" s="101" t="s">
        <v>4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2:22" ht="21.75" customHeight="1" thickBot="1" x14ac:dyDescent="0.4">
      <c r="B6" s="17"/>
      <c r="C6" s="17"/>
      <c r="D6" s="102" t="s">
        <v>5</v>
      </c>
      <c r="E6" s="17"/>
      <c r="F6" s="256" t="s">
        <v>6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2:22" ht="19.5" customHeight="1" x14ac:dyDescent="0.3">
      <c r="B7" s="17" t="s">
        <v>7</v>
      </c>
      <c r="C7" s="17"/>
      <c r="D7" s="91" t="s">
        <v>8</v>
      </c>
      <c r="E7" s="17"/>
      <c r="F7" s="259" t="s">
        <v>9</v>
      </c>
      <c r="G7" s="201">
        <f>Calculations!E41</f>
        <v>34.759003831417623</v>
      </c>
      <c r="H7" s="260" t="s">
        <v>10</v>
      </c>
      <c r="I7" s="25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2" ht="16.5" customHeight="1" thickBot="1" x14ac:dyDescent="0.35">
      <c r="D8" s="20" t="s">
        <v>11</v>
      </c>
      <c r="E8" s="17"/>
      <c r="F8" s="261" t="s">
        <v>12</v>
      </c>
      <c r="G8" s="200">
        <f>Calculations!E53</f>
        <v>3.4482758620689657</v>
      </c>
      <c r="H8" s="262" t="s">
        <v>10</v>
      </c>
      <c r="I8" s="263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2:22" ht="18.75" x14ac:dyDescent="0.3">
      <c r="B9" s="17" t="s">
        <v>13</v>
      </c>
      <c r="C9" s="17"/>
      <c r="D9" s="17"/>
      <c r="E9" s="17"/>
      <c r="F9" s="261" t="s">
        <v>14</v>
      </c>
      <c r="G9" s="200">
        <f>Calculations!E79</f>
        <v>7.2536398467432965</v>
      </c>
      <c r="H9" s="262" t="s">
        <v>10</v>
      </c>
      <c r="I9" s="26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2:22" ht="19.5" thickBot="1" x14ac:dyDescent="0.35">
      <c r="B10" s="18"/>
      <c r="C10" s="18"/>
      <c r="D10" s="18"/>
      <c r="E10" s="17"/>
      <c r="F10" s="261" t="s">
        <v>15</v>
      </c>
      <c r="G10" s="199">
        <f>Calculations!E97</f>
        <v>0.26053639846743298</v>
      </c>
      <c r="H10" s="262" t="s">
        <v>10</v>
      </c>
      <c r="I10" s="26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2:22" ht="19.5" thickBot="1" x14ac:dyDescent="0.35">
      <c r="B11" s="17"/>
      <c r="C11" s="17"/>
      <c r="D11" s="17"/>
      <c r="E11" s="17"/>
      <c r="F11" s="261" t="s">
        <v>16</v>
      </c>
      <c r="G11" s="198">
        <f>Calculations!E122</f>
        <v>30.480970625798221</v>
      </c>
      <c r="H11" s="262" t="s">
        <v>10</v>
      </c>
      <c r="I11" s="26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2:22" ht="21.75" thickBot="1" x14ac:dyDescent="0.4">
      <c r="B12" s="288" t="s">
        <v>17</v>
      </c>
      <c r="C12" s="289"/>
      <c r="D12" s="17"/>
      <c r="E12" s="17"/>
      <c r="F12" s="194"/>
      <c r="G12" s="195"/>
      <c r="H12" s="196"/>
      <c r="I12" s="19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2" ht="19.5" thickBot="1" x14ac:dyDescent="0.35">
      <c r="B13" s="191" t="s">
        <v>18</v>
      </c>
      <c r="C13" s="188" t="s">
        <v>19</v>
      </c>
      <c r="D13" s="17"/>
      <c r="E13" s="17"/>
      <c r="F13" s="258" t="s">
        <v>20</v>
      </c>
      <c r="G13" s="286">
        <f>SUM(G7:G11)</f>
        <v>76.202426564495539</v>
      </c>
      <c r="H13" s="262" t="s">
        <v>10</v>
      </c>
      <c r="I13" s="26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 ht="18.75" x14ac:dyDescent="0.3">
      <c r="B14" s="184" t="s">
        <v>21</v>
      </c>
      <c r="C14" s="185">
        <v>17</v>
      </c>
      <c r="D14" s="17"/>
      <c r="E14" s="17"/>
      <c r="F14" s="265"/>
      <c r="G14" s="266"/>
      <c r="H14" s="267"/>
      <c r="I14" s="26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2" ht="19.5" thickBot="1" x14ac:dyDescent="0.35">
      <c r="B15" s="189" t="s">
        <v>22</v>
      </c>
      <c r="C15" s="190">
        <v>12</v>
      </c>
      <c r="D15" s="17"/>
      <c r="E15" s="17"/>
      <c r="F15" s="268" t="s">
        <v>23</v>
      </c>
      <c r="G15" s="197">
        <f>C30</f>
        <v>120</v>
      </c>
      <c r="H15" s="269" t="s">
        <v>10</v>
      </c>
      <c r="I15" s="27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x14ac:dyDescent="0.25">
      <c r="B16" s="184" t="s">
        <v>24</v>
      </c>
      <c r="C16" s="152">
        <v>52</v>
      </c>
      <c r="E16" s="17"/>
      <c r="F16" s="17"/>
      <c r="G16" s="14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2:22" x14ac:dyDescent="0.25">
      <c r="B17" s="189" t="s">
        <v>25</v>
      </c>
      <c r="C17" s="190">
        <v>8</v>
      </c>
      <c r="D17" s="17"/>
      <c r="E17" s="17"/>
      <c r="F17" s="17"/>
      <c r="G17" s="14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2:22" x14ac:dyDescent="0.25">
      <c r="B18" s="184" t="s">
        <v>26</v>
      </c>
      <c r="C18" s="186">
        <v>15</v>
      </c>
      <c r="D18" s="17"/>
      <c r="E18" s="17"/>
      <c r="F18" s="17"/>
      <c r="G18" s="14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2:22" x14ac:dyDescent="0.25">
      <c r="B19" s="189" t="s">
        <v>27</v>
      </c>
      <c r="C19" s="190">
        <v>25</v>
      </c>
      <c r="D19" s="17"/>
      <c r="E19" s="17"/>
      <c r="F19" s="17"/>
      <c r="G19" s="14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2:22" x14ac:dyDescent="0.25">
      <c r="B20" s="184" t="s">
        <v>28</v>
      </c>
      <c r="C20" s="186">
        <v>20</v>
      </c>
      <c r="D20" s="17"/>
      <c r="E20" s="17"/>
      <c r="F20" s="17"/>
      <c r="G20" s="14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2:22" x14ac:dyDescent="0.25">
      <c r="B21" s="189" t="s">
        <v>29</v>
      </c>
      <c r="C21" s="190">
        <v>980</v>
      </c>
      <c r="D21" s="17"/>
      <c r="E21" s="17"/>
      <c r="F21" s="17"/>
      <c r="G21" s="14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2:22" ht="15.75" thickBot="1" x14ac:dyDescent="0.3">
      <c r="B22" s="187"/>
      <c r="C22" s="162"/>
      <c r="D22" s="17"/>
      <c r="E22" s="17"/>
      <c r="F22" s="17"/>
      <c r="G22" s="14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2:22" x14ac:dyDescent="0.25">
      <c r="D23" s="17"/>
      <c r="E23" s="17"/>
      <c r="F23" s="17"/>
      <c r="G23" s="14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2:22" x14ac:dyDescent="0.25">
      <c r="B24" s="17" t="s">
        <v>30</v>
      </c>
      <c r="C24" s="287" t="s">
        <v>31</v>
      </c>
      <c r="D24" s="17"/>
      <c r="E24" s="17"/>
      <c r="F24" s="17"/>
      <c r="G24" s="14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2:22" x14ac:dyDescent="0.25">
      <c r="B25" s="17"/>
      <c r="C25" s="17"/>
      <c r="D25" s="17"/>
      <c r="E25" s="17"/>
      <c r="F25" s="17"/>
      <c r="G25" s="14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2:22" x14ac:dyDescent="0.25">
      <c r="B26" s="17"/>
      <c r="C26" s="17"/>
      <c r="D26" s="17"/>
      <c r="E26" s="17"/>
      <c r="F26" s="17"/>
      <c r="G26" s="14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2:22" x14ac:dyDescent="0.25">
      <c r="B27" s="17"/>
      <c r="C27" s="17"/>
      <c r="D27" s="17"/>
      <c r="E27" s="17"/>
      <c r="F27" s="17"/>
      <c r="G27" s="14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2:22" ht="15.75" customHeight="1" thickBot="1" x14ac:dyDescent="0.35">
      <c r="B28" s="46"/>
      <c r="C28" s="17"/>
      <c r="D28" s="17"/>
      <c r="E28" s="17"/>
      <c r="F28" s="278" t="str">
        <f>IF(G13&gt;G15,"You did not meet the goal, perhaps something should be changed","")</f>
        <v/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2:22" ht="24" thickBot="1" x14ac:dyDescent="0.4">
      <c r="B29" s="305" t="s">
        <v>32</v>
      </c>
      <c r="C29" s="306"/>
      <c r="D29" s="17"/>
      <c r="E29" s="17"/>
      <c r="F29" s="279" t="str">
        <f>IF(G13&gt;G15,"","It looks like you met the goal, this scenario seems promising!")</f>
        <v>It looks like you met the goal, this scenario seems promising!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2:22" ht="25.5" customHeight="1" thickBot="1" x14ac:dyDescent="0.55000000000000004">
      <c r="B30" s="177" t="s">
        <v>33</v>
      </c>
      <c r="C30" s="192">
        <v>120</v>
      </c>
      <c r="D30" s="255" t="s">
        <v>10</v>
      </c>
      <c r="E30" s="17"/>
      <c r="F30" s="182" t="str">
        <f>IF(C32=C33,"Something is wrong, check that all required fields are correct","")</f>
        <v/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22" ht="27.75" customHeight="1" thickBot="1" x14ac:dyDescent="0.55000000000000004">
      <c r="B31" s="154"/>
      <c r="D31" s="152"/>
      <c r="E31" s="17"/>
      <c r="F31" s="182" t="str">
        <f>IF(C32=C33," and ONE production method is chosen","")</f>
        <v/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2:22" ht="21.75" customHeight="1" thickBot="1" x14ac:dyDescent="0.4">
      <c r="B32" s="280" t="s">
        <v>34</v>
      </c>
      <c r="C32" s="164"/>
      <c r="D32" s="152"/>
      <c r="E32" s="17"/>
      <c r="F32" s="17"/>
      <c r="G32" s="148"/>
      <c r="H32" s="17"/>
      <c r="I32" s="17"/>
      <c r="J32" s="17"/>
      <c r="K32" s="17"/>
      <c r="L32" s="17"/>
      <c r="M32" s="17"/>
      <c r="N32" s="17"/>
      <c r="O32" s="17"/>
      <c r="P32" s="17"/>
      <c r="Q32" s="17"/>
      <c r="S32" s="17"/>
      <c r="T32" s="17"/>
      <c r="U32" s="17"/>
      <c r="V32" s="17"/>
    </row>
    <row r="33" spans="2:23" ht="21.75" customHeight="1" thickBot="1" x14ac:dyDescent="0.4">
      <c r="B33" s="281" t="s">
        <v>35</v>
      </c>
      <c r="C33" s="164" t="s">
        <v>36</v>
      </c>
      <c r="D33" s="155"/>
      <c r="E33" s="17"/>
      <c r="F33" s="17"/>
      <c r="G33" s="14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2:23" ht="21.75" customHeight="1" x14ac:dyDescent="0.25">
      <c r="B34" s="151"/>
      <c r="C34" s="17"/>
      <c r="D34" s="155"/>
      <c r="E34" s="17"/>
      <c r="F34" s="17"/>
      <c r="G34" s="14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2:23" ht="21.75" customHeight="1" thickBot="1" x14ac:dyDescent="0.3">
      <c r="B35" s="158" t="s">
        <v>37</v>
      </c>
      <c r="C35" s="159"/>
      <c r="D35" s="152"/>
      <c r="E35" s="17"/>
      <c r="F35" s="17"/>
      <c r="G35" s="14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2:23" ht="21.75" customHeight="1" thickBot="1" x14ac:dyDescent="0.4">
      <c r="B36" s="160" t="s">
        <v>38</v>
      </c>
      <c r="C36" s="119">
        <v>0.6</v>
      </c>
      <c r="D36" s="152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3" ht="15.75" thickBot="1" x14ac:dyDescent="0.3">
      <c r="B37" s="156"/>
      <c r="D37" s="15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3" ht="21.75" thickBot="1" x14ac:dyDescent="0.4">
      <c r="B38" s="161" t="s">
        <v>39</v>
      </c>
      <c r="C38" s="183">
        <v>15</v>
      </c>
      <c r="D38" s="254" t="s">
        <v>10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3" x14ac:dyDescent="0.25">
      <c r="B39" s="156"/>
      <c r="D39" s="15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3" ht="18.75" x14ac:dyDescent="0.3">
      <c r="B40" s="282" t="str">
        <f>IF(Calculations!B6=0,"","Disregard as green ammonia is chosen")</f>
        <v>Disregard as green ammonia is chosen</v>
      </c>
      <c r="C40" s="17"/>
      <c r="D40" s="15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3" ht="15.75" thickBot="1" x14ac:dyDescent="0.3">
      <c r="B41" s="173" t="s">
        <v>42</v>
      </c>
      <c r="C41" s="283"/>
      <c r="D41" s="15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2:23" ht="22.5" customHeight="1" thickBot="1" x14ac:dyDescent="0.4">
      <c r="B42" s="284" t="s">
        <v>47</v>
      </c>
      <c r="C42" s="119">
        <v>0</v>
      </c>
      <c r="D42" s="27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2:23" ht="20.25" customHeight="1" x14ac:dyDescent="0.25">
      <c r="B43" s="156"/>
      <c r="C43" s="17"/>
      <c r="D43" s="152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2:23" x14ac:dyDescent="0.25">
      <c r="B44" s="156"/>
      <c r="D44" s="15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 ht="19.5" thickBot="1" x14ac:dyDescent="0.35">
      <c r="B45" s="169" t="s">
        <v>52</v>
      </c>
      <c r="C45" s="167"/>
      <c r="D45" s="152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3" ht="20.25" customHeight="1" x14ac:dyDescent="0.35">
      <c r="B46" s="175" t="s">
        <v>53</v>
      </c>
      <c r="C46" s="166">
        <v>1369</v>
      </c>
      <c r="D46" s="254" t="s">
        <v>54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2:23" ht="23.25" x14ac:dyDescent="0.35">
      <c r="B47" s="176" t="s">
        <v>55</v>
      </c>
      <c r="C47" s="113">
        <v>0</v>
      </c>
      <c r="D47" s="254" t="s">
        <v>54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23" ht="23.25" x14ac:dyDescent="0.35">
      <c r="B48" s="176" t="s">
        <v>58</v>
      </c>
      <c r="C48" s="113">
        <v>200</v>
      </c>
      <c r="D48" s="254" t="s">
        <v>54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 ht="24" thickBot="1" x14ac:dyDescent="0.4">
      <c r="B49" s="176" t="s">
        <v>60</v>
      </c>
      <c r="C49" s="114">
        <v>10</v>
      </c>
      <c r="D49" s="254" t="s">
        <v>54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2:23" x14ac:dyDescent="0.25">
      <c r="B50" s="156"/>
      <c r="C50" s="17"/>
      <c r="D50" s="15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2:23" ht="42" customHeight="1" x14ac:dyDescent="0.25">
      <c r="B51" s="156"/>
      <c r="C51" s="17"/>
      <c r="D51" s="152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 ht="38.25" thickBot="1" x14ac:dyDescent="0.35">
      <c r="B52" s="165" t="s">
        <v>63</v>
      </c>
      <c r="C52" s="275" t="s">
        <v>64</v>
      </c>
      <c r="D52" s="285" t="s">
        <v>65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2:23" ht="23.25" x14ac:dyDescent="0.35">
      <c r="B53" s="153" t="s">
        <v>66</v>
      </c>
      <c r="C53" s="168" t="s">
        <v>36</v>
      </c>
      <c r="D53" s="276">
        <v>0.6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2:23" ht="23.25" x14ac:dyDescent="0.35">
      <c r="B54" s="153" t="s">
        <v>67</v>
      </c>
      <c r="C54" s="170"/>
      <c r="D54" s="174">
        <v>0.6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2:23" ht="23.25" x14ac:dyDescent="0.35">
      <c r="B55" s="153" t="s">
        <v>69</v>
      </c>
      <c r="C55" s="170"/>
      <c r="D55" s="174">
        <v>0.6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2:23" ht="23.25" x14ac:dyDescent="0.35">
      <c r="B56" s="153" t="s">
        <v>71</v>
      </c>
      <c r="C56" s="170"/>
      <c r="D56" s="174">
        <v>0.3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2:23" x14ac:dyDescent="0.25">
      <c r="B57" s="156"/>
      <c r="C57" s="17" t="str">
        <f>IF((D53+D54+D56)&gt;2,"Something is wrong. Check if Efficiencies are stated as %","" )</f>
        <v/>
      </c>
      <c r="D57" s="152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2:23" ht="19.5" thickBot="1" x14ac:dyDescent="0.35">
      <c r="B58" s="157"/>
      <c r="C58" s="271" t="str">
        <f>IF((Calculations!B105+Calculations!B108+Calculations!B118+Calculations!B112)&gt;1,"Something is wrong. Only 'yes' in one field","" )</f>
        <v/>
      </c>
      <c r="D58" s="162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2:23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2:23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2:23" ht="15.75" thickBot="1" x14ac:dyDescent="0.3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2:23" ht="19.5" thickBot="1" x14ac:dyDescent="0.35">
      <c r="B62" s="290" t="s">
        <v>76</v>
      </c>
      <c r="C62" s="291"/>
      <c r="D62" s="292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2:23" ht="21.75" thickBot="1" x14ac:dyDescent="0.4">
      <c r="B63" s="293" t="s">
        <v>78</v>
      </c>
      <c r="C63" s="294">
        <v>17</v>
      </c>
      <c r="D63" s="295" t="s">
        <v>10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2:23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2:23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2:23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2:23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2:23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2:23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2:23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23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23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23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23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23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23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23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23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23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23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16.5" x14ac:dyDescent="0.3">
      <c r="B138" s="163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2:19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2:19" x14ac:dyDescent="0.25">
      <c r="B178" s="17"/>
      <c r="C178" s="17"/>
      <c r="D178" s="17"/>
      <c r="E178" s="17"/>
      <c r="F178" s="17"/>
    </row>
  </sheetData>
  <mergeCells count="1">
    <mergeCell ref="B29:C29"/>
  </mergeCells>
  <hyperlinks>
    <hyperlink ref="C24" r:id="rId1" xr:uid="{6FD5699D-4A33-44BB-8A58-B7555A13AA5A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C37C-FC8F-465D-B8C8-52171D82264F}">
  <dimension ref="A1:U124"/>
  <sheetViews>
    <sheetView workbookViewId="0">
      <selection activeCell="N22" sqref="N22"/>
    </sheetView>
  </sheetViews>
  <sheetFormatPr baseColWidth="10" defaultRowHeight="15" x14ac:dyDescent="0.25"/>
  <cols>
    <col min="1" max="1" width="30.140625" customWidth="1"/>
    <col min="2" max="2" width="13.42578125" customWidth="1"/>
    <col min="3" max="3" width="8.42578125" customWidth="1"/>
    <col min="4" max="4" width="7" customWidth="1"/>
    <col min="6" max="6" width="7.85546875" customWidth="1"/>
    <col min="7" max="7" width="8" customWidth="1"/>
    <col min="8" max="8" width="25.42578125" customWidth="1"/>
    <col min="9" max="9" width="19.85546875" customWidth="1"/>
    <col min="10" max="21" width="11.42578125" style="17"/>
  </cols>
  <sheetData>
    <row r="1" spans="1:9" ht="21.75" thickBot="1" x14ac:dyDescent="0.4">
      <c r="A1" s="256" t="s">
        <v>40</v>
      </c>
      <c r="B1" s="17"/>
      <c r="C1" s="17"/>
      <c r="D1" s="17"/>
      <c r="E1" s="17"/>
      <c r="F1" s="17"/>
      <c r="G1" s="17"/>
      <c r="H1" s="17"/>
      <c r="I1" s="17"/>
    </row>
    <row r="2" spans="1:9" ht="15.75" thickBot="1" x14ac:dyDescent="0.3">
      <c r="A2" s="202" t="s">
        <v>41</v>
      </c>
      <c r="B2" s="149"/>
      <c r="C2" s="149"/>
      <c r="D2" s="149"/>
      <c r="E2" s="149"/>
      <c r="F2" s="149"/>
      <c r="G2" s="149"/>
      <c r="H2" s="149"/>
      <c r="I2" s="150"/>
    </row>
    <row r="3" spans="1:9" ht="16.5" thickBot="1" x14ac:dyDescent="0.3">
      <c r="A3" s="203" t="s">
        <v>43</v>
      </c>
      <c r="B3" s="16" t="s">
        <v>44</v>
      </c>
      <c r="C3" s="122">
        <v>-0.2</v>
      </c>
      <c r="D3" s="123">
        <v>-0.1</v>
      </c>
      <c r="E3" s="27" t="s">
        <v>45</v>
      </c>
      <c r="F3" s="122">
        <v>0.1</v>
      </c>
      <c r="G3" s="123">
        <v>0.2</v>
      </c>
      <c r="H3" s="300" t="s">
        <v>46</v>
      </c>
      <c r="I3" s="301"/>
    </row>
    <row r="4" spans="1:9" x14ac:dyDescent="0.25">
      <c r="A4" s="204"/>
      <c r="B4" s="15"/>
      <c r="C4" s="205" t="s">
        <v>48</v>
      </c>
      <c r="D4" s="205" t="s">
        <v>48</v>
      </c>
      <c r="E4" s="9" t="s">
        <v>10</v>
      </c>
      <c r="F4" s="205" t="s">
        <v>49</v>
      </c>
      <c r="G4" s="121" t="s">
        <v>49</v>
      </c>
      <c r="H4" s="14"/>
      <c r="I4" s="206"/>
    </row>
    <row r="5" spans="1:9" x14ac:dyDescent="0.25">
      <c r="A5" s="207" t="s">
        <v>50</v>
      </c>
      <c r="B5" s="208">
        <f>IF('Calculation tool'!C32="Yes",1,0)</f>
        <v>0</v>
      </c>
      <c r="C5" s="4"/>
      <c r="D5" s="4"/>
      <c r="E5" s="4"/>
      <c r="F5" s="4"/>
      <c r="G5" s="5"/>
      <c r="H5" s="4"/>
      <c r="I5" s="209"/>
    </row>
    <row r="6" spans="1:9" x14ac:dyDescent="0.25">
      <c r="A6" s="210" t="s">
        <v>51</v>
      </c>
      <c r="B6" s="178">
        <f>IF('Calculation tool'!C33="Yes",1,0)</f>
        <v>1</v>
      </c>
      <c r="C6" s="17"/>
      <c r="D6" s="17"/>
      <c r="E6" s="17"/>
      <c r="F6" s="17"/>
      <c r="G6" s="25"/>
      <c r="H6" s="63"/>
      <c r="I6" s="211"/>
    </row>
    <row r="7" spans="1:9" x14ac:dyDescent="0.25">
      <c r="A7" s="210"/>
      <c r="B7" s="6"/>
      <c r="C7" s="17"/>
      <c r="D7" s="17"/>
      <c r="E7" s="17"/>
      <c r="F7" s="17"/>
      <c r="G7" s="25"/>
      <c r="H7" s="60"/>
      <c r="I7" s="212"/>
    </row>
    <row r="8" spans="1:9" ht="15.75" thickBot="1" x14ac:dyDescent="0.3">
      <c r="A8" s="213" t="s">
        <v>42</v>
      </c>
      <c r="B8" s="6"/>
      <c r="C8" s="17"/>
      <c r="D8" s="17"/>
      <c r="E8" s="17"/>
      <c r="F8" s="17"/>
      <c r="G8" s="25"/>
      <c r="H8" s="60"/>
      <c r="I8" s="212"/>
    </row>
    <row r="9" spans="1:9" x14ac:dyDescent="0.25">
      <c r="A9" s="207" t="s">
        <v>56</v>
      </c>
      <c r="B9" s="93">
        <f>'Data for calculations'!I20</f>
        <v>53</v>
      </c>
      <c r="C9" s="41"/>
      <c r="D9" s="41"/>
      <c r="E9" s="82">
        <f>H9/'Data for calculations'!I8</f>
        <v>0</v>
      </c>
      <c r="F9" s="56"/>
      <c r="G9" s="57"/>
      <c r="H9" s="22">
        <f>B9*B5</f>
        <v>0</v>
      </c>
      <c r="I9" s="214" t="s">
        <v>57</v>
      </c>
    </row>
    <row r="10" spans="1:9" x14ac:dyDescent="0.25">
      <c r="A10" s="210" t="s">
        <v>59</v>
      </c>
      <c r="B10" s="120">
        <f>'Data for calculations'!I13</f>
        <v>10500</v>
      </c>
      <c r="C10" s="73">
        <f>D10*(1+C3)</f>
        <v>0</v>
      </c>
      <c r="D10" s="72">
        <f>E10*(1+D3)</f>
        <v>0</v>
      </c>
      <c r="E10" s="83">
        <f>H10/'Data for calculations'!I8</f>
        <v>0</v>
      </c>
      <c r="F10" s="54">
        <f>E10*1.1</f>
        <v>0</v>
      </c>
      <c r="G10" s="68">
        <f>F10*1.1</f>
        <v>0</v>
      </c>
      <c r="H10" s="55">
        <f>(B10*(1-B11))*B5</f>
        <v>0</v>
      </c>
      <c r="I10" s="214" t="s">
        <v>57</v>
      </c>
    </row>
    <row r="11" spans="1:9" x14ac:dyDescent="0.25">
      <c r="A11" s="207" t="s">
        <v>61</v>
      </c>
      <c r="B11" s="208">
        <f>'Calculation tool'!C42</f>
        <v>0</v>
      </c>
      <c r="C11" s="215"/>
      <c r="D11" s="215"/>
      <c r="E11" s="215"/>
      <c r="F11" s="215"/>
      <c r="G11" s="24"/>
      <c r="I11" s="214"/>
    </row>
    <row r="12" spans="1:9" x14ac:dyDescent="0.25">
      <c r="A12" s="216" t="s">
        <v>62</v>
      </c>
      <c r="B12" s="7"/>
      <c r="C12" s="58"/>
      <c r="D12" s="58"/>
      <c r="E12" s="58"/>
      <c r="F12" s="58"/>
      <c r="G12" s="59"/>
      <c r="H12" s="22">
        <f>H9+H10</f>
        <v>0</v>
      </c>
      <c r="I12" s="214" t="s">
        <v>57</v>
      </c>
    </row>
    <row r="13" spans="1:9" x14ac:dyDescent="0.25">
      <c r="A13" s="210"/>
      <c r="B13" s="6"/>
      <c r="C13" s="215"/>
      <c r="D13" s="215"/>
      <c r="E13" s="215"/>
      <c r="F13" s="215"/>
      <c r="G13" s="24"/>
      <c r="H13" s="60"/>
      <c r="I13" s="212"/>
    </row>
    <row r="14" spans="1:9" x14ac:dyDescent="0.25">
      <c r="A14" s="210"/>
      <c r="B14" s="6"/>
      <c r="C14" s="215"/>
      <c r="D14" s="215"/>
      <c r="E14" s="215"/>
      <c r="F14" s="215"/>
      <c r="G14" s="24"/>
      <c r="H14" s="60"/>
      <c r="I14" s="212"/>
    </row>
    <row r="15" spans="1:9" ht="15.75" thickBot="1" x14ac:dyDescent="0.3">
      <c r="A15" s="217" t="s">
        <v>37</v>
      </c>
      <c r="B15" s="6"/>
      <c r="C15" s="215"/>
      <c r="D15" s="215"/>
      <c r="E15" s="215"/>
      <c r="F15" s="215"/>
      <c r="G15" s="24"/>
      <c r="H15" s="60"/>
      <c r="I15" s="212"/>
    </row>
    <row r="16" spans="1:9" x14ac:dyDescent="0.25">
      <c r="A16" s="207" t="s">
        <v>68</v>
      </c>
      <c r="B16" s="218">
        <f>'Calculation tool'!C38</f>
        <v>15</v>
      </c>
      <c r="C16" s="71">
        <f>E16*(1+C3)</f>
        <v>23.642364236423646</v>
      </c>
      <c r="D16" s="70">
        <f>E16*(1+D3)</f>
        <v>26.597659765976598</v>
      </c>
      <c r="E16" s="84">
        <f>'Data for calculations'!I7*B16/B17/'Data for calculations'!I8</f>
        <v>29.552955295529554</v>
      </c>
      <c r="F16" s="28">
        <f>E16*1.1</f>
        <v>32.508250825082513</v>
      </c>
      <c r="G16" s="69">
        <f>E16*1.2</f>
        <v>35.463546354635461</v>
      </c>
      <c r="H16" s="23">
        <f>('Data for calculations'!I7*B16/B17)*B6</f>
        <v>985</v>
      </c>
      <c r="I16" s="214" t="s">
        <v>57</v>
      </c>
    </row>
    <row r="17" spans="1:9" x14ac:dyDescent="0.25">
      <c r="A17" s="153" t="s">
        <v>70</v>
      </c>
      <c r="B17" s="208">
        <f>'Calculation tool'!C36</f>
        <v>0.6</v>
      </c>
      <c r="C17" s="215"/>
      <c r="D17" s="215"/>
      <c r="E17" s="215"/>
      <c r="F17" s="215"/>
      <c r="G17" s="24"/>
      <c r="H17" s="60"/>
      <c r="I17" s="212"/>
    </row>
    <row r="18" spans="1:9" x14ac:dyDescent="0.25">
      <c r="A18" s="219"/>
      <c r="B18" s="67"/>
      <c r="C18" s="215"/>
      <c r="D18" s="215"/>
      <c r="E18" s="215"/>
      <c r="F18" s="215"/>
      <c r="G18" s="24"/>
      <c r="H18" s="60"/>
      <c r="I18" s="212"/>
    </row>
    <row r="19" spans="1:9" x14ac:dyDescent="0.25">
      <c r="A19" s="219" t="s">
        <v>72</v>
      </c>
      <c r="B19" s="92">
        <f>'Data for calculations'!I21</f>
        <v>43</v>
      </c>
      <c r="C19" s="39"/>
      <c r="D19" s="39"/>
      <c r="E19" s="84">
        <f>H19/'Data for calculations'!I8</f>
        <v>1.2901290129012901</v>
      </c>
      <c r="F19" s="39"/>
      <c r="G19" s="40"/>
      <c r="H19" s="64">
        <f>B19*B6</f>
        <v>43</v>
      </c>
      <c r="I19" s="214" t="s">
        <v>57</v>
      </c>
    </row>
    <row r="20" spans="1:9" x14ac:dyDescent="0.25">
      <c r="A20" s="220" t="s">
        <v>73</v>
      </c>
      <c r="B20" s="26"/>
      <c r="C20" s="34"/>
      <c r="D20" s="41"/>
      <c r="E20" s="41"/>
      <c r="F20" s="41"/>
      <c r="G20" s="47"/>
      <c r="H20" s="23">
        <f>SUM(H16:H19)</f>
        <v>1028</v>
      </c>
      <c r="I20" s="214" t="s">
        <v>57</v>
      </c>
    </row>
    <row r="21" spans="1:9" x14ac:dyDescent="0.25">
      <c r="A21" s="219"/>
      <c r="B21" s="6"/>
      <c r="C21" s="215"/>
      <c r="D21" s="215"/>
      <c r="E21" s="215"/>
      <c r="F21" s="215"/>
      <c r="G21" s="24"/>
      <c r="H21" s="60"/>
      <c r="I21" s="212"/>
    </row>
    <row r="22" spans="1:9" ht="15.75" thickBot="1" x14ac:dyDescent="0.3">
      <c r="A22" s="221" t="s">
        <v>74</v>
      </c>
      <c r="B22" s="6"/>
      <c r="C22" s="215"/>
      <c r="D22" s="215"/>
      <c r="E22" s="215"/>
      <c r="F22" s="215"/>
      <c r="G22" s="24"/>
      <c r="H22" s="60"/>
      <c r="I22" s="212"/>
    </row>
    <row r="23" spans="1:9" x14ac:dyDescent="0.25">
      <c r="A23" s="222" t="s">
        <v>75</v>
      </c>
      <c r="B23" s="26"/>
      <c r="C23" s="71">
        <f>E23*(1+$C$3)</f>
        <v>0</v>
      </c>
      <c r="D23" s="70">
        <f>E23*(1+$D$3)</f>
        <v>0</v>
      </c>
      <c r="E23" s="84">
        <f>H23/('Data for calculations'!I8)</f>
        <v>0</v>
      </c>
      <c r="F23" s="28">
        <f>E23*(1+$F$3)</f>
        <v>0</v>
      </c>
      <c r="G23" s="69">
        <f>E23*(1+$G$3)</f>
        <v>0</v>
      </c>
      <c r="H23" s="21">
        <f>H12</f>
        <v>0</v>
      </c>
      <c r="I23" s="214" t="s">
        <v>57</v>
      </c>
    </row>
    <row r="24" spans="1:9" x14ac:dyDescent="0.25">
      <c r="A24" s="223" t="s">
        <v>77</v>
      </c>
      <c r="B24" s="26"/>
      <c r="C24" s="71">
        <f>E24*(1+$C$3)</f>
        <v>24.674467446744679</v>
      </c>
      <c r="D24" s="70">
        <f>E24*(1+$D$3)</f>
        <v>27.758775877587762</v>
      </c>
      <c r="E24" s="84">
        <f>H24/'Data for calculations'!I8</f>
        <v>30.843084308430846</v>
      </c>
      <c r="F24" s="28">
        <f>E24*(1+$F$3)</f>
        <v>33.927392739273934</v>
      </c>
      <c r="G24" s="69">
        <f>E24*(1+$G$3)</f>
        <v>37.011701170117014</v>
      </c>
      <c r="H24" s="94">
        <f>H20*B6</f>
        <v>1028</v>
      </c>
      <c r="I24" s="214" t="s">
        <v>57</v>
      </c>
    </row>
    <row r="25" spans="1:9" x14ac:dyDescent="0.25">
      <c r="A25" s="220" t="s">
        <v>79</v>
      </c>
      <c r="B25" s="26"/>
      <c r="C25" s="71">
        <f>E25*(1+$C$3)</f>
        <v>24.674467446744679</v>
      </c>
      <c r="D25" s="70">
        <f>E25*(1+$D$3)</f>
        <v>27.758775877587762</v>
      </c>
      <c r="E25" s="84">
        <f>H25/'Data for calculations'!I8</f>
        <v>30.843084308430846</v>
      </c>
      <c r="F25" s="28">
        <f>E25*(1+$F$3)</f>
        <v>33.927392739273934</v>
      </c>
      <c r="G25" s="69">
        <f>E25*(1+$G$3)</f>
        <v>37.011701170117014</v>
      </c>
      <c r="H25" s="94">
        <f>H23+H24</f>
        <v>1028</v>
      </c>
      <c r="I25" s="214" t="s">
        <v>57</v>
      </c>
    </row>
    <row r="26" spans="1:9" x14ac:dyDescent="0.25">
      <c r="A26" s="219"/>
      <c r="B26" s="6"/>
      <c r="C26" s="224"/>
      <c r="D26" s="224"/>
      <c r="E26" s="215"/>
      <c r="F26" s="224"/>
      <c r="G26" s="61"/>
      <c r="H26" s="60"/>
      <c r="I26" s="212"/>
    </row>
    <row r="27" spans="1:9" x14ac:dyDescent="0.25">
      <c r="A27" s="219"/>
      <c r="B27" s="6"/>
      <c r="C27" s="224"/>
      <c r="D27" s="224"/>
      <c r="E27" s="215"/>
      <c r="F27" s="224"/>
      <c r="G27" s="62"/>
      <c r="H27" s="60"/>
      <c r="I27" s="212"/>
    </row>
    <row r="28" spans="1:9" ht="19.5" thickBot="1" x14ac:dyDescent="0.3">
      <c r="A28" s="225" t="s">
        <v>80</v>
      </c>
      <c r="B28" s="38"/>
      <c r="C28" s="74">
        <f>E28*(1+$C$3)</f>
        <v>24.674467446744679</v>
      </c>
      <c r="D28" s="77">
        <f>E28*(1+$D$3)</f>
        <v>27.758775877587762</v>
      </c>
      <c r="E28" s="103">
        <f>E25</f>
        <v>30.843084308430846</v>
      </c>
      <c r="F28" s="78">
        <f>E28*(1+$F$3)</f>
        <v>33.927392739273934</v>
      </c>
      <c r="G28" s="81">
        <f>E28*(1+$G$3)</f>
        <v>37.011701170117014</v>
      </c>
      <c r="H28" s="96">
        <f>H25</f>
        <v>1028</v>
      </c>
      <c r="I28" s="214" t="s">
        <v>57</v>
      </c>
    </row>
    <row r="29" spans="1:9" ht="15.75" thickTop="1" x14ac:dyDescent="0.25">
      <c r="A29" s="219"/>
      <c r="B29" s="6"/>
      <c r="C29" s="224"/>
      <c r="D29" s="224"/>
      <c r="E29" s="17"/>
      <c r="F29" s="224"/>
      <c r="G29" s="224"/>
      <c r="H29" s="17"/>
      <c r="I29" s="152"/>
    </row>
    <row r="30" spans="1:9" x14ac:dyDescent="0.25">
      <c r="A30" s="222" t="s">
        <v>81</v>
      </c>
      <c r="B30" s="7"/>
      <c r="C30" s="17"/>
      <c r="D30" s="17"/>
      <c r="E30" s="17"/>
      <c r="F30" s="17"/>
      <c r="G30" s="17"/>
      <c r="H30" s="17"/>
      <c r="I30" s="152"/>
    </row>
    <row r="31" spans="1:9" x14ac:dyDescent="0.25">
      <c r="A31" s="226" t="s">
        <v>82</v>
      </c>
      <c r="B31" s="66">
        <v>0</v>
      </c>
      <c r="C31" s="224"/>
      <c r="D31" s="224"/>
      <c r="E31" s="65"/>
      <c r="F31" s="224"/>
      <c r="G31" s="224"/>
      <c r="H31" s="65"/>
      <c r="I31" s="152"/>
    </row>
    <row r="32" spans="1:9" x14ac:dyDescent="0.25">
      <c r="A32" s="156"/>
      <c r="B32" s="17"/>
      <c r="C32" s="17"/>
      <c r="D32" s="17"/>
      <c r="E32" s="17"/>
      <c r="F32" s="17"/>
      <c r="G32" s="17"/>
      <c r="H32" s="17"/>
      <c r="I32" s="152"/>
    </row>
    <row r="33" spans="1:9" x14ac:dyDescent="0.25">
      <c r="A33" s="156"/>
      <c r="B33" s="17"/>
      <c r="C33" s="17"/>
      <c r="D33" s="17"/>
      <c r="E33" s="17"/>
      <c r="F33" s="17"/>
      <c r="G33" s="17"/>
      <c r="H33" s="17"/>
      <c r="I33" s="152"/>
    </row>
    <row r="34" spans="1:9" x14ac:dyDescent="0.25">
      <c r="A34" s="203" t="s">
        <v>83</v>
      </c>
      <c r="B34" s="17"/>
      <c r="C34" s="17"/>
      <c r="D34" s="17"/>
      <c r="E34" s="17"/>
      <c r="F34" s="17"/>
      <c r="G34" s="17"/>
      <c r="H34" s="17"/>
      <c r="I34" s="152"/>
    </row>
    <row r="35" spans="1:9" x14ac:dyDescent="0.25">
      <c r="A35" s="227" t="s">
        <v>84</v>
      </c>
      <c r="B35" s="16" t="s">
        <v>44</v>
      </c>
      <c r="C35" s="9">
        <f>C3</f>
        <v>-0.2</v>
      </c>
      <c r="D35" s="9">
        <f>D3</f>
        <v>-0.1</v>
      </c>
      <c r="E35" s="27" t="s">
        <v>45</v>
      </c>
      <c r="F35" s="10">
        <f>F3</f>
        <v>0.1</v>
      </c>
      <c r="G35" s="11">
        <f>G3</f>
        <v>0.2</v>
      </c>
      <c r="H35" s="302" t="s">
        <v>46</v>
      </c>
      <c r="I35" s="301"/>
    </row>
    <row r="36" spans="1:9" x14ac:dyDescent="0.25">
      <c r="A36" s="204"/>
      <c r="B36" s="15"/>
      <c r="C36" s="43" t="s">
        <v>48</v>
      </c>
      <c r="D36" s="43" t="s">
        <v>48</v>
      </c>
      <c r="E36" s="9" t="s">
        <v>10</v>
      </c>
      <c r="F36" s="43" t="s">
        <v>49</v>
      </c>
      <c r="G36" s="44" t="s">
        <v>49</v>
      </c>
      <c r="H36" s="8"/>
      <c r="I36" s="228"/>
    </row>
    <row r="37" spans="1:9" x14ac:dyDescent="0.25">
      <c r="A37" s="207"/>
      <c r="B37" s="12"/>
      <c r="C37" s="4"/>
      <c r="D37" s="4"/>
      <c r="E37" s="4"/>
      <c r="F37" s="4"/>
      <c r="G37" s="4"/>
      <c r="H37" s="4"/>
      <c r="I37" s="209"/>
    </row>
    <row r="38" spans="1:9" x14ac:dyDescent="0.25">
      <c r="A38" s="222" t="s">
        <v>85</v>
      </c>
      <c r="B38" s="6">
        <f>'Data for calculations'!I15</f>
        <v>0.2</v>
      </c>
      <c r="C38" s="17"/>
      <c r="D38" s="17"/>
      <c r="E38" s="17"/>
      <c r="F38" s="17"/>
      <c r="G38" s="17"/>
      <c r="H38" s="229"/>
      <c r="I38" s="230"/>
    </row>
    <row r="39" spans="1:9" x14ac:dyDescent="0.25">
      <c r="A39" s="223" t="s">
        <v>86</v>
      </c>
      <c r="B39" s="42">
        <f>'Calculation tool'!C38</f>
        <v>15</v>
      </c>
      <c r="C39" s="34"/>
      <c r="D39" s="34"/>
      <c r="E39" s="86">
        <f>H39/'Data for calculations'!I6</f>
        <v>0.57471264367816099</v>
      </c>
      <c r="F39" s="34"/>
      <c r="G39" s="34"/>
      <c r="H39" s="104">
        <f>B39*B38</f>
        <v>3</v>
      </c>
      <c r="I39" s="231" t="s">
        <v>87</v>
      </c>
    </row>
    <row r="40" spans="1:9" x14ac:dyDescent="0.25">
      <c r="A40" s="219"/>
      <c r="B40" s="6"/>
      <c r="C40" s="17"/>
      <c r="D40" s="17"/>
      <c r="E40" s="17"/>
      <c r="F40" s="17"/>
      <c r="G40" s="17"/>
      <c r="H40" s="229"/>
      <c r="I40" s="230"/>
    </row>
    <row r="41" spans="1:9" x14ac:dyDescent="0.25">
      <c r="A41" s="232" t="s">
        <v>88</v>
      </c>
      <c r="B41" s="50">
        <v>0.17649999999999999</v>
      </c>
      <c r="C41" s="34"/>
      <c r="D41" s="34"/>
      <c r="E41" s="85">
        <f>H41/'Data for calculations'!I6</f>
        <v>34.759003831417623</v>
      </c>
      <c r="F41" s="36"/>
      <c r="G41" s="36"/>
      <c r="H41" s="37">
        <f>B41*(H28+B31)</f>
        <v>181.44199999999998</v>
      </c>
      <c r="I41" s="231" t="s">
        <v>87</v>
      </c>
    </row>
    <row r="42" spans="1:9" x14ac:dyDescent="0.25">
      <c r="A42" s="232" t="s">
        <v>89</v>
      </c>
      <c r="B42" s="50">
        <f>100%-B41</f>
        <v>0.82350000000000001</v>
      </c>
      <c r="C42" s="34"/>
      <c r="D42" s="29"/>
      <c r="E42" s="86">
        <f>H42/'Data for calculations'!I6</f>
        <v>0.57471264367816099</v>
      </c>
      <c r="F42" s="34"/>
      <c r="G42" s="34"/>
      <c r="H42" s="31">
        <f>H39</f>
        <v>3</v>
      </c>
      <c r="I42" s="231" t="s">
        <v>87</v>
      </c>
    </row>
    <row r="43" spans="1:9" x14ac:dyDescent="0.25">
      <c r="A43" s="210" t="s">
        <v>90</v>
      </c>
      <c r="B43" s="13">
        <v>1</v>
      </c>
      <c r="C43" s="17"/>
      <c r="D43" s="17"/>
      <c r="E43" s="229"/>
      <c r="F43" s="17"/>
      <c r="G43" s="17"/>
      <c r="H43" s="229"/>
      <c r="I43" s="152"/>
    </row>
    <row r="44" spans="1:9" x14ac:dyDescent="0.25">
      <c r="A44" s="210"/>
      <c r="B44" s="6"/>
      <c r="C44" s="17"/>
      <c r="D44" s="17"/>
      <c r="E44" s="229"/>
      <c r="F44" s="17"/>
      <c r="G44" s="17"/>
      <c r="H44" s="229"/>
      <c r="I44" s="152"/>
    </row>
    <row r="45" spans="1:9" x14ac:dyDescent="0.25">
      <c r="A45" s="233" t="s">
        <v>84</v>
      </c>
      <c r="B45" s="49"/>
      <c r="C45" s="17"/>
      <c r="D45" s="17"/>
      <c r="E45" s="229"/>
      <c r="F45" s="17"/>
      <c r="G45" s="17"/>
      <c r="H45" s="229"/>
      <c r="I45" s="230"/>
    </row>
    <row r="46" spans="1:9" x14ac:dyDescent="0.25">
      <c r="A46" s="210" t="s">
        <v>91</v>
      </c>
      <c r="B46" s="51">
        <v>1</v>
      </c>
      <c r="C46" s="17"/>
      <c r="D46" s="17"/>
      <c r="E46" s="17"/>
      <c r="F46" s="17"/>
      <c r="G46" s="17"/>
      <c r="H46" s="17"/>
      <c r="I46" s="152"/>
    </row>
    <row r="47" spans="1:9" x14ac:dyDescent="0.25">
      <c r="A47" s="210" t="s">
        <v>92</v>
      </c>
      <c r="B47" s="48">
        <f>100%-B46</f>
        <v>0</v>
      </c>
      <c r="C47" s="17"/>
      <c r="D47" s="17"/>
      <c r="E47" s="17"/>
      <c r="F47" s="17"/>
      <c r="G47" s="17"/>
      <c r="H47" s="17"/>
      <c r="I47" s="152"/>
    </row>
    <row r="48" spans="1:9" x14ac:dyDescent="0.25">
      <c r="A48" s="210"/>
      <c r="B48" s="6"/>
      <c r="C48" s="229"/>
      <c r="D48" s="229"/>
      <c r="E48" s="229"/>
      <c r="F48" s="229"/>
      <c r="G48" s="229"/>
      <c r="H48" s="229"/>
      <c r="I48" s="152"/>
    </row>
    <row r="49" spans="1:9" x14ac:dyDescent="0.25">
      <c r="A49" s="210" t="s">
        <v>93</v>
      </c>
      <c r="B49" s="52">
        <f>'Calculation tool'!C38</f>
        <v>15</v>
      </c>
      <c r="C49" s="34"/>
      <c r="D49" s="34"/>
      <c r="E49" s="86">
        <f>H49/'Data for calculations'!I6</f>
        <v>2.8735632183908049</v>
      </c>
      <c r="F49" s="34"/>
      <c r="G49" s="34"/>
      <c r="H49" s="31">
        <f>B46*B43*B49</f>
        <v>15</v>
      </c>
      <c r="I49" s="231" t="s">
        <v>87</v>
      </c>
    </row>
    <row r="50" spans="1:9" x14ac:dyDescent="0.25">
      <c r="A50" s="210" t="s">
        <v>94</v>
      </c>
      <c r="B50" s="53">
        <v>180</v>
      </c>
      <c r="C50" s="34"/>
      <c r="D50" s="34"/>
      <c r="E50" s="86">
        <f>H50/'Data for calculations'!I6</f>
        <v>0</v>
      </c>
      <c r="F50" s="34"/>
      <c r="G50" s="34"/>
      <c r="H50" s="31">
        <f>B47*B43*(B50*(1-B51))</f>
        <v>0</v>
      </c>
      <c r="I50" s="231" t="s">
        <v>87</v>
      </c>
    </row>
    <row r="51" spans="1:9" x14ac:dyDescent="0.25">
      <c r="A51" s="210"/>
      <c r="B51" s="6"/>
      <c r="C51" s="17"/>
      <c r="D51" s="17"/>
      <c r="E51" s="229"/>
      <c r="F51" s="17"/>
      <c r="G51" s="17"/>
      <c r="H51" s="229"/>
      <c r="I51" s="230"/>
    </row>
    <row r="52" spans="1:9" x14ac:dyDescent="0.25">
      <c r="A52" s="210"/>
      <c r="B52" s="6"/>
      <c r="C52" s="17"/>
      <c r="D52" s="17"/>
      <c r="E52" s="229"/>
      <c r="F52" s="17"/>
      <c r="G52" s="17"/>
      <c r="H52" s="229"/>
      <c r="I52" s="230"/>
    </row>
    <row r="53" spans="1:9" ht="15.75" x14ac:dyDescent="0.25">
      <c r="A53" s="234" t="s">
        <v>95</v>
      </c>
      <c r="B53" s="26"/>
      <c r="C53" s="35"/>
      <c r="D53" s="35"/>
      <c r="E53" s="86">
        <f>H53/'Data for calculations'!I6</f>
        <v>3.4482758620689657</v>
      </c>
      <c r="F53" s="35"/>
      <c r="G53" s="35"/>
      <c r="H53" s="31">
        <f>SUM(H42:H49)</f>
        <v>18</v>
      </c>
      <c r="I53" s="231" t="s">
        <v>87</v>
      </c>
    </row>
    <row r="54" spans="1:9" x14ac:dyDescent="0.25">
      <c r="A54" s="219"/>
      <c r="B54" s="6"/>
      <c r="C54" s="17"/>
      <c r="D54" s="17"/>
      <c r="E54" s="229"/>
      <c r="F54" s="17"/>
      <c r="G54" s="17"/>
      <c r="H54" s="229"/>
      <c r="I54" s="230"/>
    </row>
    <row r="55" spans="1:9" ht="19.5" thickBot="1" x14ac:dyDescent="0.35">
      <c r="A55" s="235" t="s">
        <v>96</v>
      </c>
      <c r="B55" s="38"/>
      <c r="C55" s="74">
        <f>E55*(1+$C$3)</f>
        <v>30.565823754789275</v>
      </c>
      <c r="D55" s="77">
        <f>E55*(1+$D$3)</f>
        <v>34.386551724137931</v>
      </c>
      <c r="E55" s="97">
        <f>H55/'Data for calculations'!I6</f>
        <v>38.207279693486591</v>
      </c>
      <c r="F55" s="78">
        <f>E55*(1+$F$3)</f>
        <v>42.02800766283525</v>
      </c>
      <c r="G55" s="81">
        <f>E55*(1+$G$3)</f>
        <v>45.84873563218391</v>
      </c>
      <c r="H55" s="98">
        <f>SUM(H41:H50)</f>
        <v>199.44199999999998</v>
      </c>
      <c r="I55" s="231" t="s">
        <v>87</v>
      </c>
    </row>
    <row r="56" spans="1:9" ht="15.75" thickTop="1" x14ac:dyDescent="0.25">
      <c r="A56" s="156"/>
      <c r="B56" s="17"/>
      <c r="C56" s="17"/>
      <c r="D56" s="17"/>
      <c r="E56" s="17"/>
      <c r="F56" s="17"/>
      <c r="G56" s="17"/>
      <c r="H56" s="229"/>
      <c r="I56" s="230"/>
    </row>
    <row r="57" spans="1:9" x14ac:dyDescent="0.25">
      <c r="A57" s="156"/>
      <c r="B57" s="17"/>
      <c r="C57" s="17"/>
      <c r="D57" s="17"/>
      <c r="E57" s="17"/>
      <c r="F57" s="17"/>
      <c r="G57" s="17"/>
      <c r="H57" s="229"/>
      <c r="I57" s="230"/>
    </row>
    <row r="58" spans="1:9" x14ac:dyDescent="0.25">
      <c r="A58" s="156"/>
      <c r="B58" s="17"/>
      <c r="C58" s="17"/>
      <c r="D58" s="17"/>
      <c r="E58" s="17"/>
      <c r="F58" s="17"/>
      <c r="G58" s="17"/>
      <c r="H58" s="229"/>
      <c r="I58" s="230"/>
    </row>
    <row r="59" spans="1:9" x14ac:dyDescent="0.25">
      <c r="A59" s="154"/>
      <c r="B59" s="17"/>
      <c r="C59" s="17"/>
      <c r="D59" s="17"/>
      <c r="E59" s="17"/>
      <c r="F59" s="17"/>
      <c r="G59" s="17"/>
      <c r="H59" s="229"/>
      <c r="I59" s="230"/>
    </row>
    <row r="60" spans="1:9" x14ac:dyDescent="0.25">
      <c r="A60" s="203" t="s">
        <v>97</v>
      </c>
      <c r="B60" s="17"/>
      <c r="C60" s="17"/>
      <c r="D60" s="17"/>
      <c r="E60" s="17"/>
      <c r="F60" s="17"/>
      <c r="G60" s="17"/>
      <c r="H60" s="17"/>
      <c r="I60" s="152"/>
    </row>
    <row r="61" spans="1:9" x14ac:dyDescent="0.25">
      <c r="A61" s="227" t="s">
        <v>98</v>
      </c>
      <c r="B61" s="16" t="s">
        <v>44</v>
      </c>
      <c r="C61" s="10">
        <f>C3</f>
        <v>-0.2</v>
      </c>
      <c r="D61" s="10">
        <f>D3</f>
        <v>-0.1</v>
      </c>
      <c r="E61" s="27" t="s">
        <v>45</v>
      </c>
      <c r="F61" s="11">
        <f>F3</f>
        <v>0.1</v>
      </c>
      <c r="G61" s="11">
        <f>G3</f>
        <v>0.2</v>
      </c>
      <c r="H61" s="303" t="s">
        <v>46</v>
      </c>
      <c r="I61" s="304"/>
    </row>
    <row r="62" spans="1:9" x14ac:dyDescent="0.25">
      <c r="A62" s="204"/>
      <c r="B62" s="15"/>
      <c r="C62" s="43" t="s">
        <v>48</v>
      </c>
      <c r="D62" s="43" t="s">
        <v>48</v>
      </c>
      <c r="E62" s="9" t="s">
        <v>10</v>
      </c>
      <c r="F62" s="43" t="s">
        <v>49</v>
      </c>
      <c r="G62" s="44" t="s">
        <v>49</v>
      </c>
      <c r="H62" s="89"/>
      <c r="I62" s="236"/>
    </row>
    <row r="63" spans="1:9" x14ac:dyDescent="0.25">
      <c r="A63" s="237" t="s">
        <v>53</v>
      </c>
      <c r="B63" s="238">
        <f>'Calculation tool'!C46</f>
        <v>1369</v>
      </c>
      <c r="C63" s="71">
        <f>E63*(1+$C$3)</f>
        <v>3.3569348659003837</v>
      </c>
      <c r="D63" s="70">
        <f>E63*(1+$D$3)</f>
        <v>3.7765517241379318</v>
      </c>
      <c r="E63" s="86">
        <f>H63/'Data for calculations'!I6</f>
        <v>4.1961685823754795</v>
      </c>
      <c r="F63" s="28">
        <f>E63*(1+$F$3)</f>
        <v>4.6157854406130276</v>
      </c>
      <c r="G63" s="69">
        <f>E63*(1+$G$3)</f>
        <v>5.0354022988505749</v>
      </c>
      <c r="H63" s="31">
        <f>B63/1000*'Data for calculations'!I26</f>
        <v>21.904</v>
      </c>
      <c r="I63" s="231" t="s">
        <v>87</v>
      </c>
    </row>
    <row r="64" spans="1:9" x14ac:dyDescent="0.25">
      <c r="A64" s="237" t="s">
        <v>55</v>
      </c>
      <c r="B64" s="238">
        <f>'Calculation tool'!C47</f>
        <v>0</v>
      </c>
      <c r="C64" s="71">
        <f>E64*(1+$C$3)</f>
        <v>0</v>
      </c>
      <c r="D64" s="70">
        <f>E64*(1+$D$3)</f>
        <v>0</v>
      </c>
      <c r="E64" s="88">
        <f>H64/'Data for calculations'!I6</f>
        <v>0</v>
      </c>
      <c r="F64" s="28">
        <f>E64*(1+$F$3)</f>
        <v>0</v>
      </c>
      <c r="G64" s="69">
        <f>E64*(1+$G$3)</f>
        <v>0</v>
      </c>
      <c r="H64" s="31">
        <f>(B64*'Data for calculations'!I23)/1000</f>
        <v>0</v>
      </c>
      <c r="I64" s="231" t="s">
        <v>87</v>
      </c>
    </row>
    <row r="65" spans="1:9" x14ac:dyDescent="0.25">
      <c r="A65" s="237" t="s">
        <v>58</v>
      </c>
      <c r="B65" s="238">
        <f>'Calculation tool'!C48</f>
        <v>200</v>
      </c>
      <c r="C65" s="71">
        <f>E65*(1+$C$3)</f>
        <v>1.9003831417624522</v>
      </c>
      <c r="D65" s="70">
        <f>E65*(1+$D$3)</f>
        <v>2.1379310344827589</v>
      </c>
      <c r="E65" s="86">
        <f>H65/'Data for calculations'!I6</f>
        <v>2.3754789272030652</v>
      </c>
      <c r="F65" s="28">
        <f>E65*(1+$F$3)</f>
        <v>2.6130268199233719</v>
      </c>
      <c r="G65" s="69">
        <f>E65*(1+$G$3)</f>
        <v>2.8505747126436782</v>
      </c>
      <c r="H65" s="31">
        <f>(B65*'Data for calculations'!I24)/1000</f>
        <v>12.4</v>
      </c>
      <c r="I65" s="231" t="s">
        <v>87</v>
      </c>
    </row>
    <row r="66" spans="1:9" x14ac:dyDescent="0.25">
      <c r="A66" s="237" t="s">
        <v>60</v>
      </c>
      <c r="B66" s="238">
        <f>'Calculation tool'!C49</f>
        <v>10</v>
      </c>
      <c r="C66" s="71">
        <f>E66*(1+$C$3)</f>
        <v>0.15325670498084293</v>
      </c>
      <c r="D66" s="70">
        <f>E66*(1+$D$3)</f>
        <v>0.17241379310344829</v>
      </c>
      <c r="E66" s="86">
        <f>H66/'Data for calculations'!I6</f>
        <v>0.19157088122605365</v>
      </c>
      <c r="F66" s="28">
        <f>E66*(1+$F$3)</f>
        <v>0.21072796934865903</v>
      </c>
      <c r="G66" s="69">
        <f>E66*(1+$G$3)</f>
        <v>0.22988505747126436</v>
      </c>
      <c r="H66" s="31">
        <f>(B65*'Data for calculations'!I27/1000)</f>
        <v>1</v>
      </c>
      <c r="I66" s="231" t="s">
        <v>87</v>
      </c>
    </row>
    <row r="67" spans="1:9" ht="15.75" thickBot="1" x14ac:dyDescent="0.3">
      <c r="A67" s="210"/>
      <c r="B67" s="6"/>
      <c r="C67" s="17"/>
      <c r="D67" s="17"/>
      <c r="E67" s="17"/>
      <c r="F67" s="17"/>
      <c r="G67" s="17"/>
      <c r="H67" s="229"/>
      <c r="I67" s="230"/>
    </row>
    <row r="68" spans="1:9" x14ac:dyDescent="0.25">
      <c r="A68" s="207" t="s">
        <v>99</v>
      </c>
      <c r="B68" s="115">
        <v>0</v>
      </c>
      <c r="C68" s="17"/>
      <c r="D68" s="17"/>
      <c r="E68" s="17"/>
      <c r="F68" s="17"/>
      <c r="G68" s="17"/>
      <c r="H68" s="229"/>
      <c r="I68" s="230"/>
    </row>
    <row r="69" spans="1:9" ht="15.75" thickBot="1" x14ac:dyDescent="0.3">
      <c r="A69" s="207" t="s">
        <v>100</v>
      </c>
      <c r="B69" s="116">
        <v>0</v>
      </c>
      <c r="C69" s="71">
        <f>E69*(1+$C$3)</f>
        <v>0</v>
      </c>
      <c r="D69" s="70">
        <f>E69*(1+$D$3)</f>
        <v>0</v>
      </c>
      <c r="E69" s="87">
        <f>H69/'Data for calculations'!I6</f>
        <v>0</v>
      </c>
      <c r="F69" s="28">
        <f>E69*(1+$F$3)</f>
        <v>0</v>
      </c>
      <c r="G69" s="69">
        <f>E69*(1+$G$3)</f>
        <v>0</v>
      </c>
      <c r="H69" s="31">
        <f>B68*B69/1000</f>
        <v>0</v>
      </c>
      <c r="I69" s="231" t="s">
        <v>87</v>
      </c>
    </row>
    <row r="70" spans="1:9" x14ac:dyDescent="0.25">
      <c r="A70" s="210"/>
      <c r="B70" s="6"/>
      <c r="C70" s="17"/>
      <c r="D70" s="17"/>
      <c r="E70" s="17"/>
      <c r="F70" s="17"/>
      <c r="G70" s="17"/>
      <c r="H70" s="229"/>
      <c r="I70" s="230"/>
    </row>
    <row r="71" spans="1:9" ht="15.75" thickBot="1" x14ac:dyDescent="0.3">
      <c r="A71" s="210"/>
      <c r="B71" s="6"/>
      <c r="C71" s="17"/>
      <c r="D71" s="17"/>
      <c r="E71" s="17"/>
      <c r="F71" s="17"/>
      <c r="G71" s="17"/>
      <c r="H71" s="229"/>
      <c r="I71" s="230"/>
    </row>
    <row r="72" spans="1:9" ht="15.75" thickBot="1" x14ac:dyDescent="0.3">
      <c r="A72" s="207" t="s">
        <v>101</v>
      </c>
      <c r="B72" s="118">
        <f>'Calculation tool'!C38</f>
        <v>15</v>
      </c>
      <c r="C72" s="34"/>
      <c r="D72" s="34"/>
      <c r="E72" s="86">
        <f>H72/'Data for calculations'!I6</f>
        <v>0.22988505747126436</v>
      </c>
      <c r="F72" s="34"/>
      <c r="G72" s="34"/>
      <c r="H72" s="31">
        <f>B72*'Data for calculations'!I16</f>
        <v>1.2</v>
      </c>
      <c r="I72" s="231" t="s">
        <v>87</v>
      </c>
    </row>
    <row r="73" spans="1:9" ht="15.75" thickBot="1" x14ac:dyDescent="0.3">
      <c r="A73" s="207" t="s">
        <v>102</v>
      </c>
      <c r="B73" s="117">
        <f>'Calculation tool'!C63</f>
        <v>17</v>
      </c>
      <c r="C73" s="34"/>
      <c r="D73" s="34"/>
      <c r="E73" s="90">
        <f>H73/'Data for calculations'!I6</f>
        <v>0.26053639846743298</v>
      </c>
      <c r="F73" s="29"/>
      <c r="G73" s="29"/>
      <c r="H73" s="30">
        <f>B73*'Data for calculations'!I16</f>
        <v>1.36</v>
      </c>
      <c r="I73" s="231" t="s">
        <v>87</v>
      </c>
    </row>
    <row r="74" spans="1:9" x14ac:dyDescent="0.25">
      <c r="A74" s="210" t="s">
        <v>103</v>
      </c>
      <c r="B74" s="13">
        <f>'Data for calculations'!I16</f>
        <v>0.08</v>
      </c>
      <c r="C74" s="17"/>
      <c r="D74" s="17"/>
      <c r="E74" s="17"/>
      <c r="F74" s="17"/>
      <c r="G74" s="17"/>
      <c r="H74" s="229"/>
      <c r="I74" s="230"/>
    </row>
    <row r="75" spans="1:9" x14ac:dyDescent="0.25">
      <c r="A75" s="210" t="s">
        <v>104</v>
      </c>
      <c r="B75" s="6"/>
      <c r="C75" s="17"/>
      <c r="D75" s="17"/>
      <c r="E75" s="17"/>
      <c r="F75" s="17"/>
      <c r="G75" s="17"/>
      <c r="H75" s="229"/>
      <c r="I75" s="230"/>
    </row>
    <row r="76" spans="1:9" x14ac:dyDescent="0.25">
      <c r="A76" s="210"/>
      <c r="B76" s="6"/>
      <c r="C76" s="17"/>
      <c r="D76" s="17"/>
      <c r="E76" s="17"/>
      <c r="F76" s="17"/>
      <c r="G76" s="17"/>
      <c r="H76" s="229"/>
      <c r="I76" s="230"/>
    </row>
    <row r="77" spans="1:9" x14ac:dyDescent="0.25">
      <c r="A77" s="210"/>
      <c r="B77" s="6"/>
      <c r="C77" s="17"/>
      <c r="D77" s="17"/>
      <c r="E77" s="17"/>
      <c r="F77" s="17"/>
      <c r="G77" s="17"/>
      <c r="H77" s="229"/>
      <c r="I77" s="230"/>
    </row>
    <row r="78" spans="1:9" x14ac:dyDescent="0.25">
      <c r="A78" s="210"/>
      <c r="B78" s="6"/>
      <c r="C78" s="17"/>
      <c r="D78" s="17"/>
      <c r="E78" s="17"/>
      <c r="F78" s="17"/>
      <c r="G78" s="17"/>
      <c r="H78" s="229"/>
      <c r="I78" s="230"/>
    </row>
    <row r="79" spans="1:9" x14ac:dyDescent="0.25">
      <c r="A79" s="232" t="s">
        <v>105</v>
      </c>
      <c r="B79" s="26"/>
      <c r="C79" s="71">
        <f>E79*(1+$C$3)</f>
        <v>5.8029118773946378</v>
      </c>
      <c r="D79" s="70">
        <f>E79*(1+$D$3)</f>
        <v>6.5282758620689672</v>
      </c>
      <c r="E79" s="86">
        <f>SUM(E63:E75)</f>
        <v>7.2536398467432965</v>
      </c>
      <c r="F79" s="28">
        <f>E79*(1+$F$3)</f>
        <v>7.9790038314176268</v>
      </c>
      <c r="G79" s="69">
        <f>E79*(1+$G$3)</f>
        <v>8.7043678160919562</v>
      </c>
      <c r="H79" s="31">
        <f>E79*'Data for calculations'!I6</f>
        <v>37.864000000000004</v>
      </c>
      <c r="I79" s="231" t="s">
        <v>87</v>
      </c>
    </row>
    <row r="80" spans="1:9" x14ac:dyDescent="0.25">
      <c r="A80" s="219"/>
      <c r="B80" s="6"/>
      <c r="H80" s="239"/>
      <c r="I80" s="240"/>
    </row>
    <row r="81" spans="1:9" ht="19.5" thickBot="1" x14ac:dyDescent="0.35">
      <c r="A81" s="241" t="s">
        <v>96</v>
      </c>
      <c r="B81" s="38"/>
      <c r="C81" s="74">
        <f>E81*(1+$C$3)</f>
        <v>36.368735632183913</v>
      </c>
      <c r="D81" s="77">
        <f>E81*(1+$D$3)</f>
        <v>40.914827586206897</v>
      </c>
      <c r="E81" s="97">
        <f>E55+E79</f>
        <v>45.460919540229888</v>
      </c>
      <c r="F81" s="78">
        <f>E81*(1+$F$3)</f>
        <v>50.007011494252879</v>
      </c>
      <c r="G81" s="81">
        <f>E81*(1+$G$3)</f>
        <v>54.553103448275863</v>
      </c>
      <c r="H81" s="98">
        <f>E81*'Data for calculations'!I6</f>
        <v>237.30600000000001</v>
      </c>
      <c r="I81" s="231" t="s">
        <v>87</v>
      </c>
    </row>
    <row r="82" spans="1:9" ht="15.75" thickTop="1" x14ac:dyDescent="0.25">
      <c r="A82" s="156"/>
      <c r="B82" s="17"/>
      <c r="C82" s="17"/>
      <c r="D82" s="17"/>
      <c r="E82" s="17"/>
      <c r="F82" s="17"/>
      <c r="G82" s="17"/>
      <c r="H82" s="229"/>
      <c r="I82" s="230"/>
    </row>
    <row r="83" spans="1:9" x14ac:dyDescent="0.25">
      <c r="A83" s="156"/>
      <c r="B83" s="17"/>
      <c r="C83" s="17"/>
      <c r="D83" s="17"/>
      <c r="E83" s="17"/>
      <c r="F83" s="17"/>
      <c r="G83" s="17"/>
      <c r="H83" s="229"/>
      <c r="I83" s="230"/>
    </row>
    <row r="84" spans="1:9" x14ac:dyDescent="0.25">
      <c r="A84" s="154"/>
      <c r="B84" s="17"/>
      <c r="C84" s="17"/>
      <c r="D84" s="17"/>
      <c r="E84" s="17"/>
      <c r="F84" s="17"/>
      <c r="G84" s="17"/>
      <c r="H84" s="229"/>
      <c r="I84" s="230"/>
    </row>
    <row r="85" spans="1:9" x14ac:dyDescent="0.25">
      <c r="A85" s="203" t="s">
        <v>97</v>
      </c>
      <c r="B85" s="17"/>
      <c r="C85" s="17"/>
      <c r="D85" s="17"/>
      <c r="E85" s="17"/>
      <c r="F85" s="17"/>
      <c r="G85" s="17"/>
      <c r="H85" s="17"/>
      <c r="I85" s="152"/>
    </row>
    <row r="86" spans="1:9" x14ac:dyDescent="0.25">
      <c r="A86" s="227" t="s">
        <v>106</v>
      </c>
      <c r="B86" s="16" t="s">
        <v>44</v>
      </c>
      <c r="C86" s="10">
        <f>C3</f>
        <v>-0.2</v>
      </c>
      <c r="D86" s="10">
        <f>D3</f>
        <v>-0.1</v>
      </c>
      <c r="E86" s="27" t="s">
        <v>45</v>
      </c>
      <c r="F86" s="11">
        <f>F3</f>
        <v>0.1</v>
      </c>
      <c r="G86" s="11">
        <f>G3</f>
        <v>0.2</v>
      </c>
      <c r="H86" s="32"/>
      <c r="I86" s="242"/>
    </row>
    <row r="87" spans="1:9" x14ac:dyDescent="0.25">
      <c r="A87" s="204"/>
      <c r="B87" s="3"/>
      <c r="C87" s="99" t="s">
        <v>48</v>
      </c>
      <c r="D87" s="99" t="s">
        <v>48</v>
      </c>
      <c r="E87" s="10" t="s">
        <v>10</v>
      </c>
      <c r="F87" s="99" t="s">
        <v>49</v>
      </c>
      <c r="G87" s="100" t="s">
        <v>49</v>
      </c>
      <c r="H87" s="33"/>
      <c r="I87" s="243"/>
    </row>
    <row r="88" spans="1:9" x14ac:dyDescent="0.25">
      <c r="A88" s="244" t="s">
        <v>107</v>
      </c>
      <c r="B88" s="124"/>
      <c r="C88" s="17"/>
      <c r="D88" s="17"/>
      <c r="E88" s="17"/>
      <c r="F88" s="17"/>
      <c r="G88" s="17"/>
      <c r="H88" s="229"/>
      <c r="I88" s="230"/>
    </row>
    <row r="89" spans="1:9" x14ac:dyDescent="0.25">
      <c r="A89" s="210" t="s">
        <v>108</v>
      </c>
      <c r="B89" s="6"/>
      <c r="C89" s="17"/>
      <c r="D89" s="17"/>
      <c r="E89" s="17"/>
      <c r="F89" s="17"/>
      <c r="G89" s="17"/>
      <c r="H89" s="229"/>
      <c r="I89" s="230"/>
    </row>
    <row r="90" spans="1:9" x14ac:dyDescent="0.25">
      <c r="A90" s="210"/>
      <c r="B90" s="6"/>
      <c r="C90" s="17"/>
      <c r="D90" s="17"/>
      <c r="E90" s="17"/>
      <c r="F90" s="17"/>
      <c r="G90" s="17"/>
      <c r="H90" s="229"/>
      <c r="I90" s="230"/>
    </row>
    <row r="91" spans="1:9" ht="15.75" thickBot="1" x14ac:dyDescent="0.3">
      <c r="A91" s="233" t="s">
        <v>109</v>
      </c>
      <c r="B91" s="6"/>
      <c r="C91" s="17"/>
      <c r="D91" s="17"/>
      <c r="E91" s="17"/>
      <c r="F91" s="17"/>
      <c r="G91" s="17"/>
      <c r="H91" s="229"/>
      <c r="I91" s="230"/>
    </row>
    <row r="92" spans="1:9" ht="19.5" thickBot="1" x14ac:dyDescent="0.35">
      <c r="A92" s="207" t="s">
        <v>110</v>
      </c>
      <c r="B92" s="107">
        <f>'Calculation tool'!C63</f>
        <v>17</v>
      </c>
      <c r="C92" s="17"/>
      <c r="D92" s="17"/>
      <c r="E92" s="17"/>
      <c r="F92" s="17"/>
      <c r="G92" s="17"/>
      <c r="H92" s="229"/>
      <c r="I92" s="230"/>
    </row>
    <row r="93" spans="1:9" x14ac:dyDescent="0.25">
      <c r="A93" s="232" t="s">
        <v>103</v>
      </c>
      <c r="B93" s="112">
        <f>'Data for calculations'!I16</f>
        <v>0.08</v>
      </c>
      <c r="C93" s="34"/>
      <c r="D93" s="34"/>
      <c r="E93" s="88">
        <f>H93/'Data for calculations'!I6</f>
        <v>0.26053639846743298</v>
      </c>
      <c r="F93" s="34"/>
      <c r="G93" s="34"/>
      <c r="H93" s="31">
        <f>B92*B93</f>
        <v>1.36</v>
      </c>
      <c r="I93" s="231" t="s">
        <v>87</v>
      </c>
    </row>
    <row r="94" spans="1:9" x14ac:dyDescent="0.25">
      <c r="A94" s="210" t="s">
        <v>104</v>
      </c>
      <c r="B94" s="6"/>
      <c r="C94" s="17"/>
      <c r="D94" s="17"/>
      <c r="E94" s="17"/>
      <c r="F94" s="17"/>
      <c r="G94" s="17"/>
      <c r="H94" s="229"/>
      <c r="I94" s="230"/>
    </row>
    <row r="95" spans="1:9" x14ac:dyDescent="0.25">
      <c r="A95" s="210"/>
      <c r="B95" s="6"/>
      <c r="C95" s="17"/>
      <c r="D95" s="17"/>
      <c r="E95" s="17"/>
      <c r="F95" s="17"/>
      <c r="G95" s="17"/>
      <c r="H95" s="229"/>
      <c r="I95" s="230"/>
    </row>
    <row r="96" spans="1:9" x14ac:dyDescent="0.25">
      <c r="A96" s="210"/>
      <c r="B96" s="6"/>
      <c r="C96" s="17"/>
      <c r="D96" s="17"/>
      <c r="E96" s="17"/>
      <c r="F96" s="17"/>
      <c r="G96" s="17"/>
      <c r="H96" s="229"/>
      <c r="I96" s="230"/>
    </row>
    <row r="97" spans="1:9" x14ac:dyDescent="0.25">
      <c r="A97" s="245" t="s">
        <v>111</v>
      </c>
      <c r="B97" s="26"/>
      <c r="C97" s="34"/>
      <c r="D97" s="34"/>
      <c r="E97" s="88">
        <f>SUM(E88:E96)</f>
        <v>0.26053639846743298</v>
      </c>
      <c r="F97" s="34"/>
      <c r="G97" s="34"/>
      <c r="H97" s="31">
        <f>E97*'Data for calculations'!I6</f>
        <v>1.36</v>
      </c>
      <c r="I97" s="231" t="s">
        <v>87</v>
      </c>
    </row>
    <row r="98" spans="1:9" x14ac:dyDescent="0.25">
      <c r="A98" s="219"/>
      <c r="B98" s="6"/>
      <c r="H98" s="239"/>
      <c r="I98" s="240"/>
    </row>
    <row r="99" spans="1:9" ht="19.5" thickBot="1" x14ac:dyDescent="0.35">
      <c r="A99" s="235" t="s">
        <v>96</v>
      </c>
      <c r="B99" s="38"/>
      <c r="C99" s="75">
        <f>E99*(1+C86)</f>
        <v>36.577164750957856</v>
      </c>
      <c r="D99" s="76">
        <f>E99*(1+D86)</f>
        <v>41.14931034482759</v>
      </c>
      <c r="E99" s="97">
        <f>E81+E97</f>
        <v>45.721455938697318</v>
      </c>
      <c r="F99" s="79">
        <f>E99*(1+F86)</f>
        <v>50.293601532567052</v>
      </c>
      <c r="G99" s="80">
        <f>E99*(1+G86)</f>
        <v>54.86574712643678</v>
      </c>
      <c r="H99" s="98">
        <f>E99*'Data for calculations'!I6</f>
        <v>238.666</v>
      </c>
      <c r="I99" s="231" t="s">
        <v>87</v>
      </c>
    </row>
    <row r="100" spans="1:9" ht="15.75" thickTop="1" x14ac:dyDescent="0.25">
      <c r="A100" s="156"/>
      <c r="B100" s="17"/>
      <c r="C100" s="17"/>
      <c r="D100" s="17"/>
      <c r="E100" s="17"/>
      <c r="F100" s="17"/>
      <c r="G100" s="17"/>
      <c r="H100" s="229"/>
      <c r="I100" s="230"/>
    </row>
    <row r="101" spans="1:9" x14ac:dyDescent="0.25">
      <c r="A101" s="156"/>
      <c r="B101" s="17"/>
      <c r="C101" s="17"/>
      <c r="D101" s="17"/>
      <c r="E101" s="17"/>
      <c r="F101" s="17"/>
      <c r="G101" s="17"/>
      <c r="H101" s="17"/>
      <c r="I101" s="152"/>
    </row>
    <row r="102" spans="1:9" x14ac:dyDescent="0.25">
      <c r="A102" s="246" t="s">
        <v>112</v>
      </c>
      <c r="B102" s="17"/>
      <c r="C102" s="17"/>
      <c r="D102" s="17"/>
      <c r="E102" s="17"/>
      <c r="F102" s="17"/>
      <c r="G102" s="17"/>
      <c r="H102" s="17"/>
      <c r="I102" s="152"/>
    </row>
    <row r="103" spans="1:9" x14ac:dyDescent="0.25">
      <c r="A103" s="227" t="s">
        <v>113</v>
      </c>
      <c r="B103" s="16" t="s">
        <v>44</v>
      </c>
      <c r="C103" s="10">
        <f>C3</f>
        <v>-0.2</v>
      </c>
      <c r="D103" s="10">
        <f>D3</f>
        <v>-0.1</v>
      </c>
      <c r="E103" s="27" t="s">
        <v>45</v>
      </c>
      <c r="F103" s="11">
        <f>F3</f>
        <v>0.1</v>
      </c>
      <c r="G103" s="11">
        <f>G3</f>
        <v>0.2</v>
      </c>
      <c r="H103" s="17"/>
      <c r="I103" s="152"/>
    </row>
    <row r="104" spans="1:9" x14ac:dyDescent="0.25">
      <c r="A104" s="210"/>
      <c r="B104" s="105"/>
      <c r="C104" s="99" t="s">
        <v>48</v>
      </c>
      <c r="D104" s="99" t="s">
        <v>48</v>
      </c>
      <c r="E104" s="10" t="s">
        <v>10</v>
      </c>
      <c r="F104" s="99" t="s">
        <v>49</v>
      </c>
      <c r="G104" s="100" t="s">
        <v>49</v>
      </c>
      <c r="H104" s="17"/>
      <c r="I104" s="152"/>
    </row>
    <row r="105" spans="1:9" x14ac:dyDescent="0.25">
      <c r="A105" s="247" t="s">
        <v>114</v>
      </c>
      <c r="B105" s="272">
        <f>IF('Calculation tool'!C53="Yes",1,0)</f>
        <v>1</v>
      </c>
      <c r="C105" s="17"/>
      <c r="D105" s="17"/>
      <c r="E105" s="17"/>
      <c r="F105" s="17"/>
      <c r="G105" s="25"/>
      <c r="H105" s="229"/>
      <c r="I105" s="230"/>
    </row>
    <row r="106" spans="1:9" x14ac:dyDescent="0.25">
      <c r="A106" s="237" t="s">
        <v>115</v>
      </c>
      <c r="B106" s="273">
        <f>'Calculation tool'!D53</f>
        <v>0.6</v>
      </c>
      <c r="C106" s="41"/>
      <c r="D106" s="41"/>
      <c r="E106" s="86">
        <f>B105*((E99/(B106))-E99)</f>
        <v>30.480970625798221</v>
      </c>
      <c r="F106" s="41"/>
      <c r="G106" s="57"/>
      <c r="H106" s="229"/>
      <c r="I106" s="230"/>
    </row>
    <row r="107" spans="1:9" x14ac:dyDescent="0.25">
      <c r="A107" s="210"/>
      <c r="B107" s="6"/>
      <c r="C107" s="17"/>
      <c r="D107" s="17"/>
      <c r="E107" s="17"/>
      <c r="F107" s="17"/>
      <c r="G107" s="25"/>
      <c r="H107" s="229"/>
      <c r="I107" s="230"/>
    </row>
    <row r="108" spans="1:9" x14ac:dyDescent="0.25">
      <c r="A108" s="247" t="s">
        <v>116</v>
      </c>
      <c r="B108" s="272">
        <f>IF('Calculation tool'!C54="Yes",1,0)</f>
        <v>0</v>
      </c>
      <c r="C108" s="17"/>
      <c r="D108" s="17"/>
      <c r="E108" s="17"/>
      <c r="F108" s="17"/>
      <c r="G108" s="25"/>
      <c r="H108" s="229"/>
      <c r="I108" s="230"/>
    </row>
    <row r="109" spans="1:9" x14ac:dyDescent="0.25">
      <c r="A109" s="232" t="s">
        <v>117</v>
      </c>
      <c r="B109" s="172">
        <v>0.3</v>
      </c>
      <c r="C109" s="41"/>
      <c r="D109" s="41"/>
      <c r="E109" s="41"/>
      <c r="F109" s="41"/>
      <c r="G109" s="57"/>
      <c r="H109" s="229"/>
      <c r="I109" s="230"/>
    </row>
    <row r="110" spans="1:9" x14ac:dyDescent="0.25">
      <c r="A110" s="232" t="s">
        <v>115</v>
      </c>
      <c r="B110" s="171">
        <f>'Calculation tool'!D54</f>
        <v>0.6</v>
      </c>
      <c r="C110" s="41"/>
      <c r="D110" s="41"/>
      <c r="E110" s="86">
        <f>B108*((E99/(1-B109))/(B110)-E99)</f>
        <v>0</v>
      </c>
      <c r="F110" s="41"/>
      <c r="G110" s="57"/>
      <c r="H110" s="229"/>
      <c r="I110" s="230"/>
    </row>
    <row r="111" spans="1:9" x14ac:dyDescent="0.25">
      <c r="A111" s="219"/>
      <c r="B111" s="6"/>
      <c r="C111" s="17"/>
      <c r="D111" s="17"/>
      <c r="E111" s="17"/>
      <c r="F111" s="17"/>
      <c r="G111" s="25"/>
      <c r="H111" s="229"/>
      <c r="I111" s="230"/>
    </row>
    <row r="112" spans="1:9" x14ac:dyDescent="0.25">
      <c r="A112" s="247" t="s">
        <v>118</v>
      </c>
      <c r="B112" s="238">
        <f>IF('Calculation tool'!C55="Yes",1,0)</f>
        <v>0</v>
      </c>
      <c r="C112" s="17"/>
      <c r="D112" s="17"/>
      <c r="E112" s="17"/>
      <c r="F112" s="17"/>
      <c r="G112" s="25"/>
      <c r="H112" s="229"/>
      <c r="I112" s="230"/>
    </row>
    <row r="113" spans="1:9" x14ac:dyDescent="0.25">
      <c r="A113" s="232" t="s">
        <v>119</v>
      </c>
      <c r="B113" s="106">
        <f>'Calculation tool'!C63</f>
        <v>17</v>
      </c>
      <c r="C113" s="41"/>
      <c r="D113" s="41"/>
      <c r="E113" s="41"/>
      <c r="F113" s="41"/>
      <c r="G113" s="57"/>
      <c r="H113" s="229"/>
      <c r="I113" s="230"/>
    </row>
    <row r="114" spans="1:9" x14ac:dyDescent="0.25">
      <c r="A114" s="232" t="s">
        <v>120</v>
      </c>
      <c r="B114" s="172">
        <v>0.12</v>
      </c>
      <c r="C114" s="41"/>
      <c r="D114" s="41"/>
      <c r="E114" s="274"/>
      <c r="F114" s="41"/>
      <c r="G114" s="57"/>
      <c r="H114" s="229"/>
      <c r="I114" s="230"/>
    </row>
    <row r="115" spans="1:9" x14ac:dyDescent="0.25">
      <c r="A115" s="210" t="s">
        <v>121</v>
      </c>
      <c r="B115" s="6">
        <f>'Data for calculations'!I17</f>
        <v>0.4</v>
      </c>
      <c r="C115" s="41"/>
      <c r="D115" s="41"/>
      <c r="E115" s="86">
        <f>B115*(B113*B112/'Data for calculations'!I6)/B116</f>
        <v>0</v>
      </c>
      <c r="F115" s="41"/>
      <c r="G115" s="57"/>
      <c r="H115" s="17"/>
      <c r="I115" s="152"/>
    </row>
    <row r="116" spans="1:9" x14ac:dyDescent="0.25">
      <c r="A116" s="232" t="s">
        <v>115</v>
      </c>
      <c r="B116" s="171">
        <f>'Calculation tool'!D55</f>
        <v>0.6</v>
      </c>
      <c r="C116" s="41"/>
      <c r="D116" s="41"/>
      <c r="E116" s="86">
        <f>B112*(((E99/(1-B114))/B116)-E99)</f>
        <v>0</v>
      </c>
      <c r="F116" s="41"/>
      <c r="G116" s="57"/>
      <c r="H116" s="17"/>
      <c r="I116" s="152"/>
    </row>
    <row r="117" spans="1:9" x14ac:dyDescent="0.25">
      <c r="A117" s="219"/>
      <c r="B117" s="6"/>
      <c r="C117" s="17"/>
      <c r="D117" s="17"/>
      <c r="E117" s="17"/>
      <c r="F117" s="17"/>
      <c r="G117" s="25"/>
      <c r="H117" s="17"/>
      <c r="I117" s="152"/>
    </row>
    <row r="118" spans="1:9" x14ac:dyDescent="0.25">
      <c r="A118" s="247" t="s">
        <v>71</v>
      </c>
      <c r="B118" s="238">
        <f>IF('Calculation tool'!C56="Yes",1,0)</f>
        <v>0</v>
      </c>
      <c r="C118" s="17"/>
      <c r="D118" s="17"/>
      <c r="E118" s="17"/>
      <c r="F118" s="17"/>
      <c r="G118" s="25"/>
      <c r="H118" s="17"/>
      <c r="I118" s="152"/>
    </row>
    <row r="119" spans="1:9" x14ac:dyDescent="0.25">
      <c r="A119" s="232" t="s">
        <v>122</v>
      </c>
      <c r="B119" s="106">
        <v>0</v>
      </c>
      <c r="C119" s="41"/>
      <c r="D119" s="41"/>
      <c r="E119" s="86">
        <f>B119</f>
        <v>0</v>
      </c>
      <c r="F119" s="41"/>
      <c r="G119" s="57"/>
      <c r="H119" s="17"/>
      <c r="I119" s="152"/>
    </row>
    <row r="120" spans="1:9" x14ac:dyDescent="0.25">
      <c r="A120" s="232" t="s">
        <v>115</v>
      </c>
      <c r="B120" s="171">
        <f>'Calculation tool'!D56</f>
        <v>0.3</v>
      </c>
      <c r="C120" s="41"/>
      <c r="D120" s="41"/>
      <c r="E120" s="86">
        <f>B118*((E99/(B120))-E99)</f>
        <v>0</v>
      </c>
      <c r="F120" s="41"/>
      <c r="G120" s="57"/>
      <c r="H120" s="17"/>
      <c r="I120" s="152"/>
    </row>
    <row r="121" spans="1:9" x14ac:dyDescent="0.25">
      <c r="A121" s="219"/>
      <c r="B121" s="6"/>
      <c r="C121" s="17"/>
      <c r="D121" s="17"/>
      <c r="E121" s="17"/>
      <c r="F121" s="17"/>
      <c r="G121" s="25"/>
      <c r="H121" s="17"/>
      <c r="I121" s="152"/>
    </row>
    <row r="122" spans="1:9" x14ac:dyDescent="0.25">
      <c r="A122" s="245" t="s">
        <v>123</v>
      </c>
      <c r="B122" s="26"/>
      <c r="C122" s="111">
        <f>E122*(1+C103)</f>
        <v>24.38477650063858</v>
      </c>
      <c r="D122" s="110">
        <f>E122*(1+D103)</f>
        <v>27.432873563218401</v>
      </c>
      <c r="E122" s="86">
        <f>SUM(E106:E120)</f>
        <v>30.480970625798221</v>
      </c>
      <c r="F122" s="108">
        <f>E122*(1+F103)</f>
        <v>33.529067688378049</v>
      </c>
      <c r="G122" s="109">
        <f>E122*(1+G103)</f>
        <v>36.577164750957863</v>
      </c>
      <c r="H122" s="17"/>
      <c r="I122" s="152"/>
    </row>
    <row r="123" spans="1:9" ht="15.75" thickBot="1" x14ac:dyDescent="0.3">
      <c r="A123" s="219"/>
      <c r="B123" s="6"/>
      <c r="F123" s="17"/>
      <c r="G123" s="25"/>
      <c r="H123" s="17"/>
      <c r="I123" s="152"/>
    </row>
    <row r="124" spans="1:9" ht="19.5" thickBot="1" x14ac:dyDescent="0.35">
      <c r="A124" s="248" t="s">
        <v>124</v>
      </c>
      <c r="B124" s="249"/>
      <c r="C124" s="250">
        <f>E124*(1+C103)</f>
        <v>60.961941251596436</v>
      </c>
      <c r="D124" s="251">
        <f>E124*(1+D103)</f>
        <v>68.582183908045991</v>
      </c>
      <c r="E124" s="257">
        <f>E99+E122</f>
        <v>76.202426564495539</v>
      </c>
      <c r="F124" s="252">
        <f>E124*(1+F103)</f>
        <v>83.822669220945102</v>
      </c>
      <c r="G124" s="253">
        <f>E124*(1+G103)</f>
        <v>91.44291187739465</v>
      </c>
      <c r="H124" s="18"/>
      <c r="I124" s="162"/>
    </row>
  </sheetData>
  <mergeCells count="3">
    <mergeCell ref="H3:I3"/>
    <mergeCell ref="H35:I35"/>
    <mergeCell ref="H61:I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opLeftCell="A8" zoomScaleNormal="100" workbookViewId="0">
      <selection activeCell="A29" sqref="A29"/>
    </sheetView>
  </sheetViews>
  <sheetFormatPr baseColWidth="10" defaultColWidth="8.85546875" defaultRowHeight="15" x14ac:dyDescent="0.25"/>
  <cols>
    <col min="1" max="2" width="8.85546875" style="17"/>
    <col min="3" max="3" width="48" style="17" customWidth="1"/>
    <col min="4" max="4" width="17.28515625" style="17" customWidth="1"/>
    <col min="5" max="6" width="8.85546875" style="17"/>
    <col min="7" max="7" width="28.85546875" style="17" customWidth="1"/>
    <col min="8" max="8" width="35.42578125" style="17" customWidth="1"/>
    <col min="9" max="9" width="21.140625" style="17" customWidth="1"/>
    <col min="10" max="10" width="22.42578125" style="17" customWidth="1"/>
    <col min="11" max="11" width="24.5703125" style="17" customWidth="1"/>
    <col min="12" max="12" width="17" style="17" customWidth="1"/>
    <col min="13" max="14" width="33.42578125" style="17" customWidth="1"/>
    <col min="15" max="15" width="29" style="17" customWidth="1"/>
    <col min="16" max="16" width="35.42578125" style="17" customWidth="1"/>
    <col min="17" max="17" width="10" style="17" customWidth="1"/>
    <col min="18" max="18" width="13.7109375" style="17" customWidth="1"/>
    <col min="19" max="19" width="8.85546875" style="17"/>
    <col min="20" max="20" width="36.140625" style="17" customWidth="1"/>
    <col min="21" max="22" width="8.85546875" style="17"/>
  </cols>
  <sheetData>
    <row r="2" spans="3:24" x14ac:dyDescent="0.25">
      <c r="T2" s="179"/>
      <c r="U2" s="179"/>
      <c r="V2" s="179"/>
    </row>
    <row r="3" spans="3:24" x14ac:dyDescent="0.25">
      <c r="U3" s="125"/>
    </row>
    <row r="4" spans="3:24" x14ac:dyDescent="0.25">
      <c r="U4" s="125"/>
    </row>
    <row r="5" spans="3:24" ht="15" customHeight="1" thickBot="1" x14ac:dyDescent="0.3">
      <c r="H5" s="140" t="s">
        <v>125</v>
      </c>
      <c r="I5" s="140"/>
      <c r="J5" s="140" t="s">
        <v>126</v>
      </c>
      <c r="K5" s="142" t="s">
        <v>18</v>
      </c>
      <c r="L5" s="142"/>
      <c r="M5" s="142"/>
      <c r="N5" s="134"/>
      <c r="X5" s="2"/>
    </row>
    <row r="6" spans="3:24" ht="24" customHeight="1" x14ac:dyDescent="0.25">
      <c r="H6" s="128" t="s">
        <v>127</v>
      </c>
      <c r="I6" s="133">
        <v>5.22</v>
      </c>
      <c r="J6" s="128" t="s">
        <v>128</v>
      </c>
      <c r="K6" s="128"/>
      <c r="L6" s="128"/>
      <c r="M6" s="128"/>
      <c r="N6" s="128"/>
      <c r="U6" s="125"/>
      <c r="X6" s="2"/>
    </row>
    <row r="7" spans="3:24" ht="45" x14ac:dyDescent="0.25">
      <c r="H7" s="132" t="s">
        <v>129</v>
      </c>
      <c r="I7" s="41">
        <v>39.4</v>
      </c>
      <c r="J7" s="41" t="s">
        <v>130</v>
      </c>
      <c r="K7" s="41"/>
      <c r="L7" s="41"/>
      <c r="M7" s="41"/>
      <c r="N7" s="41"/>
      <c r="U7" s="125"/>
      <c r="X7" s="2"/>
    </row>
    <row r="8" spans="3:24" x14ac:dyDescent="0.25">
      <c r="H8" s="41" t="s">
        <v>131</v>
      </c>
      <c r="I8" s="131">
        <v>33.33</v>
      </c>
      <c r="J8" s="41" t="s">
        <v>130</v>
      </c>
      <c r="K8" s="41"/>
      <c r="L8" s="41"/>
      <c r="M8" s="41"/>
      <c r="N8" s="41"/>
    </row>
    <row r="9" spans="3:24" x14ac:dyDescent="0.25">
      <c r="H9" s="95"/>
      <c r="I9" s="95"/>
      <c r="J9" s="95"/>
      <c r="K9" s="95"/>
      <c r="L9" s="95"/>
      <c r="M9" s="95"/>
      <c r="N9" s="95"/>
      <c r="U9" s="125"/>
    </row>
    <row r="10" spans="3:24" x14ac:dyDescent="0.25">
      <c r="U10" s="125"/>
    </row>
    <row r="11" spans="3:24" x14ac:dyDescent="0.25">
      <c r="U11" s="125"/>
    </row>
    <row r="12" spans="3:24" ht="16.5" thickBot="1" x14ac:dyDescent="0.3">
      <c r="H12" s="141" t="s">
        <v>132</v>
      </c>
      <c r="I12" s="19"/>
      <c r="J12" s="19"/>
      <c r="K12" s="19"/>
      <c r="L12" s="19"/>
      <c r="M12" s="19"/>
      <c r="N12" s="19"/>
      <c r="U12" s="125"/>
    </row>
    <row r="13" spans="3:24" ht="15" customHeight="1" x14ac:dyDescent="0.25">
      <c r="H13" s="128" t="s">
        <v>133</v>
      </c>
      <c r="I13" s="133">
        <v>10500</v>
      </c>
      <c r="J13" s="128" t="s">
        <v>134</v>
      </c>
      <c r="K13" s="128" t="s">
        <v>135</v>
      </c>
      <c r="L13" s="297" t="s">
        <v>136</v>
      </c>
      <c r="M13" s="298" t="s">
        <v>137</v>
      </c>
      <c r="N13" s="128"/>
      <c r="U13" s="125"/>
    </row>
    <row r="14" spans="3:24" ht="15" customHeight="1" thickBot="1" x14ac:dyDescent="0.3">
      <c r="H14" s="95" t="s">
        <v>138</v>
      </c>
      <c r="I14" s="135">
        <v>1.0009999999999999</v>
      </c>
      <c r="J14" s="95" t="s">
        <v>139</v>
      </c>
      <c r="K14" s="143" t="s">
        <v>140</v>
      </c>
      <c r="L14" s="137" t="s">
        <v>141</v>
      </c>
      <c r="M14" s="95"/>
      <c r="N14" s="95"/>
      <c r="U14" s="125"/>
    </row>
    <row r="15" spans="3:24" ht="30" x14ac:dyDescent="0.25">
      <c r="C15" s="191" t="s">
        <v>17</v>
      </c>
      <c r="D15" s="188" t="s">
        <v>19</v>
      </c>
      <c r="H15" s="17" t="s">
        <v>142</v>
      </c>
      <c r="I15" s="17">
        <v>0.2</v>
      </c>
      <c r="J15" s="17" t="s">
        <v>139</v>
      </c>
      <c r="K15" s="126"/>
      <c r="L15" s="138"/>
      <c r="M15" s="299" t="s">
        <v>143</v>
      </c>
      <c r="U15" s="125"/>
    </row>
    <row r="16" spans="3:24" ht="18" customHeight="1" x14ac:dyDescent="0.25">
      <c r="C16" s="184" t="s">
        <v>21</v>
      </c>
      <c r="D16" s="185">
        <v>17</v>
      </c>
      <c r="H16" s="41" t="s">
        <v>144</v>
      </c>
      <c r="I16" s="131">
        <v>0.08</v>
      </c>
      <c r="J16" s="41" t="s">
        <v>139</v>
      </c>
      <c r="K16" s="145" t="s">
        <v>140</v>
      </c>
      <c r="L16" s="146"/>
      <c r="M16" s="147"/>
      <c r="N16" s="41"/>
      <c r="T16" s="180"/>
    </row>
    <row r="17" spans="3:25" x14ac:dyDescent="0.25">
      <c r="C17" s="189" t="s">
        <v>22</v>
      </c>
      <c r="D17" s="190">
        <v>12</v>
      </c>
      <c r="H17" s="128" t="s">
        <v>145</v>
      </c>
      <c r="I17" s="128">
        <f>400/1000</f>
        <v>0.4</v>
      </c>
      <c r="J17" s="128" t="s">
        <v>139</v>
      </c>
      <c r="K17" s="129" t="s">
        <v>140</v>
      </c>
      <c r="L17" s="139"/>
      <c r="M17" s="144"/>
      <c r="N17" s="128"/>
      <c r="U17" s="125"/>
    </row>
    <row r="18" spans="3:25" x14ac:dyDescent="0.25">
      <c r="C18" s="184" t="s">
        <v>24</v>
      </c>
      <c r="D18" s="152">
        <v>52</v>
      </c>
      <c r="H18" s="17" t="s">
        <v>146</v>
      </c>
      <c r="I18" s="17">
        <v>12</v>
      </c>
      <c r="J18" s="17" t="s">
        <v>147</v>
      </c>
      <c r="K18" s="129" t="s">
        <v>140</v>
      </c>
      <c r="U18" s="125"/>
      <c r="Y18" s="1"/>
    </row>
    <row r="19" spans="3:25" x14ac:dyDescent="0.25">
      <c r="C19" s="189" t="s">
        <v>25</v>
      </c>
      <c r="D19" s="190">
        <v>8</v>
      </c>
      <c r="H19" s="17" t="s">
        <v>148</v>
      </c>
      <c r="I19" s="17">
        <v>30</v>
      </c>
      <c r="J19" s="17" t="s">
        <v>147</v>
      </c>
      <c r="K19" s="129" t="s">
        <v>140</v>
      </c>
      <c r="U19" s="125"/>
    </row>
    <row r="20" spans="3:25" x14ac:dyDescent="0.25">
      <c r="C20" s="184" t="s">
        <v>26</v>
      </c>
      <c r="D20" s="186">
        <v>15</v>
      </c>
      <c r="H20" s="41" t="s">
        <v>149</v>
      </c>
      <c r="I20" s="41">
        <v>53</v>
      </c>
      <c r="J20" s="41" t="s">
        <v>150</v>
      </c>
      <c r="K20" s="41" t="s">
        <v>151</v>
      </c>
      <c r="L20" s="41"/>
      <c r="M20" s="41"/>
      <c r="N20" s="41"/>
    </row>
    <row r="21" spans="3:25" x14ac:dyDescent="0.25">
      <c r="C21" s="189" t="s">
        <v>27</v>
      </c>
      <c r="D21" s="190">
        <v>25</v>
      </c>
      <c r="H21" s="41" t="s">
        <v>152</v>
      </c>
      <c r="I21" s="131">
        <v>43</v>
      </c>
      <c r="J21" s="41" t="s">
        <v>150</v>
      </c>
      <c r="K21" s="41" t="s">
        <v>151</v>
      </c>
      <c r="L21" s="41"/>
      <c r="M21" s="41"/>
      <c r="N21" s="41"/>
    </row>
    <row r="22" spans="3:25" ht="15" customHeight="1" x14ac:dyDescent="0.25">
      <c r="C22" s="184" t="s">
        <v>28</v>
      </c>
      <c r="D22" s="186">
        <v>20</v>
      </c>
      <c r="H22" s="41"/>
      <c r="I22" s="41"/>
      <c r="J22" s="41"/>
      <c r="K22" s="41"/>
      <c r="L22" s="41"/>
      <c r="M22" s="41"/>
      <c r="N22" s="41"/>
    </row>
    <row r="23" spans="3:25" ht="19.5" customHeight="1" x14ac:dyDescent="0.25">
      <c r="C23" s="189" t="s">
        <v>29</v>
      </c>
      <c r="D23" s="190">
        <v>980</v>
      </c>
      <c r="H23" s="41" t="s">
        <v>153</v>
      </c>
      <c r="I23" s="131">
        <v>22</v>
      </c>
      <c r="J23" s="41" t="s">
        <v>154</v>
      </c>
      <c r="K23" s="132" t="s">
        <v>155</v>
      </c>
      <c r="L23" s="132"/>
      <c r="N23" s="132"/>
    </row>
    <row r="24" spans="3:25" ht="15.75" thickBot="1" x14ac:dyDescent="0.3">
      <c r="C24" s="187" t="s">
        <v>31</v>
      </c>
      <c r="D24" s="162"/>
      <c r="H24" s="41" t="s">
        <v>156</v>
      </c>
      <c r="I24" s="131">
        <v>62</v>
      </c>
      <c r="J24" s="41" t="s">
        <v>154</v>
      </c>
      <c r="K24" s="132" t="s">
        <v>155</v>
      </c>
      <c r="M24" s="307" t="s">
        <v>157</v>
      </c>
    </row>
    <row r="25" spans="3:25" x14ac:dyDescent="0.25">
      <c r="H25" s="41" t="s">
        <v>158</v>
      </c>
      <c r="I25" s="41">
        <v>8.4</v>
      </c>
      <c r="J25" s="41" t="s">
        <v>154</v>
      </c>
      <c r="K25" s="132" t="s">
        <v>155</v>
      </c>
      <c r="L25" s="132"/>
      <c r="M25" s="307"/>
      <c r="N25" s="132"/>
    </row>
    <row r="26" spans="3:25" x14ac:dyDescent="0.25">
      <c r="H26" s="128" t="s">
        <v>159</v>
      </c>
      <c r="I26" s="133">
        <v>16</v>
      </c>
      <c r="J26" s="128" t="s">
        <v>154</v>
      </c>
      <c r="K26" s="132" t="s">
        <v>155</v>
      </c>
      <c r="L26" s="136"/>
      <c r="M26" s="307"/>
      <c r="N26" s="128"/>
    </row>
    <row r="27" spans="3:25" x14ac:dyDescent="0.25">
      <c r="H27" s="17" t="s">
        <v>160</v>
      </c>
      <c r="I27" s="125">
        <v>5</v>
      </c>
      <c r="J27" s="17" t="s">
        <v>154</v>
      </c>
      <c r="K27" s="132" t="s">
        <v>155</v>
      </c>
      <c r="M27" s="308"/>
    </row>
    <row r="28" spans="3:25" x14ac:dyDescent="0.25">
      <c r="H28" s="41" t="s">
        <v>161</v>
      </c>
      <c r="I28" s="131">
        <v>53</v>
      </c>
      <c r="J28" s="41" t="s">
        <v>134</v>
      </c>
      <c r="K28" s="41" t="s">
        <v>151</v>
      </c>
      <c r="L28" s="41"/>
      <c r="M28" s="41" t="s">
        <v>162</v>
      </c>
      <c r="N28" s="41"/>
    </row>
    <row r="29" spans="3:25" x14ac:dyDescent="0.25">
      <c r="H29" s="41" t="s">
        <v>163</v>
      </c>
      <c r="I29" s="131">
        <v>10</v>
      </c>
      <c r="J29" s="41" t="s">
        <v>164</v>
      </c>
      <c r="K29" s="41"/>
      <c r="L29" s="41"/>
      <c r="M29" s="41"/>
      <c r="N29" s="41"/>
    </row>
    <row r="30" spans="3:25" x14ac:dyDescent="0.25">
      <c r="H30" s="128" t="s">
        <v>165</v>
      </c>
      <c r="I30" s="128"/>
      <c r="J30" s="128"/>
      <c r="K30" s="128"/>
      <c r="L30" s="128"/>
      <c r="M30" s="129"/>
      <c r="N30" s="130"/>
    </row>
    <row r="33" spans="14:18" x14ac:dyDescent="0.25">
      <c r="N33" s="127"/>
    </row>
    <row r="35" spans="14:18" x14ac:dyDescent="0.25">
      <c r="R35" s="125"/>
    </row>
    <row r="36" spans="14:18" x14ac:dyDescent="0.25">
      <c r="R36" s="125"/>
    </row>
    <row r="38" spans="14:18" x14ac:dyDescent="0.25">
      <c r="R38" s="125"/>
    </row>
    <row r="40" spans="14:18" x14ac:dyDescent="0.25">
      <c r="R40" s="125"/>
    </row>
    <row r="45" spans="14:18" x14ac:dyDescent="0.25">
      <c r="R45" s="181"/>
    </row>
    <row r="47" spans="14:18" x14ac:dyDescent="0.25">
      <c r="R47" s="181"/>
    </row>
  </sheetData>
  <mergeCells count="1">
    <mergeCell ref="M24:M27"/>
  </mergeCells>
  <hyperlinks>
    <hyperlink ref="C24" r:id="rId1" xr:uid="{C7A0A78F-1A27-4279-8B64-36588182B0D3}"/>
    <hyperlink ref="M13" r:id="rId2" tooltip="Persistent link using digital object identifier" xr:uid="{89025F07-2CF4-4E04-A54D-DEB01452EFBD}"/>
    <hyperlink ref="M15" r:id="rId3" xr:uid="{A6AA33C6-0BDB-42BF-9E31-4B275004FE4B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AAC47D25B99242BC629F585176AF81" ma:contentTypeVersion="8" ma:contentTypeDescription="Opprett et nytt dokument." ma:contentTypeScope="" ma:versionID="b2a89789e4f0311d500871e5b189bac9">
  <xsd:schema xmlns:xsd="http://www.w3.org/2001/XMLSchema" xmlns:xs="http://www.w3.org/2001/XMLSchema" xmlns:p="http://schemas.microsoft.com/office/2006/metadata/properties" xmlns:ns2="dc957638-0d76-4230-b6d4-637634968471" targetNamespace="http://schemas.microsoft.com/office/2006/metadata/properties" ma:root="true" ma:fieldsID="37420aa866a6f82d60308caadec04cb7" ns2:_="">
    <xsd:import namespace="dc957638-0d76-4230-b6d4-637634968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57638-0d76-4230-b6d4-637634968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3698B-DADF-4208-B1FF-06B3016FD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57638-0d76-4230-b6d4-637634968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3F1107-DC07-424D-9997-425C78DF7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1A476-9F56-42D2-B47A-E48F96E7D8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Calculation tool</vt:lpstr>
      <vt:lpstr>Calculations</vt:lpstr>
      <vt:lpstr>Data for 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Sølve Bergheim</cp:lastModifiedBy>
  <cp:revision/>
  <dcterms:created xsi:type="dcterms:W3CDTF">2022-02-19T14:58:44Z</dcterms:created>
  <dcterms:modified xsi:type="dcterms:W3CDTF">2022-06-13T22:58:36Z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0x01010001AAC47D25B99242BC629F585176AF81</vt:lpwstr>
  </property>
</Properties>
</file>