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comments5.xml" ContentType="application/vnd.openxmlformats-officedocument.spreadsheetml.comments+xml"/>
  <Override PartName="/xl/threadedComments/threadedComment4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b1698763463f0d/Documents/"/>
    </mc:Choice>
  </mc:AlternateContent>
  <xr:revisionPtr revIDLastSave="81" documentId="8_{8F79FD59-8757-4829-9B73-CE818872858D}" xr6:coauthVersionLast="46" xr6:coauthVersionMax="46" xr10:uidLastSave="{1299EBC8-31B6-4BCC-812E-1FC58DD5DC1B}"/>
  <bookViews>
    <workbookView xWindow="28680" yWindow="-120" windowWidth="29040" windowHeight="15840" firstSheet="8" activeTab="13" xr2:uid="{C85D3252-4714-4672-89D9-34D2C661F258}"/>
  </bookViews>
  <sheets>
    <sheet name="Tilveksttabell" sheetId="1" r:id="rId1"/>
    <sheet name="SGR tabell" sheetId="2" r:id="rId2"/>
    <sheet name="Tilveksttabell -10 grader" sheetId="3" r:id="rId3"/>
    <sheet name="Tilveksttabell - 12 grader" sheetId="4" r:id="rId4"/>
    <sheet name="Tilveksttabell - 14 grader" sheetId="5" r:id="rId5"/>
    <sheet name="Ukentlig vekst" sheetId="6" r:id="rId6"/>
    <sheet name="Vannparametere" sheetId="7" r:id="rId7"/>
    <sheet name="Vannparametere etter fisk" sheetId="9" r:id="rId8"/>
    <sheet name="Nitrifikasjonstall før fisk" sheetId="16" r:id="rId9"/>
    <sheet name="Nitrifikasjons etter fisk" sheetId="10" r:id="rId10"/>
    <sheet name="TSS og Turbiditet" sheetId="15" r:id="rId11"/>
    <sheet name="Plasmaprøver" sheetId="12" r:id="rId12"/>
    <sheet name="Gjelleprøver" sheetId="13" r:id="rId13"/>
    <sheet name="Vekst" sheetId="14" r:id="rId14"/>
    <sheet name="Reynolds tall" sheetId="17" r:id="rId15"/>
    <sheet name="Trykktap ∆p og porøsitet" sheetId="18" r:id="rId16"/>
    <sheet name="Strømmningshastighet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9" l="1"/>
  <c r="B28" i="19"/>
  <c r="B21" i="19"/>
  <c r="B22" i="19" s="1"/>
  <c r="B23" i="19" s="1"/>
  <c r="B20" i="19"/>
  <c r="B19" i="19"/>
  <c r="B14" i="19"/>
  <c r="B17" i="19" s="1"/>
  <c r="B11" i="19"/>
  <c r="B10" i="19"/>
  <c r="B28" i="18"/>
  <c r="B29" i="18" s="1"/>
  <c r="E23" i="18"/>
  <c r="E8" i="18"/>
  <c r="D8" i="18"/>
  <c r="C8" i="18"/>
  <c r="B6" i="17"/>
  <c r="B8" i="17" s="1"/>
  <c r="B4" i="17"/>
  <c r="D8" i="15" l="1"/>
  <c r="E8" i="15" s="1"/>
  <c r="D9" i="15"/>
  <c r="E9" i="15"/>
  <c r="D10" i="15"/>
  <c r="E10" i="15" s="1"/>
  <c r="D11" i="15"/>
  <c r="E11" i="15"/>
  <c r="H12" i="15"/>
  <c r="I12" i="15" s="1"/>
  <c r="L12" i="15"/>
  <c r="M12" i="15"/>
  <c r="P12" i="15"/>
  <c r="R12" i="15" s="1"/>
  <c r="H13" i="15"/>
  <c r="I13" i="15" s="1"/>
  <c r="L13" i="15"/>
  <c r="M13" i="15" s="1"/>
  <c r="P13" i="15"/>
  <c r="Q13" i="15" s="1"/>
  <c r="H14" i="15"/>
  <c r="I14" i="15"/>
  <c r="L14" i="15"/>
  <c r="M14" i="15"/>
  <c r="P14" i="15"/>
  <c r="Q14" i="15"/>
  <c r="R14" i="15"/>
  <c r="B42" i="14"/>
  <c r="B30" i="14"/>
  <c r="A30" i="14"/>
  <c r="B24" i="14"/>
  <c r="A24" i="14"/>
  <c r="H19" i="14"/>
  <c r="A42" i="14" s="1"/>
  <c r="G19" i="14"/>
  <c r="C19" i="14"/>
  <c r="B19" i="14"/>
  <c r="I18" i="14"/>
  <c r="D18" i="14"/>
  <c r="I17" i="14"/>
  <c r="D17" i="14"/>
  <c r="I16" i="14"/>
  <c r="D16" i="14"/>
  <c r="I15" i="14"/>
  <c r="D15" i="14"/>
  <c r="I14" i="14"/>
  <c r="D14" i="14"/>
  <c r="I13" i="14"/>
  <c r="D13" i="14"/>
  <c r="I12" i="14"/>
  <c r="D12" i="14"/>
  <c r="I11" i="14"/>
  <c r="D11" i="14"/>
  <c r="I10" i="14"/>
  <c r="D10" i="14"/>
  <c r="I9" i="14"/>
  <c r="D9" i="14"/>
  <c r="I8" i="14"/>
  <c r="D8" i="14"/>
  <c r="I7" i="14"/>
  <c r="B36" i="14" s="1"/>
  <c r="D7" i="14"/>
  <c r="A36" i="14" s="1"/>
  <c r="D17" i="13"/>
  <c r="C17" i="13"/>
  <c r="B17" i="13"/>
  <c r="E20" i="12"/>
  <c r="D20" i="12"/>
  <c r="C20" i="12"/>
  <c r="B20" i="12"/>
  <c r="D21" i="10"/>
  <c r="C21" i="10"/>
  <c r="B21" i="10"/>
  <c r="Q15" i="6"/>
  <c r="P15" i="6"/>
  <c r="O15" i="6"/>
  <c r="N15" i="6"/>
  <c r="M15" i="6"/>
  <c r="K15" i="6"/>
  <c r="I15" i="6"/>
  <c r="H15" i="6"/>
  <c r="G15" i="6"/>
  <c r="B15" i="6"/>
  <c r="Q14" i="6"/>
  <c r="P14" i="6"/>
  <c r="O14" i="6"/>
  <c r="N14" i="6"/>
  <c r="M14" i="6"/>
  <c r="K14" i="6"/>
  <c r="I14" i="6"/>
  <c r="H14" i="6"/>
  <c r="G14" i="6"/>
  <c r="B14" i="6"/>
  <c r="Q13" i="6"/>
  <c r="P13" i="6"/>
  <c r="O13" i="6"/>
  <c r="N13" i="6"/>
  <c r="M13" i="6"/>
  <c r="K13" i="6"/>
  <c r="I13" i="6"/>
  <c r="H13" i="6"/>
  <c r="G13" i="6"/>
  <c r="B13" i="6"/>
  <c r="Q12" i="6"/>
  <c r="P12" i="6"/>
  <c r="O12" i="6"/>
  <c r="N12" i="6"/>
  <c r="M12" i="6"/>
  <c r="K12" i="6"/>
  <c r="L12" i="6" s="1"/>
  <c r="F12" i="6" s="1"/>
  <c r="I12" i="6"/>
  <c r="H12" i="6"/>
  <c r="G12" i="6"/>
  <c r="B12" i="6"/>
  <c r="C12" i="6" s="1"/>
  <c r="D12" i="6" s="1"/>
  <c r="Q11" i="6"/>
  <c r="P11" i="6"/>
  <c r="O11" i="6"/>
  <c r="N11" i="6"/>
  <c r="M11" i="6"/>
  <c r="K11" i="6"/>
  <c r="I11" i="6"/>
  <c r="H11" i="6"/>
  <c r="G11" i="6"/>
  <c r="B11" i="6"/>
  <c r="Q10" i="6"/>
  <c r="P10" i="6"/>
  <c r="O10" i="6"/>
  <c r="N10" i="6"/>
  <c r="M10" i="6"/>
  <c r="K10" i="6"/>
  <c r="I10" i="6"/>
  <c r="H10" i="6"/>
  <c r="G10" i="6"/>
  <c r="B10" i="6"/>
  <c r="Q9" i="6"/>
  <c r="P9" i="6"/>
  <c r="O9" i="6"/>
  <c r="N9" i="6"/>
  <c r="M9" i="6"/>
  <c r="K9" i="6"/>
  <c r="I9" i="6"/>
  <c r="H9" i="6"/>
  <c r="G9" i="6"/>
  <c r="B9" i="6"/>
  <c r="Q8" i="6"/>
  <c r="P8" i="6"/>
  <c r="O8" i="6"/>
  <c r="N8" i="6"/>
  <c r="M8" i="6"/>
  <c r="K8" i="6"/>
  <c r="L8" i="6" s="1"/>
  <c r="F8" i="6" s="1"/>
  <c r="I8" i="6"/>
  <c r="H8" i="6"/>
  <c r="G8" i="6"/>
  <c r="B8" i="6"/>
  <c r="C8" i="6" s="1"/>
  <c r="D8" i="6" s="1"/>
  <c r="Q7" i="6"/>
  <c r="P7" i="6"/>
  <c r="O7" i="6"/>
  <c r="N7" i="6"/>
  <c r="M7" i="6"/>
  <c r="K7" i="6"/>
  <c r="I7" i="6"/>
  <c r="H7" i="6"/>
  <c r="G7" i="6"/>
  <c r="B7" i="6"/>
  <c r="P6" i="6"/>
  <c r="O6" i="6"/>
  <c r="N6" i="6"/>
  <c r="M6" i="6"/>
  <c r="K6" i="6"/>
  <c r="H6" i="6"/>
  <c r="G6" i="6"/>
  <c r="B6" i="6"/>
  <c r="H3" i="6"/>
  <c r="B3" i="6"/>
  <c r="J7" i="5"/>
  <c r="K7" i="5" s="1"/>
  <c r="F7" i="5" s="1"/>
  <c r="M7" i="5" s="1"/>
  <c r="N7" i="5" s="1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B7" i="5"/>
  <c r="B8" i="5" s="1"/>
  <c r="J8" i="5" s="1"/>
  <c r="L8" i="5" s="1"/>
  <c r="M6" i="5"/>
  <c r="N6" i="5" s="1"/>
  <c r="J6" i="5"/>
  <c r="L6" i="5" s="1"/>
  <c r="G6" i="5"/>
  <c r="I12" i="4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8" i="4"/>
  <c r="I9" i="4" s="1"/>
  <c r="I10" i="4" s="1"/>
  <c r="I11" i="4" s="1"/>
  <c r="J7" i="4"/>
  <c r="I7" i="4"/>
  <c r="B7" i="4"/>
  <c r="J6" i="4"/>
  <c r="L6" i="4" s="1"/>
  <c r="G6" i="4"/>
  <c r="M6" i="4" s="1"/>
  <c r="N6" i="4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B7" i="3"/>
  <c r="G7" i="3" s="1"/>
  <c r="J6" i="3"/>
  <c r="L6" i="3" s="1"/>
  <c r="G6" i="3"/>
  <c r="M6" i="3" s="1"/>
  <c r="N6" i="3" s="1"/>
  <c r="Q12" i="15" l="1"/>
  <c r="R13" i="15"/>
  <c r="C7" i="6"/>
  <c r="D7" i="6" s="1"/>
  <c r="C10" i="6"/>
  <c r="D10" i="6" s="1"/>
  <c r="L9" i="6"/>
  <c r="F9" i="6" s="1"/>
  <c r="C11" i="6"/>
  <c r="D11" i="6" s="1"/>
  <c r="C14" i="6"/>
  <c r="D14" i="6" s="1"/>
  <c r="L13" i="6"/>
  <c r="F13" i="6" s="1"/>
  <c r="C9" i="6"/>
  <c r="D9" i="6" s="1"/>
  <c r="L10" i="6"/>
  <c r="F10" i="6" s="1"/>
  <c r="L14" i="6"/>
  <c r="F14" i="6" s="1"/>
  <c r="C13" i="6"/>
  <c r="D13" i="6" s="1"/>
  <c r="C15" i="6"/>
  <c r="D15" i="6" s="1"/>
  <c r="L7" i="6"/>
  <c r="F7" i="6" s="1"/>
  <c r="L11" i="6"/>
  <c r="F11" i="6" s="1"/>
  <c r="L15" i="6"/>
  <c r="F15" i="6" s="1"/>
  <c r="D19" i="14"/>
  <c r="I19" i="14"/>
  <c r="G7" i="5"/>
  <c r="B9" i="5"/>
  <c r="K8" i="5"/>
  <c r="F8" i="5" s="1"/>
  <c r="M8" i="5" s="1"/>
  <c r="N8" i="5" s="1"/>
  <c r="L7" i="5"/>
  <c r="G8" i="5"/>
  <c r="L7" i="4"/>
  <c r="K7" i="4"/>
  <c r="F7" i="4" s="1"/>
  <c r="G7" i="4"/>
  <c r="M7" i="4" s="1"/>
  <c r="N7" i="4" s="1"/>
  <c r="B8" i="4"/>
  <c r="J7" i="3"/>
  <c r="B8" i="3"/>
  <c r="B10" i="5" l="1"/>
  <c r="J9" i="5"/>
  <c r="G9" i="5"/>
  <c r="G8" i="4"/>
  <c r="M8" i="4" s="1"/>
  <c r="N8" i="4" s="1"/>
  <c r="B9" i="4"/>
  <c r="J8" i="4"/>
  <c r="B9" i="3"/>
  <c r="J8" i="3"/>
  <c r="G8" i="3"/>
  <c r="L7" i="3"/>
  <c r="K7" i="3"/>
  <c r="F7" i="3" s="1"/>
  <c r="M7" i="3" s="1"/>
  <c r="N7" i="3" s="1"/>
  <c r="L9" i="5" l="1"/>
  <c r="K9" i="5"/>
  <c r="F9" i="5" s="1"/>
  <c r="M9" i="5" s="1"/>
  <c r="N9" i="5" s="1"/>
  <c r="G10" i="5"/>
  <c r="B11" i="5"/>
  <c r="J10" i="5"/>
  <c r="L8" i="4"/>
  <c r="K8" i="4"/>
  <c r="F8" i="4" s="1"/>
  <c r="B10" i="4"/>
  <c r="J9" i="4"/>
  <c r="G9" i="4"/>
  <c r="M9" i="4" s="1"/>
  <c r="N9" i="4" s="1"/>
  <c r="K8" i="3"/>
  <c r="F8" i="3" s="1"/>
  <c r="M8" i="3" s="1"/>
  <c r="N8" i="3" s="1"/>
  <c r="L8" i="3"/>
  <c r="J9" i="3"/>
  <c r="B10" i="3"/>
  <c r="G9" i="3"/>
  <c r="B12" i="5" l="1"/>
  <c r="G11" i="5"/>
  <c r="J11" i="5"/>
  <c r="L10" i="5"/>
  <c r="K10" i="5"/>
  <c r="F10" i="5" s="1"/>
  <c r="M10" i="5" s="1"/>
  <c r="N10" i="5" s="1"/>
  <c r="K9" i="4"/>
  <c r="F9" i="4" s="1"/>
  <c r="L9" i="4"/>
  <c r="J10" i="4"/>
  <c r="G10" i="4"/>
  <c r="M10" i="4" s="1"/>
  <c r="N10" i="4" s="1"/>
  <c r="B11" i="4"/>
  <c r="J10" i="3"/>
  <c r="G10" i="3"/>
  <c r="B11" i="3"/>
  <c r="K9" i="3"/>
  <c r="F9" i="3" s="1"/>
  <c r="M9" i="3" s="1"/>
  <c r="N9" i="3" s="1"/>
  <c r="L9" i="3"/>
  <c r="K11" i="5" l="1"/>
  <c r="F11" i="5" s="1"/>
  <c r="M11" i="5" s="1"/>
  <c r="N11" i="5" s="1"/>
  <c r="L11" i="5"/>
  <c r="J12" i="5"/>
  <c r="B13" i="5"/>
  <c r="G12" i="5"/>
  <c r="G11" i="4"/>
  <c r="M11" i="4" s="1"/>
  <c r="N11" i="4" s="1"/>
  <c r="B12" i="4"/>
  <c r="J11" i="4"/>
  <c r="L10" i="4"/>
  <c r="K10" i="4"/>
  <c r="F10" i="4" s="1"/>
  <c r="L10" i="3"/>
  <c r="K10" i="3"/>
  <c r="F10" i="3" s="1"/>
  <c r="M10" i="3" s="1"/>
  <c r="N10" i="3" s="1"/>
  <c r="G11" i="3"/>
  <c r="B12" i="3"/>
  <c r="J11" i="3"/>
  <c r="G13" i="5" l="1"/>
  <c r="B14" i="5"/>
  <c r="J13" i="5"/>
  <c r="L12" i="5"/>
  <c r="K12" i="5"/>
  <c r="F12" i="5" s="1"/>
  <c r="M12" i="5" s="1"/>
  <c r="N12" i="5" s="1"/>
  <c r="L11" i="4"/>
  <c r="K11" i="4"/>
  <c r="F11" i="4" s="1"/>
  <c r="G12" i="4"/>
  <c r="M12" i="4" s="1"/>
  <c r="N12" i="4" s="1"/>
  <c r="B13" i="4"/>
  <c r="J12" i="4"/>
  <c r="B13" i="3"/>
  <c r="G12" i="3"/>
  <c r="J12" i="3"/>
  <c r="L11" i="3"/>
  <c r="K11" i="3"/>
  <c r="F11" i="3" s="1"/>
  <c r="M11" i="3" s="1"/>
  <c r="N11" i="3" s="1"/>
  <c r="G14" i="5" l="1"/>
  <c r="B15" i="5"/>
  <c r="J14" i="5"/>
  <c r="L13" i="5"/>
  <c r="K13" i="5"/>
  <c r="F13" i="5" s="1"/>
  <c r="M13" i="5" s="1"/>
  <c r="N13" i="5" s="1"/>
  <c r="L12" i="4"/>
  <c r="K12" i="4"/>
  <c r="F12" i="4" s="1"/>
  <c r="B14" i="4"/>
  <c r="J13" i="4"/>
  <c r="G13" i="4"/>
  <c r="M13" i="4" s="1"/>
  <c r="N13" i="4" s="1"/>
  <c r="K12" i="3"/>
  <c r="F12" i="3" s="1"/>
  <c r="M12" i="3" s="1"/>
  <c r="N12" i="3" s="1"/>
  <c r="L12" i="3"/>
  <c r="J13" i="3"/>
  <c r="B14" i="3"/>
  <c r="G13" i="3"/>
  <c r="L14" i="5" l="1"/>
  <c r="K14" i="5"/>
  <c r="F14" i="5" s="1"/>
  <c r="M14" i="5" s="1"/>
  <c r="N14" i="5" s="1"/>
  <c r="B16" i="5"/>
  <c r="J15" i="5"/>
  <c r="G15" i="5"/>
  <c r="K13" i="4"/>
  <c r="F13" i="4" s="1"/>
  <c r="L13" i="4"/>
  <c r="J14" i="4"/>
  <c r="G14" i="4"/>
  <c r="M14" i="4" s="1"/>
  <c r="N14" i="4" s="1"/>
  <c r="B15" i="4"/>
  <c r="G14" i="3"/>
  <c r="J14" i="3"/>
  <c r="B15" i="3"/>
  <c r="K13" i="3"/>
  <c r="F13" i="3" s="1"/>
  <c r="M13" i="3" s="1"/>
  <c r="N13" i="3" s="1"/>
  <c r="L13" i="3"/>
  <c r="K15" i="5" l="1"/>
  <c r="F15" i="5" s="1"/>
  <c r="M15" i="5" s="1"/>
  <c r="N15" i="5" s="1"/>
  <c r="L15" i="5"/>
  <c r="J16" i="5"/>
  <c r="G16" i="5"/>
  <c r="B17" i="5"/>
  <c r="L14" i="4"/>
  <c r="K14" i="4"/>
  <c r="F14" i="4" s="1"/>
  <c r="G15" i="4"/>
  <c r="M15" i="4" s="1"/>
  <c r="N15" i="4" s="1"/>
  <c r="B16" i="4"/>
  <c r="J15" i="4"/>
  <c r="G15" i="3"/>
  <c r="B16" i="3"/>
  <c r="J15" i="3"/>
  <c r="L14" i="3"/>
  <c r="K14" i="3"/>
  <c r="F14" i="3" s="1"/>
  <c r="M14" i="3" s="1"/>
  <c r="N14" i="3" s="1"/>
  <c r="L16" i="5" l="1"/>
  <c r="K16" i="5"/>
  <c r="F16" i="5" s="1"/>
  <c r="M16" i="5" s="1"/>
  <c r="N16" i="5" s="1"/>
  <c r="G17" i="5"/>
  <c r="J17" i="5"/>
  <c r="B18" i="5"/>
  <c r="G16" i="4"/>
  <c r="M16" i="4" s="1"/>
  <c r="N16" i="4" s="1"/>
  <c r="B17" i="4"/>
  <c r="J16" i="4"/>
  <c r="L15" i="4"/>
  <c r="K15" i="4"/>
  <c r="F15" i="4" s="1"/>
  <c r="L15" i="3"/>
  <c r="K15" i="3"/>
  <c r="F15" i="3" s="1"/>
  <c r="M15" i="3" s="1"/>
  <c r="N15" i="3" s="1"/>
  <c r="B17" i="3"/>
  <c r="G16" i="3"/>
  <c r="J16" i="3"/>
  <c r="L17" i="5" l="1"/>
  <c r="K17" i="5"/>
  <c r="F17" i="5" s="1"/>
  <c r="M17" i="5" s="1"/>
  <c r="N17" i="5" s="1"/>
  <c r="G18" i="5"/>
  <c r="B19" i="5"/>
  <c r="J18" i="5"/>
  <c r="L16" i="4"/>
  <c r="K16" i="4"/>
  <c r="F16" i="4" s="1"/>
  <c r="B18" i="4"/>
  <c r="J17" i="4"/>
  <c r="G17" i="4"/>
  <c r="M17" i="4" s="1"/>
  <c r="N17" i="4" s="1"/>
  <c r="J17" i="3"/>
  <c r="B18" i="3"/>
  <c r="G17" i="3"/>
  <c r="K16" i="3"/>
  <c r="F16" i="3" s="1"/>
  <c r="M16" i="3" s="1"/>
  <c r="N16" i="3" s="1"/>
  <c r="L16" i="3"/>
  <c r="B20" i="5" l="1"/>
  <c r="J19" i="5"/>
  <c r="G19" i="5"/>
  <c r="L18" i="5"/>
  <c r="K18" i="5"/>
  <c r="F18" i="5" s="1"/>
  <c r="M18" i="5" s="1"/>
  <c r="N18" i="5" s="1"/>
  <c r="K17" i="4"/>
  <c r="F17" i="4" s="1"/>
  <c r="L17" i="4"/>
  <c r="J18" i="4"/>
  <c r="G18" i="4"/>
  <c r="M18" i="4" s="1"/>
  <c r="N18" i="4" s="1"/>
  <c r="B19" i="4"/>
  <c r="J18" i="3"/>
  <c r="G18" i="3"/>
  <c r="B19" i="3"/>
  <c r="K17" i="3"/>
  <c r="F17" i="3" s="1"/>
  <c r="M17" i="3" s="1"/>
  <c r="N17" i="3" s="1"/>
  <c r="L17" i="3"/>
  <c r="K19" i="5" l="1"/>
  <c r="F19" i="5" s="1"/>
  <c r="M19" i="5" s="1"/>
  <c r="N19" i="5" s="1"/>
  <c r="L19" i="5"/>
  <c r="J20" i="5"/>
  <c r="G20" i="5"/>
  <c r="B21" i="5"/>
  <c r="L18" i="4"/>
  <c r="K18" i="4"/>
  <c r="F18" i="4" s="1"/>
  <c r="G19" i="4"/>
  <c r="M19" i="4" s="1"/>
  <c r="N19" i="4" s="1"/>
  <c r="B20" i="4"/>
  <c r="J19" i="4"/>
  <c r="G19" i="3"/>
  <c r="B20" i="3"/>
  <c r="J19" i="3"/>
  <c r="L18" i="3"/>
  <c r="K18" i="3"/>
  <c r="F18" i="3" s="1"/>
  <c r="M18" i="3" s="1"/>
  <c r="N18" i="3" s="1"/>
  <c r="L20" i="5" l="1"/>
  <c r="K20" i="5"/>
  <c r="F20" i="5" s="1"/>
  <c r="M20" i="5" s="1"/>
  <c r="N20" i="5" s="1"/>
  <c r="G21" i="5"/>
  <c r="B22" i="5"/>
  <c r="J21" i="5"/>
  <c r="G20" i="4"/>
  <c r="M20" i="4" s="1"/>
  <c r="N20" i="4" s="1"/>
  <c r="B21" i="4"/>
  <c r="J20" i="4"/>
  <c r="L19" i="4"/>
  <c r="K19" i="4"/>
  <c r="F19" i="4" s="1"/>
  <c r="B21" i="3"/>
  <c r="G20" i="3"/>
  <c r="J20" i="3"/>
  <c r="L19" i="3"/>
  <c r="K19" i="3"/>
  <c r="F19" i="3" s="1"/>
  <c r="M19" i="3" s="1"/>
  <c r="N19" i="3" s="1"/>
  <c r="G22" i="5" l="1"/>
  <c r="B23" i="5"/>
  <c r="J22" i="5"/>
  <c r="L21" i="5"/>
  <c r="K21" i="5"/>
  <c r="F21" i="5" s="1"/>
  <c r="M21" i="5" s="1"/>
  <c r="N21" i="5" s="1"/>
  <c r="L20" i="4"/>
  <c r="K20" i="4"/>
  <c r="F20" i="4" s="1"/>
  <c r="B22" i="4"/>
  <c r="J21" i="4"/>
  <c r="G21" i="4"/>
  <c r="M21" i="4" s="1"/>
  <c r="N21" i="4" s="1"/>
  <c r="K20" i="3"/>
  <c r="F20" i="3" s="1"/>
  <c r="M20" i="3" s="1"/>
  <c r="N20" i="3" s="1"/>
  <c r="L20" i="3"/>
  <c r="B22" i="3"/>
  <c r="J21" i="3"/>
  <c r="G21" i="3"/>
  <c r="L22" i="5" l="1"/>
  <c r="K22" i="5"/>
  <c r="F22" i="5" s="1"/>
  <c r="M22" i="5" s="1"/>
  <c r="N22" i="5" s="1"/>
  <c r="B24" i="5"/>
  <c r="J23" i="5"/>
  <c r="G23" i="5"/>
  <c r="J22" i="4"/>
  <c r="G22" i="4"/>
  <c r="M22" i="4" s="1"/>
  <c r="N22" i="4" s="1"/>
  <c r="B23" i="4"/>
  <c r="K21" i="4"/>
  <c r="F21" i="4" s="1"/>
  <c r="L21" i="4"/>
  <c r="K21" i="3"/>
  <c r="F21" i="3" s="1"/>
  <c r="M21" i="3" s="1"/>
  <c r="N21" i="3" s="1"/>
  <c r="L21" i="3"/>
  <c r="G22" i="3"/>
  <c r="B23" i="3"/>
  <c r="J22" i="3"/>
  <c r="K23" i="5" l="1"/>
  <c r="F23" i="5" s="1"/>
  <c r="M23" i="5" s="1"/>
  <c r="N23" i="5" s="1"/>
  <c r="L23" i="5"/>
  <c r="J24" i="5"/>
  <c r="G24" i="5"/>
  <c r="B25" i="5"/>
  <c r="G23" i="4"/>
  <c r="M23" i="4" s="1"/>
  <c r="N23" i="4" s="1"/>
  <c r="B24" i="4"/>
  <c r="J23" i="4"/>
  <c r="L22" i="4"/>
  <c r="K22" i="4"/>
  <c r="F22" i="4" s="1"/>
  <c r="B24" i="3"/>
  <c r="G23" i="3"/>
  <c r="J23" i="3"/>
  <c r="L22" i="3"/>
  <c r="K22" i="3"/>
  <c r="F22" i="3" s="1"/>
  <c r="M22" i="3" s="1"/>
  <c r="N22" i="3" s="1"/>
  <c r="G25" i="5" l="1"/>
  <c r="J25" i="5"/>
  <c r="B26" i="5"/>
  <c r="L24" i="5"/>
  <c r="K24" i="5"/>
  <c r="F24" i="5" s="1"/>
  <c r="M24" i="5" s="1"/>
  <c r="N24" i="5" s="1"/>
  <c r="L23" i="4"/>
  <c r="K23" i="4"/>
  <c r="F23" i="4" s="1"/>
  <c r="G24" i="4"/>
  <c r="M24" i="4" s="1"/>
  <c r="N24" i="4" s="1"/>
  <c r="B25" i="4"/>
  <c r="J24" i="4"/>
  <c r="K23" i="3"/>
  <c r="F23" i="3" s="1"/>
  <c r="M23" i="3" s="1"/>
  <c r="N23" i="3" s="1"/>
  <c r="L23" i="3"/>
  <c r="J24" i="3"/>
  <c r="B25" i="3"/>
  <c r="G24" i="3"/>
  <c r="G26" i="5" l="1"/>
  <c r="B27" i="5"/>
  <c r="J26" i="5"/>
  <c r="L25" i="5"/>
  <c r="K25" i="5"/>
  <c r="F25" i="5" s="1"/>
  <c r="M25" i="5" s="1"/>
  <c r="N25" i="5" s="1"/>
  <c r="B26" i="4"/>
  <c r="J25" i="4"/>
  <c r="G25" i="4"/>
  <c r="M25" i="4" s="1"/>
  <c r="N25" i="4" s="1"/>
  <c r="L24" i="4"/>
  <c r="K24" i="4"/>
  <c r="F24" i="4" s="1"/>
  <c r="B26" i="3"/>
  <c r="J25" i="3"/>
  <c r="G25" i="3"/>
  <c r="K24" i="3"/>
  <c r="F24" i="3" s="1"/>
  <c r="M24" i="3" s="1"/>
  <c r="N24" i="3" s="1"/>
  <c r="L24" i="3"/>
  <c r="L26" i="5" l="1"/>
  <c r="K26" i="5"/>
  <c r="F26" i="5" s="1"/>
  <c r="M26" i="5" s="1"/>
  <c r="N26" i="5" s="1"/>
  <c r="B28" i="5"/>
  <c r="J27" i="5"/>
  <c r="G27" i="5"/>
  <c r="K25" i="4"/>
  <c r="F25" i="4" s="1"/>
  <c r="L25" i="4"/>
  <c r="J26" i="4"/>
  <c r="G26" i="4"/>
  <c r="M26" i="4" s="1"/>
  <c r="N26" i="4" s="1"/>
  <c r="B27" i="4"/>
  <c r="K25" i="3"/>
  <c r="F25" i="3" s="1"/>
  <c r="M25" i="3" s="1"/>
  <c r="N25" i="3" s="1"/>
  <c r="L25" i="3"/>
  <c r="G26" i="3"/>
  <c r="B27" i="3"/>
  <c r="J26" i="3"/>
  <c r="K27" i="5" l="1"/>
  <c r="F27" i="5" s="1"/>
  <c r="M27" i="5" s="1"/>
  <c r="N27" i="5" s="1"/>
  <c r="L27" i="5"/>
  <c r="J28" i="5"/>
  <c r="G28" i="5"/>
  <c r="B29" i="5"/>
  <c r="L26" i="4"/>
  <c r="K26" i="4"/>
  <c r="F26" i="4" s="1"/>
  <c r="G27" i="4"/>
  <c r="M27" i="4" s="1"/>
  <c r="N27" i="4" s="1"/>
  <c r="B28" i="4"/>
  <c r="J27" i="4"/>
  <c r="B28" i="3"/>
  <c r="J27" i="3"/>
  <c r="G27" i="3"/>
  <c r="L26" i="3"/>
  <c r="K26" i="3"/>
  <c r="F26" i="3" s="1"/>
  <c r="M26" i="3" s="1"/>
  <c r="N26" i="3" s="1"/>
  <c r="G29" i="5" l="1"/>
  <c r="B30" i="5"/>
  <c r="J29" i="5"/>
  <c r="L28" i="5"/>
  <c r="K28" i="5"/>
  <c r="F28" i="5" s="1"/>
  <c r="M28" i="5" s="1"/>
  <c r="N28" i="5" s="1"/>
  <c r="G28" i="4"/>
  <c r="M28" i="4" s="1"/>
  <c r="N28" i="4" s="1"/>
  <c r="B29" i="4"/>
  <c r="J28" i="4"/>
  <c r="L27" i="4"/>
  <c r="K27" i="4"/>
  <c r="F27" i="4" s="1"/>
  <c r="K27" i="3"/>
  <c r="F27" i="3" s="1"/>
  <c r="M27" i="3" s="1"/>
  <c r="N27" i="3" s="1"/>
  <c r="L27" i="3"/>
  <c r="J28" i="3"/>
  <c r="G28" i="3"/>
  <c r="B29" i="3"/>
  <c r="G30" i="5" l="1"/>
  <c r="B31" i="5"/>
  <c r="J30" i="5"/>
  <c r="L29" i="5"/>
  <c r="K29" i="5"/>
  <c r="F29" i="5" s="1"/>
  <c r="M29" i="5" s="1"/>
  <c r="N29" i="5" s="1"/>
  <c r="L28" i="4"/>
  <c r="K28" i="4"/>
  <c r="F28" i="4" s="1"/>
  <c r="B30" i="4"/>
  <c r="J29" i="4"/>
  <c r="G29" i="4"/>
  <c r="M29" i="4" s="1"/>
  <c r="N29" i="4" s="1"/>
  <c r="L28" i="3"/>
  <c r="K28" i="3"/>
  <c r="F28" i="3" s="1"/>
  <c r="M28" i="3" s="1"/>
  <c r="N28" i="3" s="1"/>
  <c r="G29" i="3"/>
  <c r="B30" i="3"/>
  <c r="J29" i="3"/>
  <c r="B32" i="5" l="1"/>
  <c r="J31" i="5"/>
  <c r="G31" i="5"/>
  <c r="L30" i="5"/>
  <c r="K30" i="5"/>
  <c r="F30" i="5" s="1"/>
  <c r="M30" i="5" s="1"/>
  <c r="N30" i="5" s="1"/>
  <c r="J30" i="4"/>
  <c r="G30" i="4"/>
  <c r="M30" i="4" s="1"/>
  <c r="N30" i="4" s="1"/>
  <c r="B31" i="4"/>
  <c r="K29" i="4"/>
  <c r="F29" i="4" s="1"/>
  <c r="L29" i="4"/>
  <c r="G30" i="3"/>
  <c r="B31" i="3"/>
  <c r="J30" i="3"/>
  <c r="L29" i="3"/>
  <c r="K29" i="3"/>
  <c r="F29" i="3" s="1"/>
  <c r="M29" i="3" s="1"/>
  <c r="N29" i="3" s="1"/>
  <c r="L31" i="5" l="1"/>
  <c r="K31" i="5"/>
  <c r="F31" i="5" s="1"/>
  <c r="M31" i="5" s="1"/>
  <c r="N31" i="5" s="1"/>
  <c r="J32" i="5"/>
  <c r="G32" i="5"/>
  <c r="B33" i="5"/>
  <c r="L30" i="4"/>
  <c r="K30" i="4"/>
  <c r="F30" i="4" s="1"/>
  <c r="B32" i="4"/>
  <c r="G31" i="4"/>
  <c r="M31" i="4" s="1"/>
  <c r="N31" i="4" s="1"/>
  <c r="J31" i="4"/>
  <c r="L30" i="3"/>
  <c r="K30" i="3"/>
  <c r="F30" i="3" s="1"/>
  <c r="M30" i="3" s="1"/>
  <c r="N30" i="3" s="1"/>
  <c r="B32" i="3"/>
  <c r="J31" i="3"/>
  <c r="G31" i="3"/>
  <c r="G33" i="5" l="1"/>
  <c r="B34" i="5"/>
  <c r="J33" i="5"/>
  <c r="L32" i="5"/>
  <c r="K32" i="5"/>
  <c r="F32" i="5" s="1"/>
  <c r="M32" i="5" s="1"/>
  <c r="N32" i="5" s="1"/>
  <c r="J32" i="4"/>
  <c r="B33" i="4"/>
  <c r="G32" i="4"/>
  <c r="M32" i="4" s="1"/>
  <c r="N32" i="4" s="1"/>
  <c r="K31" i="4"/>
  <c r="F31" i="4" s="1"/>
  <c r="L31" i="4"/>
  <c r="G32" i="3"/>
  <c r="J32" i="3"/>
  <c r="B33" i="3"/>
  <c r="L31" i="3"/>
  <c r="K31" i="3"/>
  <c r="F31" i="3" s="1"/>
  <c r="M31" i="3" s="1"/>
  <c r="N31" i="3" s="1"/>
  <c r="G34" i="5" l="1"/>
  <c r="B35" i="5"/>
  <c r="J34" i="5"/>
  <c r="L33" i="5"/>
  <c r="K33" i="5"/>
  <c r="F33" i="5" s="1"/>
  <c r="M33" i="5" s="1"/>
  <c r="N33" i="5" s="1"/>
  <c r="B34" i="4"/>
  <c r="G33" i="4"/>
  <c r="M33" i="4" s="1"/>
  <c r="N33" i="4" s="1"/>
  <c r="J33" i="4"/>
  <c r="K32" i="4"/>
  <c r="F32" i="4" s="1"/>
  <c r="L32" i="4"/>
  <c r="B34" i="3"/>
  <c r="J33" i="3"/>
  <c r="G33" i="3"/>
  <c r="L32" i="3"/>
  <c r="K32" i="3"/>
  <c r="F32" i="3" s="1"/>
  <c r="M32" i="3" s="1"/>
  <c r="N32" i="3" s="1"/>
  <c r="L34" i="5" l="1"/>
  <c r="K34" i="5"/>
  <c r="F34" i="5" s="1"/>
  <c r="M34" i="5" s="1"/>
  <c r="N34" i="5" s="1"/>
  <c r="B36" i="5"/>
  <c r="J35" i="5"/>
  <c r="G35" i="5"/>
  <c r="G34" i="4"/>
  <c r="M34" i="4" s="1"/>
  <c r="N34" i="4" s="1"/>
  <c r="J34" i="4"/>
  <c r="B35" i="4"/>
  <c r="K33" i="4"/>
  <c r="F33" i="4" s="1"/>
  <c r="L33" i="4"/>
  <c r="K33" i="3"/>
  <c r="F33" i="3" s="1"/>
  <c r="M33" i="3" s="1"/>
  <c r="N33" i="3" s="1"/>
  <c r="L33" i="3"/>
  <c r="J34" i="3"/>
  <c r="B35" i="3"/>
  <c r="G34" i="3"/>
  <c r="J36" i="5" l="1"/>
  <c r="G36" i="5"/>
  <c r="B37" i="5"/>
  <c r="K35" i="5"/>
  <c r="F35" i="5" s="1"/>
  <c r="M35" i="5" s="1"/>
  <c r="N35" i="5" s="1"/>
  <c r="L35" i="5"/>
  <c r="B36" i="4"/>
  <c r="J35" i="4"/>
  <c r="G35" i="4"/>
  <c r="M35" i="4" s="1"/>
  <c r="N35" i="4" s="1"/>
  <c r="L34" i="4"/>
  <c r="K34" i="4"/>
  <c r="F34" i="4" s="1"/>
  <c r="G35" i="3"/>
  <c r="J35" i="3"/>
  <c r="B36" i="3"/>
  <c r="L34" i="3"/>
  <c r="K34" i="3"/>
  <c r="F34" i="3" s="1"/>
  <c r="M34" i="3" s="1"/>
  <c r="N34" i="3" s="1"/>
  <c r="G37" i="5" l="1"/>
  <c r="B38" i="5"/>
  <c r="J37" i="5"/>
  <c r="L36" i="5"/>
  <c r="K36" i="5"/>
  <c r="F36" i="5" s="1"/>
  <c r="M36" i="5" s="1"/>
  <c r="N36" i="5" s="1"/>
  <c r="K35" i="4"/>
  <c r="F35" i="4" s="1"/>
  <c r="L35" i="4"/>
  <c r="J36" i="4"/>
  <c r="G36" i="4"/>
  <c r="M36" i="4" s="1"/>
  <c r="N36" i="4" s="1"/>
  <c r="B37" i="4"/>
  <c r="G36" i="3"/>
  <c r="B37" i="3"/>
  <c r="J36" i="3"/>
  <c r="L35" i="3"/>
  <c r="K35" i="3"/>
  <c r="F35" i="3" s="1"/>
  <c r="M35" i="3" s="1"/>
  <c r="N35" i="3" s="1"/>
  <c r="L37" i="5" l="1"/>
  <c r="K37" i="5"/>
  <c r="F37" i="5" s="1"/>
  <c r="M37" i="5" s="1"/>
  <c r="N37" i="5" s="1"/>
  <c r="G38" i="5"/>
  <c r="B39" i="5"/>
  <c r="J38" i="5"/>
  <c r="L36" i="4"/>
  <c r="K36" i="4"/>
  <c r="F36" i="4" s="1"/>
  <c r="G37" i="4"/>
  <c r="M37" i="4" s="1"/>
  <c r="N37" i="4" s="1"/>
  <c r="B38" i="4"/>
  <c r="J37" i="4"/>
  <c r="L36" i="3"/>
  <c r="K36" i="3"/>
  <c r="F36" i="3" s="1"/>
  <c r="M36" i="3" s="1"/>
  <c r="N36" i="3" s="1"/>
  <c r="B38" i="3"/>
  <c r="J37" i="3"/>
  <c r="G37" i="3"/>
  <c r="B40" i="5" l="1"/>
  <c r="J39" i="5"/>
  <c r="G39" i="5"/>
  <c r="L38" i="5"/>
  <c r="K38" i="5"/>
  <c r="F38" i="5" s="1"/>
  <c r="M38" i="5" s="1"/>
  <c r="N38" i="5" s="1"/>
  <c r="L37" i="4"/>
  <c r="K37" i="4"/>
  <c r="F37" i="4" s="1"/>
  <c r="G38" i="4"/>
  <c r="M38" i="4" s="1"/>
  <c r="N38" i="4" s="1"/>
  <c r="B39" i="4"/>
  <c r="J38" i="4"/>
  <c r="J38" i="3"/>
  <c r="G38" i="3"/>
  <c r="B39" i="3"/>
  <c r="K37" i="3"/>
  <c r="F37" i="3" s="1"/>
  <c r="M37" i="3" s="1"/>
  <c r="N37" i="3" s="1"/>
  <c r="L37" i="3"/>
  <c r="K39" i="5" l="1"/>
  <c r="F39" i="5" s="1"/>
  <c r="M39" i="5" s="1"/>
  <c r="N39" i="5" s="1"/>
  <c r="L39" i="5"/>
  <c r="J40" i="5"/>
  <c r="G40" i="5"/>
  <c r="B41" i="5"/>
  <c r="L38" i="4"/>
  <c r="K38" i="4"/>
  <c r="F38" i="4" s="1"/>
  <c r="B40" i="4"/>
  <c r="J39" i="4"/>
  <c r="G39" i="4"/>
  <c r="M39" i="4" s="1"/>
  <c r="N39" i="4" s="1"/>
  <c r="B40" i="3"/>
  <c r="J39" i="3"/>
  <c r="G39" i="3"/>
  <c r="L38" i="3"/>
  <c r="K38" i="3"/>
  <c r="F38" i="3" s="1"/>
  <c r="M38" i="3" s="1"/>
  <c r="N38" i="3" s="1"/>
  <c r="L40" i="5" l="1"/>
  <c r="K40" i="5"/>
  <c r="F40" i="5" s="1"/>
  <c r="M40" i="5" s="1"/>
  <c r="N40" i="5" s="1"/>
  <c r="G41" i="5"/>
  <c r="B42" i="5"/>
  <c r="J41" i="5"/>
  <c r="K39" i="4"/>
  <c r="F39" i="4" s="1"/>
  <c r="L39" i="4"/>
  <c r="J40" i="4"/>
  <c r="G40" i="4"/>
  <c r="M40" i="4" s="1"/>
  <c r="N40" i="4" s="1"/>
  <c r="B41" i="4"/>
  <c r="L39" i="3"/>
  <c r="K39" i="3"/>
  <c r="F39" i="3" s="1"/>
  <c r="M39" i="3" s="1"/>
  <c r="N39" i="3" s="1"/>
  <c r="G40" i="3"/>
  <c r="B41" i="3"/>
  <c r="J40" i="3"/>
  <c r="G42" i="5" l="1"/>
  <c r="B43" i="5"/>
  <c r="J42" i="5"/>
  <c r="L41" i="5"/>
  <c r="K41" i="5"/>
  <c r="F41" i="5" s="1"/>
  <c r="M41" i="5" s="1"/>
  <c r="N41" i="5" s="1"/>
  <c r="L40" i="4"/>
  <c r="K40" i="4"/>
  <c r="F40" i="4" s="1"/>
  <c r="G41" i="4"/>
  <c r="M41" i="4" s="1"/>
  <c r="N41" i="4" s="1"/>
  <c r="B42" i="4"/>
  <c r="J41" i="4"/>
  <c r="B42" i="3"/>
  <c r="G41" i="3"/>
  <c r="J41" i="3"/>
  <c r="L40" i="3"/>
  <c r="K40" i="3"/>
  <c r="F40" i="3" s="1"/>
  <c r="M40" i="3" s="1"/>
  <c r="N40" i="3" s="1"/>
  <c r="B44" i="5" l="1"/>
  <c r="J43" i="5"/>
  <c r="G43" i="5"/>
  <c r="L42" i="5"/>
  <c r="K42" i="5"/>
  <c r="F42" i="5" s="1"/>
  <c r="M42" i="5" s="1"/>
  <c r="N42" i="5" s="1"/>
  <c r="G42" i="4"/>
  <c r="M42" i="4" s="1"/>
  <c r="N42" i="4" s="1"/>
  <c r="B43" i="4"/>
  <c r="J42" i="4"/>
  <c r="L41" i="4"/>
  <c r="K41" i="4"/>
  <c r="F41" i="4" s="1"/>
  <c r="K41" i="3"/>
  <c r="F41" i="3" s="1"/>
  <c r="M41" i="3" s="1"/>
  <c r="N41" i="3" s="1"/>
  <c r="L41" i="3"/>
  <c r="J42" i="3"/>
  <c r="B43" i="3"/>
  <c r="G42" i="3"/>
  <c r="K43" i="5" l="1"/>
  <c r="F43" i="5" s="1"/>
  <c r="M43" i="5" s="1"/>
  <c r="N43" i="5" s="1"/>
  <c r="L43" i="5"/>
  <c r="J44" i="5"/>
  <c r="G44" i="5"/>
  <c r="B45" i="5"/>
  <c r="L42" i="4"/>
  <c r="K42" i="4"/>
  <c r="F42" i="4" s="1"/>
  <c r="B44" i="4"/>
  <c r="J43" i="4"/>
  <c r="G43" i="4"/>
  <c r="M43" i="4" s="1"/>
  <c r="N43" i="4" s="1"/>
  <c r="L42" i="3"/>
  <c r="K42" i="3"/>
  <c r="F42" i="3" s="1"/>
  <c r="M42" i="3" s="1"/>
  <c r="N42" i="3" s="1"/>
  <c r="B44" i="3"/>
  <c r="J43" i="3"/>
  <c r="G43" i="3"/>
  <c r="L44" i="5" l="1"/>
  <c r="K44" i="5"/>
  <c r="F44" i="5" s="1"/>
  <c r="M44" i="5" s="1"/>
  <c r="N44" i="5" s="1"/>
  <c r="G45" i="5"/>
  <c r="B46" i="5"/>
  <c r="J45" i="5"/>
  <c r="K43" i="4"/>
  <c r="F43" i="4" s="1"/>
  <c r="L43" i="4"/>
  <c r="J44" i="4"/>
  <c r="G44" i="4"/>
  <c r="M44" i="4" s="1"/>
  <c r="N44" i="4" s="1"/>
  <c r="B45" i="4"/>
  <c r="G44" i="3"/>
  <c r="B45" i="3"/>
  <c r="J44" i="3"/>
  <c r="K43" i="3"/>
  <c r="F43" i="3" s="1"/>
  <c r="M43" i="3" s="1"/>
  <c r="N43" i="3" s="1"/>
  <c r="L43" i="3"/>
  <c r="G46" i="5" l="1"/>
  <c r="B47" i="5"/>
  <c r="J46" i="5"/>
  <c r="L45" i="5"/>
  <c r="K45" i="5"/>
  <c r="F45" i="5" s="1"/>
  <c r="M45" i="5" s="1"/>
  <c r="N45" i="5" s="1"/>
  <c r="G45" i="4"/>
  <c r="M45" i="4" s="1"/>
  <c r="N45" i="4" s="1"/>
  <c r="B46" i="4"/>
  <c r="J45" i="4"/>
  <c r="L44" i="4"/>
  <c r="K44" i="4"/>
  <c r="F44" i="4" s="1"/>
  <c r="L44" i="3"/>
  <c r="K44" i="3"/>
  <c r="F44" i="3" s="1"/>
  <c r="M44" i="3" s="1"/>
  <c r="N44" i="3" s="1"/>
  <c r="B46" i="3"/>
  <c r="G45" i="3"/>
  <c r="J45" i="3"/>
  <c r="B48" i="5" l="1"/>
  <c r="J47" i="5"/>
  <c r="G47" i="5"/>
  <c r="L46" i="5"/>
  <c r="K46" i="5"/>
  <c r="F46" i="5" s="1"/>
  <c r="M46" i="5" s="1"/>
  <c r="N46" i="5" s="1"/>
  <c r="L45" i="4"/>
  <c r="K45" i="4"/>
  <c r="F45" i="4" s="1"/>
  <c r="G46" i="4"/>
  <c r="M46" i="4" s="1"/>
  <c r="N46" i="4" s="1"/>
  <c r="B47" i="4"/>
  <c r="J46" i="4"/>
  <c r="J46" i="3"/>
  <c r="B47" i="3"/>
  <c r="G46" i="3"/>
  <c r="K45" i="3"/>
  <c r="F45" i="3" s="1"/>
  <c r="M45" i="3" s="1"/>
  <c r="N45" i="3" s="1"/>
  <c r="L45" i="3"/>
  <c r="K47" i="5" l="1"/>
  <c r="F47" i="5" s="1"/>
  <c r="M47" i="5" s="1"/>
  <c r="N47" i="5" s="1"/>
  <c r="L47" i="5"/>
  <c r="J48" i="5"/>
  <c r="G48" i="5"/>
  <c r="B49" i="5"/>
  <c r="B48" i="4"/>
  <c r="J47" i="4"/>
  <c r="G47" i="4"/>
  <c r="M47" i="4" s="1"/>
  <c r="N47" i="4" s="1"/>
  <c r="L46" i="4"/>
  <c r="K46" i="4"/>
  <c r="F46" i="4" s="1"/>
  <c r="B48" i="3"/>
  <c r="J47" i="3"/>
  <c r="G47" i="3"/>
  <c r="K46" i="3"/>
  <c r="F46" i="3" s="1"/>
  <c r="M46" i="3" s="1"/>
  <c r="N46" i="3" s="1"/>
  <c r="L46" i="3"/>
  <c r="L48" i="5" l="1"/>
  <c r="K48" i="5"/>
  <c r="F48" i="5" s="1"/>
  <c r="M48" i="5" s="1"/>
  <c r="N48" i="5" s="1"/>
  <c r="G49" i="5"/>
  <c r="B50" i="5"/>
  <c r="J49" i="5"/>
  <c r="K47" i="4"/>
  <c r="F47" i="4" s="1"/>
  <c r="L47" i="4"/>
  <c r="J48" i="4"/>
  <c r="G48" i="4"/>
  <c r="M48" i="4" s="1"/>
  <c r="N48" i="4" s="1"/>
  <c r="B49" i="4"/>
  <c r="L47" i="3"/>
  <c r="K47" i="3"/>
  <c r="F47" i="3" s="1"/>
  <c r="M47" i="3" s="1"/>
  <c r="N47" i="3" s="1"/>
  <c r="G48" i="3"/>
  <c r="B49" i="3"/>
  <c r="J48" i="3"/>
  <c r="G50" i="5" l="1"/>
  <c r="B51" i="5"/>
  <c r="J50" i="5"/>
  <c r="L49" i="5"/>
  <c r="K49" i="5"/>
  <c r="F49" i="5" s="1"/>
  <c r="M49" i="5" s="1"/>
  <c r="N49" i="5" s="1"/>
  <c r="L48" i="4"/>
  <c r="K48" i="4"/>
  <c r="F48" i="4" s="1"/>
  <c r="G49" i="4"/>
  <c r="M49" i="4" s="1"/>
  <c r="N49" i="4" s="1"/>
  <c r="B50" i="4"/>
  <c r="J49" i="4"/>
  <c r="B50" i="3"/>
  <c r="J49" i="3"/>
  <c r="G49" i="3"/>
  <c r="L48" i="3"/>
  <c r="K48" i="3"/>
  <c r="F48" i="3" s="1"/>
  <c r="M48" i="3" s="1"/>
  <c r="N48" i="3" s="1"/>
  <c r="L50" i="5" l="1"/>
  <c r="K50" i="5"/>
  <c r="F50" i="5" s="1"/>
  <c r="M50" i="5" s="1"/>
  <c r="N50" i="5" s="1"/>
  <c r="B52" i="5"/>
  <c r="J51" i="5"/>
  <c r="G51" i="5"/>
  <c r="G50" i="4"/>
  <c r="M50" i="4" s="1"/>
  <c r="N50" i="4" s="1"/>
  <c r="B51" i="4"/>
  <c r="J50" i="4"/>
  <c r="L49" i="4"/>
  <c r="K49" i="4"/>
  <c r="F49" i="4" s="1"/>
  <c r="K49" i="3"/>
  <c r="F49" i="3" s="1"/>
  <c r="M49" i="3" s="1"/>
  <c r="N49" i="3" s="1"/>
  <c r="L49" i="3"/>
  <c r="J50" i="3"/>
  <c r="B51" i="3"/>
  <c r="G50" i="3"/>
  <c r="K51" i="5" l="1"/>
  <c r="F51" i="5" s="1"/>
  <c r="M51" i="5" s="1"/>
  <c r="N51" i="5" s="1"/>
  <c r="L51" i="5"/>
  <c r="J52" i="5"/>
  <c r="G52" i="5"/>
  <c r="B53" i="5"/>
  <c r="L50" i="4"/>
  <c r="K50" i="4"/>
  <c r="F50" i="4" s="1"/>
  <c r="B52" i="4"/>
  <c r="J51" i="4"/>
  <c r="G51" i="4"/>
  <c r="M51" i="4" s="1"/>
  <c r="N51" i="4" s="1"/>
  <c r="L50" i="3"/>
  <c r="K50" i="3"/>
  <c r="F50" i="3" s="1"/>
  <c r="M50" i="3" s="1"/>
  <c r="N50" i="3" s="1"/>
  <c r="G51" i="3"/>
  <c r="J51" i="3"/>
  <c r="B52" i="3"/>
  <c r="L52" i="5" l="1"/>
  <c r="K52" i="5"/>
  <c r="F52" i="5" s="1"/>
  <c r="M52" i="5" s="1"/>
  <c r="N52" i="5" s="1"/>
  <c r="G53" i="5"/>
  <c r="B54" i="5"/>
  <c r="J53" i="5"/>
  <c r="J52" i="4"/>
  <c r="G52" i="4"/>
  <c r="M52" i="4" s="1"/>
  <c r="N52" i="4" s="1"/>
  <c r="B53" i="4"/>
  <c r="K51" i="4"/>
  <c r="F51" i="4" s="1"/>
  <c r="L51" i="4"/>
  <c r="L51" i="3"/>
  <c r="K51" i="3"/>
  <c r="F51" i="3" s="1"/>
  <c r="M51" i="3" s="1"/>
  <c r="N51" i="3" s="1"/>
  <c r="G52" i="3"/>
  <c r="B53" i="3"/>
  <c r="J52" i="3"/>
  <c r="G54" i="5" l="1"/>
  <c r="B55" i="5"/>
  <c r="J54" i="5"/>
  <c r="L53" i="5"/>
  <c r="K53" i="5"/>
  <c r="F53" i="5" s="1"/>
  <c r="M53" i="5" s="1"/>
  <c r="N53" i="5" s="1"/>
  <c r="L52" i="4"/>
  <c r="K52" i="4"/>
  <c r="F52" i="4" s="1"/>
  <c r="G53" i="4"/>
  <c r="M53" i="4" s="1"/>
  <c r="N53" i="4" s="1"/>
  <c r="B54" i="4"/>
  <c r="J53" i="4"/>
  <c r="B54" i="3"/>
  <c r="J53" i="3"/>
  <c r="G53" i="3"/>
  <c r="L52" i="3"/>
  <c r="K52" i="3"/>
  <c r="F52" i="3" s="1"/>
  <c r="M52" i="3" s="1"/>
  <c r="N52" i="3" s="1"/>
  <c r="L54" i="5" l="1"/>
  <c r="K54" i="5"/>
  <c r="F54" i="5" s="1"/>
  <c r="M54" i="5" s="1"/>
  <c r="N54" i="5" s="1"/>
  <c r="B56" i="5"/>
  <c r="J55" i="5"/>
  <c r="G55" i="5"/>
  <c r="G54" i="4"/>
  <c r="M54" i="4" s="1"/>
  <c r="N54" i="4" s="1"/>
  <c r="B55" i="4"/>
  <c r="J54" i="4"/>
  <c r="L53" i="4"/>
  <c r="K53" i="4"/>
  <c r="F53" i="4" s="1"/>
  <c r="K53" i="3"/>
  <c r="F53" i="3" s="1"/>
  <c r="M53" i="3" s="1"/>
  <c r="N53" i="3" s="1"/>
  <c r="L53" i="3"/>
  <c r="J54" i="3"/>
  <c r="G54" i="3"/>
  <c r="B55" i="3"/>
  <c r="J56" i="5" l="1"/>
  <c r="G56" i="5"/>
  <c r="B57" i="5"/>
  <c r="K55" i="5"/>
  <c r="F55" i="5" s="1"/>
  <c r="M55" i="5" s="1"/>
  <c r="N55" i="5" s="1"/>
  <c r="L55" i="5"/>
  <c r="L54" i="4"/>
  <c r="K54" i="4"/>
  <c r="F54" i="4" s="1"/>
  <c r="B56" i="4"/>
  <c r="J55" i="4"/>
  <c r="G55" i="4"/>
  <c r="M55" i="4" s="1"/>
  <c r="N55" i="4" s="1"/>
  <c r="L54" i="3"/>
  <c r="K54" i="3"/>
  <c r="F54" i="3" s="1"/>
  <c r="M54" i="3" s="1"/>
  <c r="N54" i="3" s="1"/>
  <c r="B56" i="3"/>
  <c r="J55" i="3"/>
  <c r="G55" i="3"/>
  <c r="G57" i="5" l="1"/>
  <c r="B58" i="5"/>
  <c r="J57" i="5"/>
  <c r="L56" i="5"/>
  <c r="K56" i="5"/>
  <c r="F56" i="5" s="1"/>
  <c r="M56" i="5" s="1"/>
  <c r="N56" i="5" s="1"/>
  <c r="K55" i="4"/>
  <c r="F55" i="4" s="1"/>
  <c r="L55" i="4"/>
  <c r="J56" i="4"/>
  <c r="G56" i="4"/>
  <c r="M56" i="4" s="1"/>
  <c r="N56" i="4" s="1"/>
  <c r="B57" i="4"/>
  <c r="G56" i="3"/>
  <c r="B57" i="3"/>
  <c r="J56" i="3"/>
  <c r="L55" i="3"/>
  <c r="K55" i="3"/>
  <c r="F55" i="3" s="1"/>
  <c r="M55" i="3" s="1"/>
  <c r="N55" i="3" s="1"/>
  <c r="L57" i="5" l="1"/>
  <c r="K57" i="5"/>
  <c r="F57" i="5" s="1"/>
  <c r="M57" i="5" s="1"/>
  <c r="N57" i="5" s="1"/>
  <c r="G58" i="5"/>
  <c r="B59" i="5"/>
  <c r="J58" i="5"/>
  <c r="L56" i="4"/>
  <c r="K56" i="4"/>
  <c r="F56" i="4" s="1"/>
  <c r="G57" i="4"/>
  <c r="M57" i="4" s="1"/>
  <c r="N57" i="4" s="1"/>
  <c r="B58" i="4"/>
  <c r="J57" i="4"/>
  <c r="L56" i="3"/>
  <c r="K56" i="3"/>
  <c r="F56" i="3" s="1"/>
  <c r="M56" i="3" s="1"/>
  <c r="N56" i="3" s="1"/>
  <c r="B58" i="3"/>
  <c r="G57" i="3"/>
  <c r="J57" i="3"/>
  <c r="B60" i="5" l="1"/>
  <c r="J59" i="5"/>
  <c r="G59" i="5"/>
  <c r="L58" i="5"/>
  <c r="K58" i="5"/>
  <c r="F58" i="5" s="1"/>
  <c r="M58" i="5" s="1"/>
  <c r="N58" i="5" s="1"/>
  <c r="G58" i="4"/>
  <c r="M58" i="4" s="1"/>
  <c r="N58" i="4" s="1"/>
  <c r="B59" i="4"/>
  <c r="J58" i="4"/>
  <c r="L57" i="4"/>
  <c r="K57" i="4"/>
  <c r="F57" i="4" s="1"/>
  <c r="J58" i="3"/>
  <c r="B59" i="3"/>
  <c r="G58" i="3"/>
  <c r="K57" i="3"/>
  <c r="F57" i="3" s="1"/>
  <c r="M57" i="3" s="1"/>
  <c r="N57" i="3" s="1"/>
  <c r="L57" i="3"/>
  <c r="K59" i="5" l="1"/>
  <c r="F59" i="5" s="1"/>
  <c r="M59" i="5" s="1"/>
  <c r="N59" i="5" s="1"/>
  <c r="L59" i="5"/>
  <c r="J60" i="5"/>
  <c r="G60" i="5"/>
  <c r="B61" i="5"/>
  <c r="L58" i="4"/>
  <c r="K58" i="4"/>
  <c r="F58" i="4" s="1"/>
  <c r="B60" i="4"/>
  <c r="J59" i="4"/>
  <c r="G59" i="4"/>
  <c r="M59" i="4" s="1"/>
  <c r="N59" i="4" s="1"/>
  <c r="B60" i="3"/>
  <c r="J59" i="3"/>
  <c r="G59" i="3"/>
  <c r="L58" i="3"/>
  <c r="K58" i="3"/>
  <c r="F58" i="3" s="1"/>
  <c r="M58" i="3" s="1"/>
  <c r="N58" i="3" s="1"/>
  <c r="L60" i="5" l="1"/>
  <c r="K60" i="5"/>
  <c r="F60" i="5" s="1"/>
  <c r="M60" i="5" s="1"/>
  <c r="N60" i="5" s="1"/>
  <c r="G61" i="5"/>
  <c r="B62" i="5"/>
  <c r="J61" i="5"/>
  <c r="J60" i="4"/>
  <c r="G60" i="4"/>
  <c r="M60" i="4" s="1"/>
  <c r="N60" i="4" s="1"/>
  <c r="B61" i="4"/>
  <c r="K59" i="4"/>
  <c r="F59" i="4" s="1"/>
  <c r="L59" i="4"/>
  <c r="K59" i="3"/>
  <c r="F59" i="3" s="1"/>
  <c r="M59" i="3" s="1"/>
  <c r="N59" i="3" s="1"/>
  <c r="L59" i="3"/>
  <c r="G60" i="3"/>
  <c r="B61" i="3"/>
  <c r="J60" i="3"/>
  <c r="G62" i="5" l="1"/>
  <c r="B63" i="5"/>
  <c r="J62" i="5"/>
  <c r="L61" i="5"/>
  <c r="K61" i="5"/>
  <c r="F61" i="5" s="1"/>
  <c r="M61" i="5" s="1"/>
  <c r="N61" i="5" s="1"/>
  <c r="G61" i="4"/>
  <c r="M61" i="4" s="1"/>
  <c r="N61" i="4" s="1"/>
  <c r="B62" i="4"/>
  <c r="J61" i="4"/>
  <c r="L60" i="4"/>
  <c r="K60" i="4"/>
  <c r="F60" i="4" s="1"/>
  <c r="B62" i="3"/>
  <c r="G61" i="3"/>
  <c r="J61" i="3"/>
  <c r="L60" i="3"/>
  <c r="K60" i="3"/>
  <c r="F60" i="3" s="1"/>
  <c r="M60" i="3" s="1"/>
  <c r="N60" i="3" s="1"/>
  <c r="L62" i="5" l="1"/>
  <c r="K62" i="5"/>
  <c r="F62" i="5" s="1"/>
  <c r="M62" i="5" s="1"/>
  <c r="N62" i="5" s="1"/>
  <c r="B64" i="5"/>
  <c r="J63" i="5"/>
  <c r="G63" i="5"/>
  <c r="L61" i="4"/>
  <c r="K61" i="4"/>
  <c r="F61" i="4" s="1"/>
  <c r="G62" i="4"/>
  <c r="M62" i="4" s="1"/>
  <c r="N62" i="4" s="1"/>
  <c r="B63" i="4"/>
  <c r="J62" i="4"/>
  <c r="K61" i="3"/>
  <c r="F61" i="3" s="1"/>
  <c r="M61" i="3" s="1"/>
  <c r="N61" i="3" s="1"/>
  <c r="L61" i="3"/>
  <c r="J62" i="3"/>
  <c r="B63" i="3"/>
  <c r="G62" i="3"/>
  <c r="J64" i="5" l="1"/>
  <c r="G64" i="5"/>
  <c r="B65" i="5"/>
  <c r="K63" i="5"/>
  <c r="F63" i="5" s="1"/>
  <c r="M63" i="5" s="1"/>
  <c r="N63" i="5" s="1"/>
  <c r="L63" i="5"/>
  <c r="L62" i="4"/>
  <c r="K62" i="4"/>
  <c r="F62" i="4" s="1"/>
  <c r="B64" i="4"/>
  <c r="J63" i="4"/>
  <c r="G63" i="4"/>
  <c r="M63" i="4" s="1"/>
  <c r="N63" i="4" s="1"/>
  <c r="B64" i="3"/>
  <c r="J63" i="3"/>
  <c r="G63" i="3"/>
  <c r="K62" i="3"/>
  <c r="F62" i="3" s="1"/>
  <c r="M62" i="3" s="1"/>
  <c r="N62" i="3" s="1"/>
  <c r="L62" i="3"/>
  <c r="G65" i="5" l="1"/>
  <c r="B66" i="5"/>
  <c r="J65" i="5"/>
  <c r="L64" i="5"/>
  <c r="K64" i="5"/>
  <c r="F64" i="5" s="1"/>
  <c r="M64" i="5" s="1"/>
  <c r="N64" i="5" s="1"/>
  <c r="J64" i="4"/>
  <c r="G64" i="4"/>
  <c r="M64" i="4" s="1"/>
  <c r="N64" i="4" s="1"/>
  <c r="B65" i="4"/>
  <c r="K63" i="4"/>
  <c r="F63" i="4" s="1"/>
  <c r="L63" i="4"/>
  <c r="L63" i="3"/>
  <c r="K63" i="3"/>
  <c r="F63" i="3" s="1"/>
  <c r="M63" i="3" s="1"/>
  <c r="N63" i="3" s="1"/>
  <c r="G64" i="3"/>
  <c r="B65" i="3"/>
  <c r="J64" i="3"/>
  <c r="L65" i="5" l="1"/>
  <c r="K65" i="5"/>
  <c r="F65" i="5" s="1"/>
  <c r="M65" i="5" s="1"/>
  <c r="N65" i="5" s="1"/>
  <c r="G66" i="5"/>
  <c r="B67" i="5"/>
  <c r="J66" i="5"/>
  <c r="G65" i="4"/>
  <c r="M65" i="4" s="1"/>
  <c r="N65" i="4" s="1"/>
  <c r="B66" i="4"/>
  <c r="J65" i="4"/>
  <c r="L64" i="4"/>
  <c r="K64" i="4"/>
  <c r="F64" i="4" s="1"/>
  <c r="B66" i="3"/>
  <c r="J65" i="3"/>
  <c r="G65" i="3"/>
  <c r="L64" i="3"/>
  <c r="K64" i="3"/>
  <c r="F64" i="3" s="1"/>
  <c r="M64" i="3" s="1"/>
  <c r="N64" i="3" s="1"/>
  <c r="B68" i="5" l="1"/>
  <c r="J67" i="5"/>
  <c r="G67" i="5"/>
  <c r="L66" i="5"/>
  <c r="K66" i="5"/>
  <c r="F66" i="5" s="1"/>
  <c r="M66" i="5" s="1"/>
  <c r="N66" i="5" s="1"/>
  <c r="L65" i="4"/>
  <c r="K65" i="4"/>
  <c r="F65" i="4" s="1"/>
  <c r="G66" i="4"/>
  <c r="M66" i="4" s="1"/>
  <c r="N66" i="4" s="1"/>
  <c r="B67" i="4"/>
  <c r="J66" i="4"/>
  <c r="K65" i="3"/>
  <c r="F65" i="3" s="1"/>
  <c r="M65" i="3" s="1"/>
  <c r="N65" i="3" s="1"/>
  <c r="L65" i="3"/>
  <c r="J66" i="3"/>
  <c r="B67" i="3"/>
  <c r="G66" i="3"/>
  <c r="K67" i="5" l="1"/>
  <c r="F67" i="5" s="1"/>
  <c r="M67" i="5" s="1"/>
  <c r="N67" i="5" s="1"/>
  <c r="L67" i="5"/>
  <c r="J68" i="5"/>
  <c r="G68" i="5"/>
  <c r="L66" i="4"/>
  <c r="K66" i="4"/>
  <c r="F66" i="4" s="1"/>
  <c r="B68" i="4"/>
  <c r="J67" i="4"/>
  <c r="G67" i="4"/>
  <c r="M67" i="4" s="1"/>
  <c r="N67" i="4" s="1"/>
  <c r="G67" i="3"/>
  <c r="B68" i="3"/>
  <c r="J67" i="3"/>
  <c r="L66" i="3"/>
  <c r="K66" i="3"/>
  <c r="F66" i="3" s="1"/>
  <c r="M66" i="3" s="1"/>
  <c r="N66" i="3" s="1"/>
  <c r="L68" i="5" l="1"/>
  <c r="K68" i="5"/>
  <c r="F68" i="5" s="1"/>
  <c r="M68" i="5" s="1"/>
  <c r="N68" i="5" s="1"/>
  <c r="K67" i="4"/>
  <c r="F67" i="4" s="1"/>
  <c r="L67" i="4"/>
  <c r="J68" i="4"/>
  <c r="G68" i="4"/>
  <c r="M68" i="4" s="1"/>
  <c r="N68" i="4" s="1"/>
  <c r="L67" i="3"/>
  <c r="K67" i="3"/>
  <c r="F67" i="3" s="1"/>
  <c r="M67" i="3" s="1"/>
  <c r="N67" i="3" s="1"/>
  <c r="G68" i="3"/>
  <c r="J68" i="3"/>
  <c r="L68" i="4" l="1"/>
  <c r="K68" i="4"/>
  <c r="F68" i="4" s="1"/>
  <c r="L68" i="3"/>
  <c r="K68" i="3"/>
  <c r="F68" i="3" s="1"/>
  <c r="M68" i="3" s="1"/>
  <c r="N6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Frida Klaussen</author>
  </authors>
  <commentList>
    <comment ref="L3" authorId="0" shapeId="0" xr:uid="{9CF54AC2-8703-4481-B8B7-DB7279F77BB2}">
      <text>
        <r>
          <rPr>
            <b/>
            <sz val="9"/>
            <color indexed="81"/>
            <rFont val="Tahoma"/>
            <family val="2"/>
          </rPr>
          <t>Frida Klaussen:</t>
        </r>
        <r>
          <rPr>
            <sz val="9"/>
            <color indexed="81"/>
            <rFont val="Tahoma"/>
            <family val="2"/>
          </rPr>
          <t xml:space="preserve">
Disse er de utfôringsprosentene vi ser på.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tc={98F6CBC4-7664-4FF2-8FD4-F319E2A2F7F6}</author>
    <author>tc={B4BD233C-B93C-4700-8E9F-4E8201D66126}</author>
    <author>tc={96430C93-7348-47A0-9C55-ED5A80ADB0E7}</author>
    <author>tc={8A0C7F93-35D4-424D-885E-AF406A06BE61}</author>
  </authors>
  <commentList>
    <comment ref="E5" authorId="0" shapeId="0" xr:uid="{98F6CBC4-7664-4FF2-8FD4-F319E2A2F7F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Fjerne?</t>
      </text>
    </comment>
    <comment ref="G5" authorId="1" shapeId="0" xr:uid="{B4BD233C-B93C-4700-8E9F-4E8201D6612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Fjerne?</t>
      </text>
    </comment>
    <comment ref="M6" authorId="2" shapeId="0" xr:uid="{96430C93-7348-47A0-9C55-ED5A80ADB0E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300 er et tall for hvor mye spedevann en kan bruke pr kg fôr (Ligger mellom 300-400)</t>
      </text>
    </comment>
    <comment ref="N6" authorId="3" shapeId="0" xr:uid="{8A0C7F93-35D4-424D-885E-AF406A06BE6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Denne blir også feil..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tc={4369F480-F8C9-4435-8CE1-925C478F7949}</author>
    <author>tc={8E8BC536-8C73-4C12-9260-AFCFD3EE2B8A}</author>
    <author>tc={E4AC853F-426C-43A0-BCBA-7870C6DD1D2D}</author>
    <author>tc={CD563B80-505F-4A21-B743-A00A24AC165E}</author>
    <author>tc={09C97ED7-4B03-4859-B08F-44518FEC5240}</author>
    <author>tc={CFB09F26-C21F-415F-B63E-37C4F0B4201C}</author>
  </authors>
  <commentList>
    <comment ref="F5" authorId="0" shapeId="0" xr:uid="{4369F480-F8C9-4435-8CE1-925C478F794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Blir dette riktig?</t>
      </text>
    </comment>
    <comment ref="E6" authorId="1" shapeId="0" xr:uid="{8E8BC536-8C73-4C12-9260-AFCFD3EE2B8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Skal det her være en fôrfaktor på 1?</t>
      </text>
    </comment>
    <comment ref="H6" authorId="2" shapeId="0" xr:uid="{E4AC853F-426C-43A0-BCBA-7870C6DD1D2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Ca verdier som Sigurd fikk fra ILAB</t>
      </text>
    </comment>
    <comment ref="M6" authorId="3" shapeId="0" xr:uid="{CD563B80-505F-4A21-B743-A00A24AC165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300 er et mål for nivå av nitrat? Må spørre om dette blir riktig</t>
      </text>
    </comment>
    <comment ref="E41" authorId="4" shapeId="0" xr:uid="{09C97ED7-4B03-4859-B08F-44518FEC524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Her er fisken over 200 g og får en annen utfôringsprosent</t>
      </text>
    </comment>
    <comment ref="E65" authorId="5" shapeId="0" xr:uid="{CFB09F26-C21F-415F-B63E-37C4F0B4201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Samme skjer her med utfôringsprosenten. Men hvorfor ikke bytte den en dag før? Spiller kanskje ikke så stor rolle?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tc={36C7CB82-62D8-4103-8E01-E64B5CBCA4FD}</author>
    <author>tc={574D13C0-54E3-42A4-9210-E3F3DF5E1A57}</author>
    <author>tc={B343B9C3-2FBE-4A2B-B7A5-D5E532979207}</author>
    <author>tc={3547D6EA-5133-4A12-9117-9DC1B8724957}</author>
    <author>tc={E7DFFB26-D265-46A8-AE40-0AAC6C69972A}</author>
    <author>tc={12CCDDCC-C24A-4BC3-B120-5A2439892DB6}</author>
  </authors>
  <commentList>
    <comment ref="B3" authorId="0" shapeId="0" xr:uid="{36C7CB82-62D8-4103-8E01-E64B5CBCA4F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Endre</t>
      </text>
    </comment>
    <comment ref="B6" authorId="1" shapeId="0" xr:uid="{574D13C0-54E3-42A4-9210-E3F3DF5E1A5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Må kanskje endre</t>
      </text>
    </comment>
    <comment ref="M6" authorId="2" shapeId="0" xr:uid="{B343B9C3-2FBE-4A2B-B7A5-D5E53297920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300 er et mål for nivå av nitrat? Må spørre om dette blir riktig
Svar:
    Usikker på denne</t>
      </text>
    </comment>
    <comment ref="N6" authorId="3" shapeId="0" xr:uid="{3547D6EA-5133-4A12-9117-9DC1B872495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Samme med denne</t>
      </text>
    </comment>
    <comment ref="E41" authorId="4" shapeId="0" xr:uid="{E7DFFB26-D265-46A8-AE40-0AAC6C69972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Her er fisken over 200 g og får en annen utfôringsprosent</t>
      </text>
    </comment>
    <comment ref="E65" authorId="5" shapeId="0" xr:uid="{12CCDDCC-C24A-4BC3-B120-5A2439892DB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Samme skjer her med utfôringsprosenten. Men hvorfor ikke bytte den en dag før? Spiller kanskje ikke så stor rolle?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tc={DE97CD19-8F6D-4218-8876-C04F6FE0F1B5}</author>
    <author>tc={63626FB0-C315-4741-8305-CF7D9CEB57F1}</author>
  </authors>
  <commentList>
    <comment ref="G5" authorId="0" shapeId="0" xr:uid="{DE97CD19-8F6D-4218-8876-C04F6FE0F1B5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Treng æ å ha med denne?</t>
      </text>
    </comment>
    <comment ref="H5" authorId="1" shapeId="0" xr:uid="{63626FB0-C315-4741-8305-CF7D9CEB57F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Treng æ å ha med denne?</t>
      </text>
    </comment>
  </commentList>
</comments>
</file>

<file path=xl/sharedStrings.xml><?xml version="1.0" encoding="utf-8"?>
<sst xmlns="http://schemas.openxmlformats.org/spreadsheetml/2006/main" count="418" uniqueCount="280">
  <si>
    <t>1 °C</t>
  </si>
  <si>
    <t>2 °C</t>
  </si>
  <si>
    <t>3 °C</t>
  </si>
  <si>
    <t>4 °C</t>
  </si>
  <si>
    <t>5 °C</t>
  </si>
  <si>
    <t>6 °C</t>
  </si>
  <si>
    <t>7 °C</t>
  </si>
  <si>
    <t>8 °C</t>
  </si>
  <si>
    <t>9 °C</t>
  </si>
  <si>
    <t>10 °C</t>
  </si>
  <si>
    <t>11 °C</t>
  </si>
  <si>
    <t>12 °C</t>
  </si>
  <si>
    <t>13 °C</t>
  </si>
  <si>
    <t>14 °C</t>
  </si>
  <si>
    <t>15 °C</t>
  </si>
  <si>
    <t>16 °C</t>
  </si>
  <si>
    <t>17 °C</t>
  </si>
  <si>
    <t>Vekt (g)</t>
  </si>
  <si>
    <t>Temperatur</t>
  </si>
  <si>
    <t>Antall fisk=</t>
  </si>
  <si>
    <t>Karvolum  (KBM) =</t>
  </si>
  <si>
    <t>Dag</t>
  </si>
  <si>
    <t>Snittvekt (gram)</t>
  </si>
  <si>
    <t>SGR</t>
  </si>
  <si>
    <t>FF</t>
  </si>
  <si>
    <t>Utfôringsprosent</t>
  </si>
  <si>
    <t>Forbehov (kg)</t>
  </si>
  <si>
    <t>Utfôring kg</t>
  </si>
  <si>
    <t>Dødelighet</t>
  </si>
  <si>
    <t>Antall fisk</t>
  </si>
  <si>
    <t>Biomasse (kg)</t>
  </si>
  <si>
    <t>Biomasse (tilvekst) kg</t>
  </si>
  <si>
    <t>Tetthet (kg/m^3)</t>
  </si>
  <si>
    <t>Spedevann l/min</t>
  </si>
  <si>
    <t>Spedevann pr døgn</t>
  </si>
  <si>
    <t xml:space="preserve">Liter spedevann pr kg fôr= </t>
  </si>
  <si>
    <t>Vekt (gram)</t>
  </si>
  <si>
    <t>Fôrbehov (kg)</t>
  </si>
  <si>
    <t>Utfôring (kg)</t>
  </si>
  <si>
    <t>Biomasse, tilvekst ( kg)</t>
  </si>
  <si>
    <t xml:space="preserve">Spedevann l/pr døgn </t>
  </si>
  <si>
    <t>Utfôringsprosess</t>
  </si>
  <si>
    <t>Tetthet</t>
  </si>
  <si>
    <t>Ukentlig vekst med  264g fisk ved 12 grader</t>
  </si>
  <si>
    <t xml:space="preserve">Antall = </t>
  </si>
  <si>
    <t>Karvolum =</t>
  </si>
  <si>
    <t>Uker</t>
  </si>
  <si>
    <t>Ukentlig vekst (gram)</t>
  </si>
  <si>
    <t>Ukentlig vekt (prosent)</t>
  </si>
  <si>
    <t>Utförings-prosess</t>
  </si>
  <si>
    <t>Biomasse</t>
  </si>
  <si>
    <t>TSS</t>
  </si>
  <si>
    <t>Avløp</t>
  </si>
  <si>
    <t>Min 100 L</t>
  </si>
  <si>
    <t>Avlesning vannmåler</t>
  </si>
  <si>
    <t xml:space="preserve">WTW og pH meter </t>
  </si>
  <si>
    <t>CO2 (mg/l)</t>
  </si>
  <si>
    <t>Kommentar</t>
  </si>
  <si>
    <t>Dager</t>
  </si>
  <si>
    <t>pH</t>
  </si>
  <si>
    <t>% O2</t>
  </si>
  <si>
    <t>Flow</t>
  </si>
  <si>
    <t>Saltvann</t>
  </si>
  <si>
    <t>Ferskvann</t>
  </si>
  <si>
    <r>
      <rPr>
        <sz val="11"/>
        <color theme="1"/>
        <rFont val="Calibri"/>
        <family val="2"/>
      </rPr>
      <t>‰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NaCL</t>
    </r>
  </si>
  <si>
    <t>Temp</t>
  </si>
  <si>
    <t xml:space="preserve">13 + (-2) </t>
  </si>
  <si>
    <t>7,3 (-0,2)</t>
  </si>
  <si>
    <t>N/A (L/min)</t>
  </si>
  <si>
    <t>13 (-2)</t>
  </si>
  <si>
    <t>Max 15</t>
  </si>
  <si>
    <t>Nutra RC 4mm</t>
  </si>
  <si>
    <t>Øket spedevann</t>
  </si>
  <si>
    <t>Øket spedevann 2 L/min</t>
  </si>
  <si>
    <t>God appetitt, økt fôring</t>
  </si>
  <si>
    <t>Fjernet biolegmer i fiskekaret</t>
  </si>
  <si>
    <t>Øket ferskvann</t>
  </si>
  <si>
    <t>Alkal 84</t>
  </si>
  <si>
    <t>Individvekter</t>
  </si>
  <si>
    <t>Økt ferskvann</t>
  </si>
  <si>
    <t>pH settepunkt 7,2</t>
  </si>
  <si>
    <t>Snittvekt 433 g</t>
  </si>
  <si>
    <t>&lt;1,0</t>
  </si>
  <si>
    <t>Tilsetningsstoff (gram)</t>
  </si>
  <si>
    <t>Ammonium (g)</t>
  </si>
  <si>
    <t>Bikarbonat (mL)</t>
  </si>
  <si>
    <t>NH4-N (mg/L)</t>
  </si>
  <si>
    <t>NO2-N (mg/L)</t>
  </si>
  <si>
    <t>NO3-N (mg/L)</t>
  </si>
  <si>
    <t>&lt;0,05</t>
  </si>
  <si>
    <t>Alkalinitet</t>
  </si>
  <si>
    <t>Dato</t>
  </si>
  <si>
    <t>Antall fisk tatt ut/inn</t>
  </si>
  <si>
    <t>Antall døde fisk</t>
  </si>
  <si>
    <t>Fôr batch</t>
  </si>
  <si>
    <t>Fôr pr dag (g)</t>
  </si>
  <si>
    <t>Fôrings-program (sek)</t>
  </si>
  <si>
    <t>Lys (dag:natt)</t>
  </si>
  <si>
    <t>Turbiditet</t>
  </si>
  <si>
    <t>TSS (mg/L)</t>
  </si>
  <si>
    <t>Alkalinitet (mg/L)</t>
  </si>
  <si>
    <t>inn : 257</t>
  </si>
  <si>
    <t>24 t</t>
  </si>
  <si>
    <t>inn: 266</t>
  </si>
  <si>
    <t>Snittvekt: 253 g</t>
  </si>
  <si>
    <t>inn: 253</t>
  </si>
  <si>
    <t>ut: 13</t>
  </si>
  <si>
    <t>Fult</t>
  </si>
  <si>
    <t>Full</t>
  </si>
  <si>
    <t>Rest 1 sekk</t>
  </si>
  <si>
    <t>Tom</t>
  </si>
  <si>
    <t>Nutra RC 4 mm (fôr)</t>
  </si>
  <si>
    <t>En fisk hadde hoppet ut av karet</t>
  </si>
  <si>
    <t>2x Full</t>
  </si>
  <si>
    <t>2x 160</t>
  </si>
  <si>
    <t>Tall fra Litus sitt anlegg</t>
  </si>
  <si>
    <t>24.03.2021</t>
  </si>
  <si>
    <t>25.03.2021</t>
  </si>
  <si>
    <t>26.03.2021</t>
  </si>
  <si>
    <t>29.03.2021</t>
  </si>
  <si>
    <t>30.03.2021</t>
  </si>
  <si>
    <t>01.04.2021</t>
  </si>
  <si>
    <t>05.04.2021</t>
  </si>
  <si>
    <t>08.04.2021</t>
  </si>
  <si>
    <t>09.04.2021</t>
  </si>
  <si>
    <t>12.04.2021</t>
  </si>
  <si>
    <t>15.04.2021</t>
  </si>
  <si>
    <t>19.04.2021</t>
  </si>
  <si>
    <t>22.04.2021</t>
  </si>
  <si>
    <t>26.04.2021</t>
  </si>
  <si>
    <t>29.04.2021</t>
  </si>
  <si>
    <t>Gjenn.snitt</t>
  </si>
  <si>
    <t>Ref. NH4  (mg/L)</t>
  </si>
  <si>
    <t>Ref. NO2 (mg/L)</t>
  </si>
  <si>
    <t>Ref. NO3 (mg/L)</t>
  </si>
  <si>
    <t xml:space="preserve"> Litus, NH4 (mg/L)</t>
  </si>
  <si>
    <t xml:space="preserve"> Litus, NO2 (mg/L)</t>
  </si>
  <si>
    <t>Litus, NO3 (mg/L)</t>
  </si>
  <si>
    <t>Avløpskasse (mg/L)</t>
  </si>
  <si>
    <t>Etter trommelfilter (mg/L)</t>
  </si>
  <si>
    <t>Etter DynaSand (mg/L)</t>
  </si>
  <si>
    <t>FAU</t>
  </si>
  <si>
    <t>ABS</t>
  </si>
  <si>
    <t>Prøveuttak 1: 26.03.21</t>
  </si>
  <si>
    <t>Prøveuttak 2: 28.04.21</t>
  </si>
  <si>
    <t>Prøvene</t>
  </si>
  <si>
    <t>Klor</t>
  </si>
  <si>
    <t>Natrium</t>
  </si>
  <si>
    <t>Gjenn.snitt ref</t>
  </si>
  <si>
    <t xml:space="preserve">Gjelleprøvene som ble tatt </t>
  </si>
  <si>
    <t>Ref. gruppe</t>
  </si>
  <si>
    <t>1. Na-K-ATPase (Litus)</t>
  </si>
  <si>
    <t>2. Na-K-ATPase (Litus)</t>
  </si>
  <si>
    <t xml:space="preserve">Vekst og lengde fra de to prøvene </t>
  </si>
  <si>
    <t>Prøve 1</t>
  </si>
  <si>
    <t>Prøve 2</t>
  </si>
  <si>
    <t>Lengde (cm)</t>
  </si>
  <si>
    <t>K-faktor</t>
  </si>
  <si>
    <t xml:space="preserve">Gjenn.snitt av lengden til fisken: </t>
  </si>
  <si>
    <t>Gjenn.snitt av vekten til fisken:</t>
  </si>
  <si>
    <t>Gjenn.snitt av kondisjonsfaktoren</t>
  </si>
  <si>
    <t>Gjennomsnitt SGR</t>
  </si>
  <si>
    <t>SGR Litus</t>
  </si>
  <si>
    <t>SGR ref</t>
  </si>
  <si>
    <t>Etter trommelfilter</t>
  </si>
  <si>
    <t xml:space="preserve">Etter sandfilter </t>
  </si>
  <si>
    <t>Vekt filter, før (g)</t>
  </si>
  <si>
    <t>Vekt filter etter (g)</t>
  </si>
  <si>
    <t>Utregning (mg/L)</t>
  </si>
  <si>
    <t>Prosent av fôr</t>
  </si>
  <si>
    <t>06.04.2021</t>
  </si>
  <si>
    <t>13.04.2021</t>
  </si>
  <si>
    <t>20.04.2021</t>
  </si>
  <si>
    <t>27.04.2021</t>
  </si>
  <si>
    <t>Gjennomsnittlig TSS verdier</t>
  </si>
  <si>
    <t xml:space="preserve">TSS i avløpskasse </t>
  </si>
  <si>
    <t>TSS etter trommelfilter</t>
  </si>
  <si>
    <t>TSS etter DynaSand</t>
  </si>
  <si>
    <t>Plasmaprøver</t>
  </si>
  <si>
    <t>t-Test: To utvalg med antatt ulike varianser</t>
  </si>
  <si>
    <t>Na-K-ATPase (2)</t>
  </si>
  <si>
    <t>Gjennomsnitt</t>
  </si>
  <si>
    <t>Varians</t>
  </si>
  <si>
    <t>Observasjoner</t>
  </si>
  <si>
    <t>t-Stat</t>
  </si>
  <si>
    <t>T-kritisk, tosidig</t>
  </si>
  <si>
    <t>Gjennomsnitt klor</t>
  </si>
  <si>
    <t>Litus Klor (1)</t>
  </si>
  <si>
    <t>Litus Klor (2)</t>
  </si>
  <si>
    <t>Klor (ref)</t>
  </si>
  <si>
    <t>Gjennomsnitt natrium</t>
  </si>
  <si>
    <t>Litus Natrium (1)</t>
  </si>
  <si>
    <t>Litus Natrium (2)</t>
  </si>
  <si>
    <t>Natrium (Ref)</t>
  </si>
  <si>
    <t>Overvåkning av vannet uten fisk i karet</t>
  </si>
  <si>
    <t xml:space="preserve">Temp </t>
  </si>
  <si>
    <r>
      <t>Salinitet (</t>
    </r>
    <r>
      <rPr>
        <sz val="11"/>
        <color theme="1"/>
        <rFont val="Calibri"/>
        <family val="2"/>
      </rPr>
      <t>‰)</t>
    </r>
  </si>
  <si>
    <t>Oksygen (%)</t>
  </si>
  <si>
    <t>Test 1 NKA (mg/L)</t>
  </si>
  <si>
    <t>Test 2 NKA (mg/L)</t>
  </si>
  <si>
    <t>Ref. NKA (mg/L)</t>
  </si>
  <si>
    <t>Cl-test 1</t>
  </si>
  <si>
    <t>Cl-test 2</t>
  </si>
  <si>
    <t>Na-test 1</t>
  </si>
  <si>
    <t>Na-test 2</t>
  </si>
  <si>
    <t>P-verdi</t>
  </si>
  <si>
    <t>NH4 (mg/L)</t>
  </si>
  <si>
    <t>NO2 (mg/L)</t>
  </si>
  <si>
    <t>NO3 (mg/L)</t>
  </si>
  <si>
    <t>Litus Akva</t>
  </si>
  <si>
    <t>Ref</t>
  </si>
  <si>
    <t>Tilveksttabell for 264 g fisk ved 10 grader:</t>
  </si>
  <si>
    <t>Tilveksttabell for 264 g fisk ved 12 grader:</t>
  </si>
  <si>
    <t>Tilveksttabell for 264g fisk ved 14 grader:</t>
  </si>
  <si>
    <t>Ammonium(mg/L)</t>
  </si>
  <si>
    <t>Nitritt   (mg/L)</t>
  </si>
  <si>
    <t>Nitrat   (mg/L)</t>
  </si>
  <si>
    <t>Pumpesump (mg/L)</t>
  </si>
  <si>
    <t>Etter sandfilter (mg/L)</t>
  </si>
  <si>
    <t>Parameter:</t>
  </si>
  <si>
    <t>For i døgnet(gram):</t>
  </si>
  <si>
    <t>Filtrert volum (ml):</t>
  </si>
  <si>
    <t>Volum i tank (liter):</t>
  </si>
  <si>
    <t>Avløpskasse</t>
  </si>
  <si>
    <t>Pumpesumpen</t>
  </si>
  <si>
    <t>Sum TSS (mg/l)</t>
  </si>
  <si>
    <t>Cl-ref</t>
  </si>
  <si>
    <r>
      <t xml:space="preserve">Note: Indikerer p </t>
    </r>
    <r>
      <rPr>
        <i/>
        <sz val="11"/>
        <color theme="1"/>
        <rFont val="Calibri"/>
        <family val="2"/>
      </rPr>
      <t>≤ 0,05</t>
    </r>
  </si>
  <si>
    <t>Na-ref</t>
  </si>
  <si>
    <t>Na-K-ATPase (1)</t>
  </si>
  <si>
    <t>Na-K-ATPase ref</t>
  </si>
  <si>
    <t>Renoylds tall</t>
  </si>
  <si>
    <t>Renoylds Tall</t>
  </si>
  <si>
    <t>Diameter partikkelsjikt (m)</t>
  </si>
  <si>
    <t>Fluidets viskositet kg/(m*s)</t>
  </si>
  <si>
    <t>Radius Partikkelsjikt (m)</t>
  </si>
  <si>
    <t>tetthet fluid (kg/m^3)</t>
  </si>
  <si>
    <t>Tverrsnitt (m2)</t>
  </si>
  <si>
    <t>Strømningshastigheten (m/s)</t>
  </si>
  <si>
    <t>Diameter (m)</t>
  </si>
  <si>
    <t>Utrekning</t>
  </si>
  <si>
    <t>Trykktap ∆p</t>
  </si>
  <si>
    <t>Trykktap ∆p i selvvaskende sandfilter</t>
  </si>
  <si>
    <t>Gunstig</t>
  </si>
  <si>
    <t>Maks tillatt</t>
  </si>
  <si>
    <t>Målt</t>
  </si>
  <si>
    <t>m</t>
  </si>
  <si>
    <t>kPa</t>
  </si>
  <si>
    <t>Porøsitet</t>
  </si>
  <si>
    <t>ml</t>
  </si>
  <si>
    <t>Volum vann</t>
  </si>
  <si>
    <t>Volumet nødvendig for å fylle porerommene</t>
  </si>
  <si>
    <t>Strøningshastighetn teorektisk</t>
  </si>
  <si>
    <t>Strømningshastighet</t>
  </si>
  <si>
    <t>Tyngdekraft (m/s)</t>
  </si>
  <si>
    <t>Høyde partikkelsjikt (m)</t>
  </si>
  <si>
    <t>Tetthet partikkelsjikt (kg/m^3)</t>
  </si>
  <si>
    <t>Tetthet fluid (kg/m^3)</t>
  </si>
  <si>
    <t>porøsitet partikkelsjikt</t>
  </si>
  <si>
    <t>Fluidets viskositet (kg/(m*s)</t>
  </si>
  <si>
    <t xml:space="preserve">Formfaktor partikkler </t>
  </si>
  <si>
    <t xml:space="preserve"> Teoretisk minimum fluidiseringshastighet (m/s)</t>
  </si>
  <si>
    <t>Salinitet</t>
  </si>
  <si>
    <t>Gjennomsnitt temp.</t>
  </si>
  <si>
    <t>Gjennomsnittlig minimumvolumstrøm (l/min)</t>
  </si>
  <si>
    <t>Gjennomsnittlig minimumvolumstrøm (m^3/s)</t>
  </si>
  <si>
    <t>Gjennomsnittelig minimum strømningshastighet (m/s)</t>
  </si>
  <si>
    <t>Målt volumstrøm</t>
  </si>
  <si>
    <t>Målt strømmningshastighet</t>
  </si>
  <si>
    <t>Selvvaskende sandfilter (l/min)</t>
  </si>
  <si>
    <t>Selvvaskende sandfilter (m^3/s)</t>
  </si>
  <si>
    <t>Selvvaskende sandfilter målt strømningshastighet (m/s)</t>
  </si>
  <si>
    <t>x</t>
  </si>
  <si>
    <t>Start/slutt</t>
  </si>
  <si>
    <t>Vekt teori (kg)</t>
  </si>
  <si>
    <t>Vekt målt (kg)</t>
  </si>
  <si>
    <t>Biomasse ref</t>
  </si>
  <si>
    <t>Biomasse målt</t>
  </si>
  <si>
    <t>Antall ref</t>
  </si>
  <si>
    <t>Antall fisk Litus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</si>
</sst>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"/>
    <numFmt numFmtId="167" formatCode="0.0\ %"/>
    <numFmt numFmtId="168" formatCode="dd/mm/yy;@"/>
    <numFmt numFmtId="169" formatCode="0.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9.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2">
    <xf numFmtId="0" fontId="0" fillId="0" borderId="0" xfId="0"/>
    <xf numFmtId="0" fontId="0" fillId="34" borderId="0" xfId="0" applyFill="1"/>
    <xf numFmtId="0" fontId="16" fillId="0" borderId="0" xfId="0" applyFont="1"/>
    <xf numFmtId="0" fontId="16" fillId="37" borderId="0" xfId="0" applyFont="1" applyFill="1"/>
    <xf numFmtId="2" fontId="0" fillId="37" borderId="0" xfId="0" applyNumberFormat="1" applyFill="1"/>
    <xf numFmtId="0" fontId="0" fillId="37" borderId="0" xfId="0" applyFill="1" applyAlignment="1">
      <alignment horizontal="right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166" fontId="0" fillId="0" borderId="21" xfId="0" applyNumberFormat="1" applyBorder="1"/>
    <xf numFmtId="0" fontId="0" fillId="34" borderId="21" xfId="0" applyFill="1" applyBorder="1"/>
    <xf numFmtId="10" fontId="0" fillId="38" borderId="21" xfId="1" applyNumberFormat="1" applyFont="1" applyFill="1" applyBorder="1"/>
    <xf numFmtId="10" fontId="0" fillId="34" borderId="21" xfId="1" applyNumberFormat="1" applyFont="1" applyFill="1" applyBorder="1"/>
    <xf numFmtId="2" fontId="0" fillId="38" borderId="21" xfId="0" applyNumberFormat="1" applyFill="1" applyBorder="1"/>
    <xf numFmtId="10" fontId="0" fillId="0" borderId="21" xfId="1" applyNumberFormat="1" applyFont="1" applyBorder="1"/>
    <xf numFmtId="2" fontId="0" fillId="0" borderId="21" xfId="1" applyNumberFormat="1" applyFont="1" applyBorder="1"/>
    <xf numFmtId="1" fontId="0" fillId="0" borderId="21" xfId="0" applyNumberFormat="1" applyBorder="1"/>
    <xf numFmtId="2" fontId="0" fillId="0" borderId="21" xfId="0" applyNumberFormat="1" applyBorder="1"/>
    <xf numFmtId="2" fontId="0" fillId="34" borderId="21" xfId="1" applyNumberFormat="1" applyFont="1" applyFill="1" applyBorder="1"/>
    <xf numFmtId="164" fontId="0" fillId="34" borderId="21" xfId="0" applyNumberFormat="1" applyFill="1" applyBorder="1"/>
    <xf numFmtId="0" fontId="16" fillId="39" borderId="0" xfId="0" applyFont="1" applyFill="1"/>
    <xf numFmtId="2" fontId="0" fillId="39" borderId="0" xfId="0" applyNumberFormat="1" applyFill="1"/>
    <xf numFmtId="0" fontId="0" fillId="39" borderId="0" xfId="0" applyFill="1" applyAlignment="1">
      <alignment horizontal="right"/>
    </xf>
    <xf numFmtId="0" fontId="16" fillId="39" borderId="0" xfId="0" applyFont="1" applyFill="1" applyAlignment="1">
      <alignment horizontal="left"/>
    </xf>
    <xf numFmtId="0" fontId="0" fillId="39" borderId="0" xfId="0" applyFill="1"/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164" fontId="0" fillId="0" borderId="21" xfId="0" applyNumberFormat="1" applyBorder="1"/>
    <xf numFmtId="10" fontId="0" fillId="40" borderId="21" xfId="1" applyNumberFormat="1" applyFont="1" applyFill="1" applyBorder="1"/>
    <xf numFmtId="2" fontId="0" fillId="40" borderId="21" xfId="0" applyNumberFormat="1" applyFill="1" applyBorder="1"/>
    <xf numFmtId="0" fontId="16" fillId="33" borderId="0" xfId="0" applyFont="1" applyFill="1"/>
    <xf numFmtId="2" fontId="0" fillId="33" borderId="0" xfId="0" applyNumberFormat="1" applyFill="1"/>
    <xf numFmtId="0" fontId="0" fillId="33" borderId="0" xfId="0" applyFill="1" applyAlignment="1">
      <alignment horizontal="right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166" fontId="0" fillId="0" borderId="27" xfId="0" applyNumberFormat="1" applyBorder="1"/>
    <xf numFmtId="0" fontId="0" fillId="34" borderId="27" xfId="0" applyFill="1" applyBorder="1"/>
    <xf numFmtId="10" fontId="0" fillId="38" borderId="27" xfId="1" applyNumberFormat="1" applyFont="1" applyFill="1" applyBorder="1"/>
    <xf numFmtId="10" fontId="0" fillId="0" borderId="27" xfId="1" applyNumberFormat="1" applyFont="1" applyBorder="1"/>
    <xf numFmtId="2" fontId="0" fillId="38" borderId="27" xfId="0" applyNumberFormat="1" applyFill="1" applyBorder="1"/>
    <xf numFmtId="2" fontId="0" fillId="0" borderId="27" xfId="1" applyNumberFormat="1" applyFont="1" applyBorder="1"/>
    <xf numFmtId="1" fontId="0" fillId="0" borderId="27" xfId="0" applyNumberFormat="1" applyBorder="1"/>
    <xf numFmtId="2" fontId="0" fillId="0" borderId="27" xfId="0" applyNumberFormat="1" applyBorder="1"/>
    <xf numFmtId="0" fontId="16" fillId="35" borderId="11" xfId="0" applyFont="1" applyFill="1" applyBorder="1"/>
    <xf numFmtId="2" fontId="0" fillId="35" borderId="12" xfId="0" applyNumberFormat="1" applyFill="1" applyBorder="1"/>
    <xf numFmtId="0" fontId="0" fillId="35" borderId="12" xfId="0" applyFill="1" applyBorder="1"/>
    <xf numFmtId="0" fontId="16" fillId="35" borderId="12" xfId="0" applyFont="1" applyFill="1" applyBorder="1"/>
    <xf numFmtId="0" fontId="0" fillId="35" borderId="13" xfId="0" applyFill="1" applyBorder="1"/>
    <xf numFmtId="0" fontId="0" fillId="35" borderId="1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right"/>
    </xf>
    <xf numFmtId="164" fontId="0" fillId="0" borderId="27" xfId="0" applyNumberFormat="1" applyBorder="1"/>
    <xf numFmtId="2" fontId="0" fillId="0" borderId="21" xfId="0" applyNumberFormat="1" applyBorder="1" applyAlignment="1">
      <alignment horizontal="right"/>
    </xf>
    <xf numFmtId="167" fontId="0" fillId="0" borderId="21" xfId="1" applyNumberFormat="1" applyFont="1" applyBorder="1" applyAlignment="1">
      <alignment horizontal="right"/>
    </xf>
    <xf numFmtId="165" fontId="0" fillId="0" borderId="21" xfId="0" applyNumberFormat="1" applyBorder="1"/>
    <xf numFmtId="0" fontId="0" fillId="0" borderId="23" xfId="0" applyBorder="1" applyAlignment="1">
      <alignment wrapText="1"/>
    </xf>
    <xf numFmtId="0" fontId="0" fillId="37" borderId="34" xfId="0" applyFill="1" applyBorder="1"/>
    <xf numFmtId="0" fontId="22" fillId="37" borderId="34" xfId="0" applyFont="1" applyFill="1" applyBorder="1"/>
    <xf numFmtId="0" fontId="22" fillId="37" borderId="35" xfId="0" applyFont="1" applyFill="1" applyBorder="1"/>
    <xf numFmtId="0" fontId="0" fillId="33" borderId="21" xfId="0" applyFill="1" applyBorder="1"/>
    <xf numFmtId="9" fontId="0" fillId="33" borderId="21" xfId="0" applyNumberFormat="1" applyFill="1" applyBorder="1"/>
    <xf numFmtId="0" fontId="0" fillId="33" borderId="27" xfId="0" applyFill="1" applyBorder="1"/>
    <xf numFmtId="16" fontId="0" fillId="0" borderId="21" xfId="0" applyNumberFormat="1" applyBorder="1"/>
    <xf numFmtId="0" fontId="0" fillId="0" borderId="21" xfId="0" applyBorder="1"/>
    <xf numFmtId="16" fontId="0" fillId="0" borderId="34" xfId="0" applyNumberFormat="1" applyBorder="1"/>
    <xf numFmtId="0" fontId="0" fillId="0" borderId="34" xfId="0" applyBorder="1"/>
    <xf numFmtId="166" fontId="0" fillId="0" borderId="34" xfId="0" applyNumberFormat="1" applyBorder="1"/>
    <xf numFmtId="0" fontId="0" fillId="0" borderId="21" xfId="0" applyBorder="1" applyAlignment="1">
      <alignment horizontal="right"/>
    </xf>
    <xf numFmtId="0" fontId="0" fillId="0" borderId="27" xfId="0" applyBorder="1"/>
    <xf numFmtId="14" fontId="0" fillId="0" borderId="27" xfId="0" applyNumberFormat="1" applyBorder="1"/>
    <xf numFmtId="0" fontId="0" fillId="0" borderId="27" xfId="0" applyBorder="1" applyAlignment="1">
      <alignment horizontal="right"/>
    </xf>
    <xf numFmtId="14" fontId="0" fillId="0" borderId="21" xfId="0" applyNumberFormat="1" applyBorder="1"/>
    <xf numFmtId="168" fontId="0" fillId="0" borderId="21" xfId="0" quotePrefix="1" applyNumberFormat="1" applyBorder="1"/>
    <xf numFmtId="168" fontId="0" fillId="0" borderId="34" xfId="0" quotePrefix="1" applyNumberFormat="1" applyBorder="1"/>
    <xf numFmtId="164" fontId="0" fillId="0" borderId="34" xfId="0" applyNumberFormat="1" applyBorder="1"/>
    <xf numFmtId="168" fontId="0" fillId="37" borderId="21" xfId="0" applyNumberFormat="1" applyFill="1" applyBorder="1"/>
    <xf numFmtId="164" fontId="0" fillId="37" borderId="21" xfId="0" applyNumberFormat="1" applyFill="1" applyBorder="1"/>
    <xf numFmtId="0" fontId="0" fillId="0" borderId="0" xfId="0" applyAlignment="1">
      <alignment horizontal="right" vertical="center" wrapText="1"/>
    </xf>
    <xf numFmtId="2" fontId="0" fillId="0" borderId="0" xfId="0" applyNumberFormat="1"/>
    <xf numFmtId="0" fontId="0" fillId="39" borderId="47" xfId="0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0" fontId="0" fillId="39" borderId="48" xfId="0" applyFill="1" applyBorder="1" applyAlignment="1">
      <alignment horizontal="center" vertical="center" wrapText="1"/>
    </xf>
    <xf numFmtId="0" fontId="0" fillId="39" borderId="49" xfId="0" applyFill="1" applyBorder="1"/>
    <xf numFmtId="0" fontId="0" fillId="39" borderId="50" xfId="0" applyFill="1" applyBorder="1"/>
    <xf numFmtId="0" fontId="0" fillId="35" borderId="21" xfId="0" applyFill="1" applyBorder="1"/>
    <xf numFmtId="0" fontId="0" fillId="0" borderId="27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16" fillId="38" borderId="54" xfId="0" applyFont="1" applyFill="1" applyBorder="1" applyAlignment="1">
      <alignment horizontal="center"/>
    </xf>
    <xf numFmtId="0" fontId="16" fillId="38" borderId="55" xfId="0" applyFont="1" applyFill="1" applyBorder="1" applyAlignment="1">
      <alignment horizontal="center"/>
    </xf>
    <xf numFmtId="0" fontId="16" fillId="38" borderId="43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41" xfId="0" applyBorder="1"/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43" xfId="0" applyBorder="1"/>
    <xf numFmtId="166" fontId="0" fillId="0" borderId="54" xfId="0" applyNumberFormat="1" applyBorder="1"/>
    <xf numFmtId="2" fontId="0" fillId="0" borderId="55" xfId="0" applyNumberFormat="1" applyBorder="1"/>
    <xf numFmtId="166" fontId="0" fillId="0" borderId="55" xfId="0" applyNumberFormat="1" applyBorder="1"/>
    <xf numFmtId="0" fontId="16" fillId="44" borderId="53" xfId="0" applyFont="1" applyFill="1" applyBorder="1"/>
    <xf numFmtId="2" fontId="16" fillId="44" borderId="54" xfId="0" applyNumberFormat="1" applyFont="1" applyFill="1" applyBorder="1"/>
    <xf numFmtId="2" fontId="16" fillId="44" borderId="55" xfId="0" applyNumberFormat="1" applyFont="1" applyFill="1" applyBorder="1"/>
    <xf numFmtId="2" fontId="16" fillId="44" borderId="43" xfId="0" applyNumberFormat="1" applyFont="1" applyFill="1" applyBorder="1"/>
    <xf numFmtId="164" fontId="0" fillId="0" borderId="40" xfId="0" applyNumberFormat="1" applyBorder="1"/>
    <xf numFmtId="164" fontId="0" fillId="0" borderId="42" xfId="0" applyNumberFormat="1" applyBorder="1"/>
    <xf numFmtId="164" fontId="0" fillId="0" borderId="35" xfId="0" applyNumberFormat="1" applyBorder="1"/>
    <xf numFmtId="0" fontId="0" fillId="37" borderId="24" xfId="0" applyFill="1" applyBorder="1"/>
    <xf numFmtId="164" fontId="0" fillId="37" borderId="28" xfId="0" applyNumberFormat="1" applyFill="1" applyBorder="1"/>
    <xf numFmtId="164" fontId="0" fillId="37" borderId="25" xfId="0" applyNumberFormat="1" applyFill="1" applyBorder="1"/>
    <xf numFmtId="164" fontId="0" fillId="37" borderId="26" xfId="0" applyNumberFormat="1" applyFill="1" applyBorder="1"/>
    <xf numFmtId="164" fontId="0" fillId="34" borderId="27" xfId="0" applyNumberFormat="1" applyFill="1" applyBorder="1"/>
    <xf numFmtId="0" fontId="0" fillId="37" borderId="25" xfId="0" applyFill="1" applyBorder="1"/>
    <xf numFmtId="0" fontId="0" fillId="37" borderId="29" xfId="0" applyFill="1" applyBorder="1"/>
    <xf numFmtId="0" fontId="0" fillId="37" borderId="26" xfId="0" applyFill="1" applyBorder="1"/>
    <xf numFmtId="0" fontId="25" fillId="0" borderId="27" xfId="0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4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42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2" fontId="25" fillId="0" borderId="35" xfId="0" applyNumberFormat="1" applyFont="1" applyBorder="1" applyAlignment="1">
      <alignment horizontal="center" vertical="center"/>
    </xf>
    <xf numFmtId="2" fontId="0" fillId="37" borderId="25" xfId="0" applyNumberFormat="1" applyFill="1" applyBorder="1"/>
    <xf numFmtId="0" fontId="0" fillId="0" borderId="49" xfId="0" applyBorder="1"/>
    <xf numFmtId="16" fontId="16" fillId="0" borderId="0" xfId="0" applyNumberFormat="1" applyFont="1"/>
    <xf numFmtId="2" fontId="0" fillId="0" borderId="27" xfId="0" applyNumberFormat="1" applyBorder="1" applyAlignment="1">
      <alignment horizontal="right" vertical="center" wrapText="1"/>
    </xf>
    <xf numFmtId="0" fontId="24" fillId="36" borderId="0" xfId="0" applyFont="1" applyFill="1"/>
    <xf numFmtId="0" fontId="0" fillId="36" borderId="0" xfId="0" applyFill="1"/>
    <xf numFmtId="0" fontId="0" fillId="0" borderId="0" xfId="0"/>
    <xf numFmtId="0" fontId="0" fillId="0" borderId="21" xfId="0" applyBorder="1"/>
    <xf numFmtId="166" fontId="0" fillId="0" borderId="21" xfId="0" applyNumberFormat="1" applyBorder="1"/>
    <xf numFmtId="2" fontId="0" fillId="0" borderId="21" xfId="0" applyNumberFormat="1" applyBorder="1"/>
    <xf numFmtId="0" fontId="16" fillId="0" borderId="0" xfId="0" applyFont="1"/>
    <xf numFmtId="0" fontId="0" fillId="0" borderId="27" xfId="0" applyBorder="1"/>
    <xf numFmtId="165" fontId="0" fillId="0" borderId="21" xfId="0" applyNumberFormat="1" applyBorder="1"/>
    <xf numFmtId="0" fontId="0" fillId="36" borderId="15" xfId="0" applyFill="1" applyBorder="1" applyAlignment="1">
      <alignment horizontal="center"/>
    </xf>
    <xf numFmtId="164" fontId="0" fillId="0" borderId="21" xfId="0" applyNumberFormat="1" applyBorder="1"/>
    <xf numFmtId="0" fontId="0" fillId="34" borderId="21" xfId="0" applyFill="1" applyBorder="1"/>
    <xf numFmtId="14" fontId="0" fillId="0" borderId="21" xfId="0" applyNumberFormat="1" applyBorder="1"/>
    <xf numFmtId="14" fontId="0" fillId="0" borderId="27" xfId="0" applyNumberFormat="1" applyBorder="1"/>
    <xf numFmtId="0" fontId="0" fillId="0" borderId="55" xfId="0" applyBorder="1"/>
    <xf numFmtId="0" fontId="0" fillId="0" borderId="39" xfId="0" applyBorder="1"/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35" borderId="21" xfId="0" applyFill="1" applyBorder="1"/>
    <xf numFmtId="14" fontId="0" fillId="0" borderId="54" xfId="0" applyNumberFormat="1" applyBorder="1"/>
    <xf numFmtId="14" fontId="0" fillId="0" borderId="45" xfId="0" applyNumberFormat="1" applyBorder="1"/>
    <xf numFmtId="0" fontId="0" fillId="0" borderId="38" xfId="0" applyBorder="1"/>
    <xf numFmtId="0" fontId="0" fillId="37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/>
    <xf numFmtId="0" fontId="18" fillId="33" borderId="21" xfId="0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right" vertical="top" wrapText="1"/>
    </xf>
    <xf numFmtId="4" fontId="19" fillId="34" borderId="21" xfId="0" applyNumberFormat="1" applyFont="1" applyFill="1" applyBorder="1" applyAlignment="1">
      <alignment horizontal="right" vertical="top" wrapText="1"/>
    </xf>
    <xf numFmtId="4" fontId="19" fillId="35" borderId="21" xfId="0" applyNumberFormat="1" applyFont="1" applyFill="1" applyBorder="1" applyAlignment="1">
      <alignment horizontal="right" vertical="top" wrapText="1"/>
    </xf>
    <xf numFmtId="0" fontId="0" fillId="36" borderId="6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4" fontId="0" fillId="37" borderId="24" xfId="0" applyNumberFormat="1" applyFill="1" applyBorder="1"/>
    <xf numFmtId="14" fontId="0" fillId="37" borderId="26" xfId="0" applyNumberFormat="1" applyFill="1" applyBorder="1"/>
    <xf numFmtId="0" fontId="0" fillId="0" borderId="21" xfId="0" applyFill="1" applyBorder="1"/>
    <xf numFmtId="0" fontId="0" fillId="37" borderId="44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44" xfId="0" applyFill="1" applyBorder="1"/>
    <xf numFmtId="0" fontId="0" fillId="36" borderId="36" xfId="0" applyFill="1" applyBorder="1"/>
    <xf numFmtId="0" fontId="0" fillId="36" borderId="37" xfId="0" applyFill="1" applyBorder="1"/>
    <xf numFmtId="164" fontId="0" fillId="0" borderId="55" xfId="0" applyNumberFormat="1" applyBorder="1"/>
    <xf numFmtId="0" fontId="0" fillId="0" borderId="45" xfId="0" applyBorder="1"/>
    <xf numFmtId="164" fontId="0" fillId="0" borderId="38" xfId="0" applyNumberFormat="1" applyBorder="1"/>
    <xf numFmtId="164" fontId="0" fillId="0" borderId="39" xfId="0" applyNumberFormat="1" applyBorder="1"/>
    <xf numFmtId="0" fontId="0" fillId="37" borderId="38" xfId="0" applyFill="1" applyBorder="1"/>
    <xf numFmtId="14" fontId="0" fillId="0" borderId="27" xfId="0" applyNumberFormat="1" applyBorder="1" applyAlignment="1">
      <alignment horizontal="left" vertical="center" wrapText="1"/>
    </xf>
    <xf numFmtId="14" fontId="0" fillId="0" borderId="21" xfId="0" applyNumberFormat="1" applyBorder="1" applyAlignment="1">
      <alignment horizontal="left" vertical="center" wrapText="1"/>
    </xf>
    <xf numFmtId="14" fontId="0" fillId="0" borderId="21" xfId="0" applyNumberFormat="1" applyBorder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37" borderId="44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7" borderId="24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36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16" fillId="42" borderId="47" xfId="0" applyFont="1" applyFill="1" applyBorder="1" applyAlignment="1">
      <alignment horizontal="center" vertical="center"/>
    </xf>
    <xf numFmtId="0" fontId="16" fillId="42" borderId="53" xfId="0" applyFont="1" applyFill="1" applyBorder="1" applyAlignment="1">
      <alignment horizontal="center" vertical="center"/>
    </xf>
    <xf numFmtId="0" fontId="16" fillId="43" borderId="44" xfId="0" applyFont="1" applyFill="1" applyBorder="1" applyAlignment="1">
      <alignment horizontal="center"/>
    </xf>
    <xf numFmtId="0" fontId="16" fillId="43" borderId="37" xfId="0" applyFont="1" applyFill="1" applyBorder="1" applyAlignment="1">
      <alignment horizontal="center"/>
    </xf>
    <xf numFmtId="0" fontId="16" fillId="43" borderId="52" xfId="0" applyFont="1" applyFill="1" applyBorder="1" applyAlignment="1">
      <alignment horizontal="center"/>
    </xf>
    <xf numFmtId="2" fontId="16" fillId="44" borderId="54" xfId="0" applyNumberFormat="1" applyFont="1" applyFill="1" applyBorder="1" applyAlignment="1">
      <alignment horizontal="center"/>
    </xf>
    <xf numFmtId="2" fontId="16" fillId="44" borderId="55" xfId="0" applyNumberFormat="1" applyFont="1" applyFill="1" applyBorder="1" applyAlignment="1">
      <alignment horizontal="center"/>
    </xf>
    <xf numFmtId="2" fontId="16" fillId="44" borderId="43" xfId="0" applyNumberFormat="1" applyFont="1" applyFill="1" applyBorder="1" applyAlignment="1">
      <alignment horizontal="center"/>
    </xf>
    <xf numFmtId="0" fontId="0" fillId="37" borderId="19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6" fillId="0" borderId="4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16" fontId="0" fillId="0" borderId="64" xfId="0" quotePrefix="1" applyNumberFormat="1" applyBorder="1"/>
    <xf numFmtId="0" fontId="0" fillId="0" borderId="59" xfId="0" applyBorder="1"/>
    <xf numFmtId="169" fontId="0" fillId="0" borderId="0" xfId="0" applyNumberFormat="1"/>
    <xf numFmtId="2" fontId="0" fillId="0" borderId="49" xfId="0" applyNumberFormat="1" applyBorder="1"/>
    <xf numFmtId="2" fontId="0" fillId="0" borderId="10" xfId="0" applyNumberFormat="1" applyBorder="1"/>
    <xf numFmtId="165" fontId="0" fillId="0" borderId="0" xfId="0" applyNumberFormat="1"/>
    <xf numFmtId="165" fontId="0" fillId="0" borderId="34" xfId="0" applyNumberFormat="1" applyBorder="1"/>
    <xf numFmtId="0" fontId="0" fillId="0" borderId="5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4" xfId="0" applyBorder="1"/>
    <xf numFmtId="165" fontId="0" fillId="0" borderId="59" xfId="0" applyNumberFormat="1" applyBorder="1"/>
    <xf numFmtId="165" fontId="0" fillId="0" borderId="49" xfId="0" applyNumberFormat="1" applyBorder="1"/>
    <xf numFmtId="165" fontId="0" fillId="0" borderId="10" xfId="0" applyNumberFormat="1" applyBorder="1"/>
    <xf numFmtId="169" fontId="0" fillId="0" borderId="59" xfId="0" applyNumberFormat="1" applyBorder="1"/>
    <xf numFmtId="2" fontId="0" fillId="0" borderId="64" xfId="0" applyNumberFormat="1" applyBorder="1"/>
    <xf numFmtId="16" fontId="0" fillId="0" borderId="17" xfId="0" quotePrefix="1" applyNumberFormat="1" applyBorder="1"/>
    <xf numFmtId="0" fontId="0" fillId="0" borderId="51" xfId="0" applyBorder="1"/>
    <xf numFmtId="0" fontId="0" fillId="0" borderId="16" xfId="0" applyBorder="1"/>
    <xf numFmtId="0" fontId="0" fillId="0" borderId="46" xfId="0" applyBorder="1"/>
    <xf numFmtId="165" fontId="0" fillId="0" borderId="14" xfId="0" applyNumberFormat="1" applyBorder="1"/>
    <xf numFmtId="2" fontId="0" fillId="0" borderId="14" xfId="0" applyNumberFormat="1" applyBorder="1"/>
    <xf numFmtId="169" fontId="0" fillId="0" borderId="51" xfId="0" applyNumberFormat="1" applyBorder="1"/>
    <xf numFmtId="2" fontId="0" fillId="0" borderId="46" xfId="0" applyNumberFormat="1" applyBorder="1"/>
    <xf numFmtId="169" fontId="0" fillId="0" borderId="16" xfId="0" applyNumberFormat="1" applyBorder="1"/>
    <xf numFmtId="2" fontId="0" fillId="0" borderId="17" xfId="0" applyNumberFormat="1" applyBorder="1"/>
    <xf numFmtId="0" fontId="26" fillId="0" borderId="15" xfId="0" applyFont="1" applyBorder="1" applyAlignment="1">
      <alignment horizontal="left"/>
    </xf>
    <xf numFmtId="0" fontId="28" fillId="0" borderId="47" xfId="0" applyFont="1" applyBorder="1"/>
    <xf numFmtId="0" fontId="28" fillId="0" borderId="62" xfId="0" applyFont="1" applyBorder="1"/>
    <xf numFmtId="0" fontId="28" fillId="0" borderId="0" xfId="0" applyFont="1" applyBorder="1"/>
    <xf numFmtId="0" fontId="28" fillId="0" borderId="10" xfId="0" applyFont="1" applyBorder="1"/>
    <xf numFmtId="0" fontId="28" fillId="0" borderId="56" xfId="0" applyFont="1" applyBorder="1"/>
    <xf numFmtId="164" fontId="28" fillId="0" borderId="65" xfId="0" applyNumberFormat="1" applyFont="1" applyBorder="1"/>
    <xf numFmtId="0" fontId="28" fillId="0" borderId="67" xfId="0" applyFont="1" applyBorder="1"/>
    <xf numFmtId="0" fontId="29" fillId="0" borderId="6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47" xfId="0" applyFont="1" applyBorder="1"/>
    <xf numFmtId="0" fontId="28" fillId="0" borderId="62" xfId="0" applyFont="1" applyBorder="1"/>
    <xf numFmtId="0" fontId="28" fillId="0" borderId="0" xfId="0" applyFont="1" applyBorder="1"/>
    <xf numFmtId="0" fontId="28" fillId="0" borderId="10" xfId="0" applyFont="1" applyBorder="1"/>
    <xf numFmtId="0" fontId="28" fillId="0" borderId="56" xfId="0" applyFont="1" applyBorder="1"/>
    <xf numFmtId="164" fontId="28" fillId="0" borderId="65" xfId="0" applyNumberFormat="1" applyFont="1" applyBorder="1"/>
    <xf numFmtId="0" fontId="28" fillId="0" borderId="67" xfId="0" applyFont="1" applyBorder="1"/>
    <xf numFmtId="0" fontId="29" fillId="0" borderId="6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0" fillId="0" borderId="0" xfId="0"/>
    <xf numFmtId="0" fontId="28" fillId="0" borderId="47" xfId="0" applyFont="1" applyBorder="1"/>
    <xf numFmtId="0" fontId="28" fillId="0" borderId="62" xfId="0" applyFont="1" applyBorder="1"/>
    <xf numFmtId="0" fontId="28" fillId="0" borderId="0" xfId="0" applyFont="1" applyBorder="1"/>
    <xf numFmtId="0" fontId="28" fillId="0" borderId="10" xfId="0" applyFont="1" applyBorder="1"/>
    <xf numFmtId="0" fontId="28" fillId="0" borderId="56" xfId="0" applyFont="1" applyBorder="1"/>
    <xf numFmtId="164" fontId="28" fillId="0" borderId="65" xfId="0" applyNumberFormat="1" applyFont="1" applyBorder="1"/>
    <xf numFmtId="0" fontId="28" fillId="0" borderId="67" xfId="0" applyFont="1" applyBorder="1"/>
    <xf numFmtId="0" fontId="29" fillId="0" borderId="6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2" fontId="28" fillId="0" borderId="0" xfId="0" applyNumberFormat="1" applyFont="1" applyBorder="1"/>
    <xf numFmtId="165" fontId="0" fillId="36" borderId="21" xfId="0" applyNumberFormat="1" applyFill="1" applyBorder="1"/>
    <xf numFmtId="0" fontId="0" fillId="36" borderId="21" xfId="0" applyFill="1" applyBorder="1"/>
    <xf numFmtId="2" fontId="16" fillId="36" borderId="2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6" borderId="21" xfId="0" applyFill="1" applyBorder="1" applyAlignment="1">
      <alignment horizontal="center" wrapText="1"/>
    </xf>
    <xf numFmtId="0" fontId="0" fillId="36" borderId="21" xfId="0" applyFill="1" applyBorder="1" applyAlignment="1">
      <alignment wrapText="1"/>
    </xf>
    <xf numFmtId="0" fontId="0" fillId="36" borderId="21" xfId="0" applyFill="1" applyBorder="1" applyAlignment="1">
      <alignment horizontal="center"/>
    </xf>
    <xf numFmtId="2" fontId="0" fillId="36" borderId="21" xfId="0" applyNumberFormat="1" applyFill="1" applyBorder="1"/>
    <xf numFmtId="0" fontId="0" fillId="0" borderId="0" xfId="0" applyAlignment="1">
      <alignment horizontal="center" wrapText="1"/>
    </xf>
    <xf numFmtId="0" fontId="0" fillId="36" borderId="42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 wrapText="1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164" fontId="0" fillId="0" borderId="3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0" fillId="36" borderId="42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center"/>
    </xf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Nitrifikasjonstall</a:t>
            </a:r>
            <a:r>
              <a:rPr lang="en-GB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Ammonium (mg/L)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'[1]Overvåkning uten fisk'!$A$12:$A$19</c15:sqref>
                  </c15:fullRef>
                </c:ext>
              </c:extLst>
              <c:f>('[2]Overvåkning uten fisk'!$A$12,'[2]Overvåkning uten fisk'!$A$15,'[2]Overvåkning uten fisk'!$A$19)</c:f>
              <c:numCache>
                <c:formatCode>General</c:formatCode>
                <c:ptCount val="3"/>
                <c:pt idx="0">
                  <c:v>44270</c:v>
                </c:pt>
                <c:pt idx="1">
                  <c:v>44273</c:v>
                </c:pt>
                <c:pt idx="2">
                  <c:v>44277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'[1]Overvåkning uten fisk'!$H$12:$H$19</c15:sqref>
                  </c15:fullRef>
                </c:ext>
              </c:extLst>
              <c:f>('[2]Overvåkning uten fisk'!$H$12,'[2]Overvåkning uten fisk'!$H$15,'[2]Overvåkning uten fisk'!$H$19)</c:f>
              <c:numCache>
                <c:formatCode>General</c:formatCode>
                <c:ptCount val="3"/>
                <c:pt idx="0">
                  <c:v>0.11</c:v>
                </c:pt>
                <c:pt idx="1">
                  <c:v>0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5-4512-99BD-005BD20CB854}"/>
            </c:ext>
          </c:extLst>
        </c:ser>
        <c:ser>
          <c:idx val="1"/>
          <c:order val="1"/>
          <c:tx>
            <c:v>Nitritt (mg/L)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'[1]Overvåkning uten fisk'!$A$12:$A$19</c15:sqref>
                  </c15:fullRef>
                </c:ext>
              </c:extLst>
              <c:f>('[2]Overvåkning uten fisk'!$A$12,'[2]Overvåkning uten fisk'!$A$15,'[2]Overvåkning uten fisk'!$A$19)</c:f>
              <c:numCache>
                <c:formatCode>General</c:formatCode>
                <c:ptCount val="3"/>
                <c:pt idx="0">
                  <c:v>44270</c:v>
                </c:pt>
                <c:pt idx="1">
                  <c:v>44273</c:v>
                </c:pt>
                <c:pt idx="2">
                  <c:v>44277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'[1]Overvåkning uten fisk'!$I$12:$I$19</c15:sqref>
                  </c15:fullRef>
                </c:ext>
              </c:extLst>
              <c:f>('[2]Overvåkning uten fisk'!$I$12,'[2]Overvåkning uten fisk'!$I$15,'[2]Overvåkning uten fisk'!$I$19)</c:f>
              <c:numCache>
                <c:formatCode>General</c:formatCode>
                <c:ptCount val="3"/>
                <c:pt idx="0">
                  <c:v>0.16</c:v>
                </c:pt>
                <c:pt idx="1">
                  <c:v>0.44</c:v>
                </c:pt>
                <c:pt idx="2">
                  <c:v>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5-4512-99BD-005BD20CB854}"/>
            </c:ext>
          </c:extLst>
        </c:ser>
        <c:ser>
          <c:idx val="2"/>
          <c:order val="2"/>
          <c:tx>
            <c:v>Nitrat (mg/L)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'[1]Overvåkning uten fisk'!$A$12:$A$19</c15:sqref>
                  </c15:fullRef>
                </c:ext>
              </c:extLst>
              <c:f>('[2]Overvåkning uten fisk'!$A$12,'[2]Overvåkning uten fisk'!$A$15,'[2]Overvåkning uten fisk'!$A$19)</c:f>
              <c:numCache>
                <c:formatCode>General</c:formatCode>
                <c:ptCount val="3"/>
                <c:pt idx="0">
                  <c:v>44270</c:v>
                </c:pt>
                <c:pt idx="1">
                  <c:v>44273</c:v>
                </c:pt>
                <c:pt idx="2">
                  <c:v>44277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'[1]Overvåkning uten fisk'!$J$12:$J$19</c15:sqref>
                  </c15:fullRef>
                </c:ext>
              </c:extLst>
              <c:f>('[2]Overvåkning uten fisk'!$J$12,'[2]Overvåkning uten fisk'!$J$15,'[2]Overvåkning uten fisk'!$J$19)</c:f>
              <c:numCache>
                <c:formatCode>General</c:formatCode>
                <c:ptCount val="3"/>
                <c:pt idx="0">
                  <c:v>0.8</c:v>
                </c:pt>
                <c:pt idx="1">
                  <c:v>0.9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5-4512-99BD-005BD20CB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045520"/>
        <c:axId val="491045912"/>
      </c:barChart>
      <c:catAx>
        <c:axId val="49104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45912"/>
        <c:crossesAt val="0"/>
        <c:auto val="0"/>
        <c:lblAlgn val="ctr"/>
        <c:lblOffset val="100"/>
        <c:noMultiLvlLbl val="0"/>
      </c:catAx>
      <c:valAx>
        <c:axId val="4910459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45520"/>
        <c:crossesAt val="44270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Gjennomsnitt av vekten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'[1]Vekst og lengde '!$A$30:$B$30</c:f>
              <c:strCache>
                <c:ptCount val="2"/>
                <c:pt idx="0">
                  <c:v>Prøve 1</c:v>
                </c:pt>
                <c:pt idx="1">
                  <c:v>Prøve 2</c:v>
                </c:pt>
              </c:strCache>
            </c:strRef>
          </c:cat>
          <c:val>
            <c:numRef>
              <c:f>'[1]Vekst og lengde '!$A$31:$B$31</c:f>
              <c:numCache>
                <c:formatCode>General</c:formatCode>
                <c:ptCount val="2"/>
                <c:pt idx="0">
                  <c:v>236.66666666666666</c:v>
                </c:pt>
                <c:pt idx="1">
                  <c:v>437.83333333333331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5-49B5-8635-13243DB05C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9477104"/>
        <c:axId val="719477760"/>
      </c:barChart>
      <c:catAx>
        <c:axId val="7194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477760"/>
        <c:crosses val="autoZero"/>
        <c:auto val="1"/>
        <c:lblAlgn val="ctr"/>
        <c:lblOffset val="100"/>
        <c:noMultiLvlLbl val="0"/>
      </c:catAx>
      <c:valAx>
        <c:axId val="7194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Vekt</a:t>
                </a:r>
                <a:r>
                  <a:rPr lang="en-GB" baseline="0"/>
                  <a:t> (gram)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1134307585247043E-2"/>
              <c:y val="0.40313323998472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47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SGR</a:t>
            </a:r>
            <a:r>
              <a:rPr lang="en-GB" baseline="0"/>
              <a:t> gjennomsnitt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F4-4F29-BD52-E780D6D5CC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Vekst!$A$41:$B$41</c:f>
              <c:strCache>
                <c:ptCount val="2"/>
                <c:pt idx="0">
                  <c:v>SGR Litus</c:v>
                </c:pt>
                <c:pt idx="1">
                  <c:v>SGR ref</c:v>
                </c:pt>
              </c:strCache>
            </c:strRef>
          </c:cat>
          <c:val>
            <c:numRef>
              <c:f>Vekst!$A$42:$B$42</c:f>
              <c:numCache>
                <c:formatCode>0.000</c:formatCode>
                <c:ptCount val="2"/>
                <c:pt idx="0">
                  <c:v>1.864198906334041</c:v>
                </c:pt>
                <c:pt idx="1">
                  <c:v>1.6635807184506504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4-4F29-BD52-E780D6D5CC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4319128"/>
        <c:axId val="654320112"/>
      </c:barChart>
      <c:catAx>
        <c:axId val="65431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20112"/>
        <c:crosses val="autoZero"/>
        <c:auto val="1"/>
        <c:lblAlgn val="ctr"/>
        <c:lblOffset val="100"/>
        <c:noMultiLvlLbl val="0"/>
      </c:catAx>
      <c:valAx>
        <c:axId val="654320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Tilvekst</a:t>
                </a:r>
                <a:r>
                  <a:rPr lang="en-GB" baseline="0"/>
                  <a:t> i 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40140132021603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1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/>
              <a:t>Trykktap (kPa)</a:t>
            </a:r>
            <a:r>
              <a:rPr lang="nb-NO" sz="1200" baseline="0"/>
              <a:t> i selvvaskende sandfilter</a:t>
            </a:r>
            <a:endParaRPr lang="nb-NO" sz="1200"/>
          </a:p>
        </c:rich>
      </c:tx>
      <c:layout>
        <c:manualLayout>
          <c:xMode val="edge"/>
          <c:yMode val="edge"/>
          <c:x val="0.23532673625874415"/>
          <c:y val="4.5819982179422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'[5]Trykktap ∆p og porøsitet'!$C$6:$E$6</c:f>
              <c:strCache>
                <c:ptCount val="3"/>
                <c:pt idx="0">
                  <c:v>Gunstig</c:v>
                </c:pt>
                <c:pt idx="1">
                  <c:v>Maks tillatt</c:v>
                </c:pt>
                <c:pt idx="2">
                  <c:v>Målt</c:v>
                </c:pt>
              </c:strCache>
            </c:strRef>
          </c:cat>
          <c:val>
            <c:numRef>
              <c:f>'[5]Trykktap ∆p og porøsitet'!$C$8:$E$8</c:f>
              <c:numCache>
                <c:formatCode>0.00</c:formatCode>
                <c:ptCount val="3"/>
                <c:pt idx="0">
                  <c:v>9.9175176000000018</c:v>
                </c:pt>
                <c:pt idx="1">
                  <c:v>14.8762764</c:v>
                </c:pt>
                <c:pt idx="2">
                  <c:v>4.7604084479999997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2-44EC-B9E1-84F0B76E4F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47629312"/>
        <c:axId val="1747629728"/>
      </c:barChart>
      <c:catAx>
        <c:axId val="17476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629728"/>
        <c:crosses val="autoZero"/>
        <c:auto val="0"/>
        <c:lblAlgn val="ctr"/>
        <c:lblOffset val="100"/>
        <c:noMultiLvlLbl val="0"/>
      </c:catAx>
      <c:valAx>
        <c:axId val="174762972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7629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Strømningshastighet (m/s)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[5]Strømmningshastighet!$A$17</c:f>
              <c:strCache>
                <c:ptCount val="1"/>
                <c:pt idx="0">
                  <c:v> Teoretisk minimum fluidiseringshastighet (m/s)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[5]Strømmningshastighet!$B$4</c:f>
              <c:strCache>
                <c:ptCount val="1"/>
                <c:pt idx="0">
                  <c:v>Strømningshastighet</c:v>
                </c:pt>
              </c:strCache>
            </c:strRef>
          </c:cat>
          <c:val>
            <c:numRef>
              <c:f>[5]Strømmningshastighet!$B$17</c:f>
              <c:numCache>
                <c:formatCode>0.00</c:formatCode>
                <c:ptCount val="1"/>
                <c:pt idx="0">
                  <c:v>10.013186222741584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3E0-9D7C-80191A36D84F}"/>
            </c:ext>
          </c:extLst>
        </c:ser>
        <c:ser>
          <c:idx val="1"/>
          <c:order val="1"/>
          <c:tx>
            <c:strRef>
              <c:f>[5]Strømmningshastighet!$A$23</c:f>
              <c:strCache>
                <c:ptCount val="1"/>
                <c:pt idx="0">
                  <c:v>Gjennomsnittelig minimum strømningshastighet (m/s)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[5]Strømmningshastighet!$B$4</c:f>
              <c:strCache>
                <c:ptCount val="1"/>
                <c:pt idx="0">
                  <c:v>Strømningshastighet</c:v>
                </c:pt>
              </c:strCache>
            </c:strRef>
          </c:cat>
          <c:val>
            <c:numRef>
              <c:f>[5]Strømmningshastighet!$B$23</c:f>
              <c:numCache>
                <c:formatCode>0.00</c:formatCode>
                <c:ptCount val="1"/>
                <c:pt idx="0">
                  <c:v>17.196687898089174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7-43E0-9D7C-80191A36D84F}"/>
            </c:ext>
          </c:extLst>
        </c:ser>
        <c:ser>
          <c:idx val="2"/>
          <c:order val="2"/>
          <c:tx>
            <c:strRef>
              <c:f>[5]Strømmningshastighet!$A$29</c:f>
              <c:strCache>
                <c:ptCount val="1"/>
                <c:pt idx="0">
                  <c:v>Selvvaskende sandfilter målt strømningshastighet (m/s)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[5]Strømmningshastighet!$B$4</c:f>
              <c:strCache>
                <c:ptCount val="1"/>
                <c:pt idx="0">
                  <c:v>Strømningshastighet</c:v>
                </c:pt>
              </c:strCache>
            </c:strRef>
          </c:cat>
          <c:val>
            <c:numRef>
              <c:f>[5]Strømmningshastighet!$C$29</c:f>
              <c:numCache>
                <c:formatCode>0.00</c:formatCode>
                <c:ptCount val="1"/>
                <c:pt idx="0">
                  <c:v>19.108280254777068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D7-43E0-9D7C-80191A36D8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0"/>
        <c:overlap val="-60"/>
        <c:axId val="1389373792"/>
        <c:axId val="1389374624"/>
      </c:barChart>
      <c:catAx>
        <c:axId val="13893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74624"/>
        <c:crosses val="autoZero"/>
        <c:auto val="1"/>
        <c:lblAlgn val="ctr"/>
        <c:lblOffset val="100"/>
        <c:noMultiLvlLbl val="0"/>
      </c:catAx>
      <c:valAx>
        <c:axId val="138937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7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Nitrat (NO3)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[4]Nitrifikasjonstall!$D$4</c:f>
              <c:strCache>
                <c:ptCount val="1"/>
                <c:pt idx="0">
                  <c:v>Nitrat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[4]Nitrifikasjonstall!$A$5:$A$42</c15:sqref>
                  </c15:fullRef>
                </c:ext>
              </c:extLst>
              <c:f>([4]Nitrifikasjonstall!$A$7,[4]Nitrifikasjonstall!$A$11:$A$12,[4]Nitrifikasjonstall!$A$14,[4]Nitrifikasjonstall!$A$18,[4]Nitrifikasjonstall!$A$21,[4]Nitrifikasjonstall!$A$25,[4]Nitrifikasjonstall!$A$28,[4]Nitrifikasjonstall!$A$32,[4]Nitrifikasjonstall!$A$35,[4]Nitrifikasjonstall!$A$39,[4]Nitrifikasjonstall!$A$42)</c:f>
              <c:strCache>
                <c:ptCount val="12"/>
                <c:pt idx="0">
                  <c:v>25.03.2021</c:v>
                </c:pt>
                <c:pt idx="1">
                  <c:v>29.03.2021</c:v>
                </c:pt>
                <c:pt idx="2">
                  <c:v>30.03.2021</c:v>
                </c:pt>
                <c:pt idx="3">
                  <c:v>01.04.2021</c:v>
                </c:pt>
                <c:pt idx="4">
                  <c:v>05.04.2021</c:v>
                </c:pt>
                <c:pt idx="5">
                  <c:v>08.04.2021</c:v>
                </c:pt>
                <c:pt idx="6">
                  <c:v>12.04.2021</c:v>
                </c:pt>
                <c:pt idx="7">
                  <c:v>15.04.2021</c:v>
                </c:pt>
                <c:pt idx="8">
                  <c:v>19.04.2021</c:v>
                </c:pt>
                <c:pt idx="9">
                  <c:v>22.04.2021</c:v>
                </c:pt>
                <c:pt idx="10">
                  <c:v>26.04.2021</c:v>
                </c:pt>
                <c:pt idx="11">
                  <c:v>29.04.2021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[4]Nitrifikasjonstall!$D$5:$D$42</c15:sqref>
                  </c15:fullRef>
                </c:ext>
              </c:extLst>
              <c:f>([4]Nitrifikasjonstall!$D$7,[4]Nitrifikasjonstall!$D$11:$D$12,[4]Nitrifikasjonstall!$D$14,[4]Nitrifikasjonstall!$D$18,[4]Nitrifikasjonstall!$D$21,[4]Nitrifikasjonstall!$D$25,[4]Nitrifikasjonstall!$D$28,[4]Nitrifikasjonstall!$D$32,[4]Nitrifikasjonstall!$D$35,[4]Nitrifikasjonstall!$D$39,[4]Nitrifikasjonstall!$D$42)</c:f>
              <c:numCache>
                <c:formatCode>General</c:formatCode>
                <c:ptCount val="12"/>
                <c:pt idx="0">
                  <c:v>3.9</c:v>
                </c:pt>
                <c:pt idx="1">
                  <c:v>8.4</c:v>
                </c:pt>
                <c:pt idx="2">
                  <c:v>3.7</c:v>
                </c:pt>
                <c:pt idx="3">
                  <c:v>1.8</c:v>
                </c:pt>
                <c:pt idx="4">
                  <c:v>1.5</c:v>
                </c:pt>
                <c:pt idx="5">
                  <c:v>6.2</c:v>
                </c:pt>
                <c:pt idx="6">
                  <c:v>9.4</c:v>
                </c:pt>
                <c:pt idx="7">
                  <c:v>22.6</c:v>
                </c:pt>
                <c:pt idx="8">
                  <c:v>28.7</c:v>
                </c:pt>
                <c:pt idx="9">
                  <c:v>26</c:v>
                </c:pt>
                <c:pt idx="10">
                  <c:v>21.9</c:v>
                </c:pt>
                <c:pt idx="11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D-4AA7-9279-F6AEBFE8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659448"/>
        <c:axId val="200719200"/>
      </c:barChart>
      <c:catAx>
        <c:axId val="50965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19200"/>
        <c:crosses val="autoZero"/>
        <c:auto val="1"/>
        <c:lblAlgn val="ctr"/>
        <c:lblOffset val="100"/>
        <c:noMultiLvlLbl val="0"/>
      </c:catAx>
      <c:valAx>
        <c:axId val="2007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mg</a:t>
                </a:r>
                <a:r>
                  <a:rPr lang="nb-NO" baseline="0"/>
                  <a:t> per liter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65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Nitritt (NO2)</a:t>
            </a:r>
          </a:p>
        </c:rich>
      </c:tx>
      <c:layout>
        <c:manualLayout>
          <c:xMode val="edge"/>
          <c:yMode val="edge"/>
          <c:x val="0.45804370213568574"/>
          <c:y val="2.1798358886807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944064250642871E-2"/>
          <c:y val="0.13111712870414766"/>
          <c:w val="0.87803924218117757"/>
          <c:h val="0.68727965635259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[4]Nitrifikasjonstall!$C$4</c:f>
              <c:strCache>
                <c:ptCount val="1"/>
                <c:pt idx="0">
                  <c:v>Nitritt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[4]Nitrifikasjonstall!$A$5:$A$42</c15:sqref>
                  </c15:fullRef>
                </c:ext>
              </c:extLst>
              <c:f>([4]Nitrifikasjonstall!$A$7:$A$8,[4]Nitrifikasjonstall!$A$11:$A$12,[4]Nitrifikasjonstall!$A$14,[4]Nitrifikasjonstall!$A$18,[4]Nitrifikasjonstall!$A$21,[4]Nitrifikasjonstall!$A$25,[4]Nitrifikasjonstall!$A$28,[4]Nitrifikasjonstall!$A$32,[4]Nitrifikasjonstall!$A$35,[4]Nitrifikasjonstall!$A$39,[4]Nitrifikasjonstall!$A$42)</c:f>
              <c:strCache>
                <c:ptCount val="13"/>
                <c:pt idx="0">
                  <c:v>25.03.2021</c:v>
                </c:pt>
                <c:pt idx="1">
                  <c:v>26.03.2021</c:v>
                </c:pt>
                <c:pt idx="2">
                  <c:v>29.03.2021</c:v>
                </c:pt>
                <c:pt idx="3">
                  <c:v>30.03.2021</c:v>
                </c:pt>
                <c:pt idx="4">
                  <c:v>01.04.2021</c:v>
                </c:pt>
                <c:pt idx="5">
                  <c:v>05.04.2021</c:v>
                </c:pt>
                <c:pt idx="6">
                  <c:v>08.04.2021</c:v>
                </c:pt>
                <c:pt idx="7">
                  <c:v>12.04.2021</c:v>
                </c:pt>
                <c:pt idx="8">
                  <c:v>15.04.2021</c:v>
                </c:pt>
                <c:pt idx="9">
                  <c:v>19.04.2021</c:v>
                </c:pt>
                <c:pt idx="10">
                  <c:v>22.04.2021</c:v>
                </c:pt>
                <c:pt idx="11">
                  <c:v>26.04.2021</c:v>
                </c:pt>
                <c:pt idx="12">
                  <c:v>29.04.2021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[4]Nitrifikasjonstall!$C$5:$C$42</c15:sqref>
                  </c15:fullRef>
                </c:ext>
              </c:extLst>
              <c:f>([4]Nitrifikasjonstall!$C$7:$C$8,[4]Nitrifikasjonstall!$C$11:$C$12,[4]Nitrifikasjonstall!$C$14,[4]Nitrifikasjonstall!$C$18,[4]Nitrifikasjonstall!$C$21,[4]Nitrifikasjonstall!$C$25,[4]Nitrifikasjonstall!$C$28,[4]Nitrifikasjonstall!$C$32,[4]Nitrifikasjonstall!$C$35,[4]Nitrifikasjonstall!$C$39,[4]Nitrifikasjonstall!$C$42)</c:f>
              <c:numCache>
                <c:formatCode>General</c:formatCode>
                <c:ptCount val="13"/>
                <c:pt idx="0">
                  <c:v>0.67</c:v>
                </c:pt>
                <c:pt idx="1">
                  <c:v>0.94</c:v>
                </c:pt>
                <c:pt idx="2">
                  <c:v>1.24</c:v>
                </c:pt>
                <c:pt idx="3">
                  <c:v>0.47</c:v>
                </c:pt>
                <c:pt idx="4">
                  <c:v>0.28000000000000003</c:v>
                </c:pt>
                <c:pt idx="5">
                  <c:v>0.19</c:v>
                </c:pt>
                <c:pt idx="6">
                  <c:v>0.37</c:v>
                </c:pt>
                <c:pt idx="7">
                  <c:v>0.42</c:v>
                </c:pt>
                <c:pt idx="8">
                  <c:v>1.93</c:v>
                </c:pt>
                <c:pt idx="9">
                  <c:v>1.72</c:v>
                </c:pt>
                <c:pt idx="10">
                  <c:v>0.48</c:v>
                </c:pt>
                <c:pt idx="11">
                  <c:v>0.22</c:v>
                </c:pt>
                <c:pt idx="1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2-486F-B4B7-7EAF14EC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718808"/>
        <c:axId val="685557944"/>
      </c:barChart>
      <c:catAx>
        <c:axId val="20071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557944"/>
        <c:crosses val="autoZero"/>
        <c:auto val="1"/>
        <c:lblAlgn val="ctr"/>
        <c:lblOffset val="100"/>
        <c:noMultiLvlLbl val="0"/>
      </c:catAx>
      <c:valAx>
        <c:axId val="68555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mg</a:t>
                </a:r>
                <a:r>
                  <a:rPr lang="nb-NO" baseline="0"/>
                  <a:t> per liter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1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TSS - målinger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[3]TSS!$O$17</c:f>
              <c:strCache>
                <c:ptCount val="1"/>
                <c:pt idx="0">
                  <c:v>Avløpskasse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[3]TSS!$N$18:$N$24</c:f>
              <c:strCache>
                <c:ptCount val="7"/>
                <c:pt idx="0">
                  <c:v>29.03.2021</c:v>
                </c:pt>
                <c:pt idx="1">
                  <c:v>01.04.2021</c:v>
                </c:pt>
                <c:pt idx="2">
                  <c:v>06.04.2021</c:v>
                </c:pt>
                <c:pt idx="3">
                  <c:v>08.04.2021</c:v>
                </c:pt>
                <c:pt idx="4">
                  <c:v>13.04.2021</c:v>
                </c:pt>
                <c:pt idx="5">
                  <c:v>20.04.2021</c:v>
                </c:pt>
                <c:pt idx="6">
                  <c:v>27.04.2021</c:v>
                </c:pt>
              </c:strCache>
            </c:strRef>
          </c:cat>
          <c:val>
            <c:numRef>
              <c:f>[3]TSS!$O$18:$O$24</c:f>
              <c:numCache>
                <c:formatCode>General</c:formatCode>
                <c:ptCount val="7"/>
                <c:pt idx="0">
                  <c:v>0.48359999999999997</c:v>
                </c:pt>
                <c:pt idx="1">
                  <c:v>0.34360000000000002</c:v>
                </c:pt>
                <c:pt idx="2">
                  <c:v>0.42</c:v>
                </c:pt>
                <c:pt idx="3">
                  <c:v>0.66180000000000005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8-4A24-A7A6-511DE3414373}"/>
            </c:ext>
          </c:extLst>
        </c:ser>
        <c:ser>
          <c:idx val="1"/>
          <c:order val="1"/>
          <c:tx>
            <c:strRef>
              <c:f>[3]TSS!$P$17</c:f>
              <c:strCache>
                <c:ptCount val="1"/>
                <c:pt idx="0">
                  <c:v>Pumpesumpen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[3]TSS!$N$18:$N$24</c:f>
              <c:strCache>
                <c:ptCount val="7"/>
                <c:pt idx="0">
                  <c:v>29.03.2021</c:v>
                </c:pt>
                <c:pt idx="1">
                  <c:v>01.04.2021</c:v>
                </c:pt>
                <c:pt idx="2">
                  <c:v>06.04.2021</c:v>
                </c:pt>
                <c:pt idx="3">
                  <c:v>08.04.2021</c:v>
                </c:pt>
                <c:pt idx="4">
                  <c:v>13.04.2021</c:v>
                </c:pt>
                <c:pt idx="5">
                  <c:v>20.04.2021</c:v>
                </c:pt>
                <c:pt idx="6">
                  <c:v>27.04.2021</c:v>
                </c:pt>
              </c:strCache>
            </c:strRef>
          </c:cat>
          <c:val>
            <c:numRef>
              <c:f>[3]TSS!$P$18:$P$24</c:f>
              <c:numCache>
                <c:formatCode>General</c:formatCode>
                <c:ptCount val="7"/>
                <c:pt idx="4">
                  <c:v>0.36399999999999999</c:v>
                </c:pt>
                <c:pt idx="5">
                  <c:v>0.42759999999999998</c:v>
                </c:pt>
                <c:pt idx="6">
                  <c:v>0.31559999999999999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8-4A24-A7A6-511DE3414373}"/>
            </c:ext>
          </c:extLst>
        </c:ser>
        <c:ser>
          <c:idx val="2"/>
          <c:order val="2"/>
          <c:tx>
            <c:strRef>
              <c:f>[3]TSS!$Q$17</c:f>
              <c:strCache>
                <c:ptCount val="1"/>
                <c:pt idx="0">
                  <c:v>Trommelfilter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[3]TSS!$N$18:$N$24</c:f>
              <c:strCache>
                <c:ptCount val="7"/>
                <c:pt idx="0">
                  <c:v>29.03.2021</c:v>
                </c:pt>
                <c:pt idx="1">
                  <c:v>01.04.2021</c:v>
                </c:pt>
                <c:pt idx="2">
                  <c:v>06.04.2021</c:v>
                </c:pt>
                <c:pt idx="3">
                  <c:v>08.04.2021</c:v>
                </c:pt>
                <c:pt idx="4">
                  <c:v>13.04.2021</c:v>
                </c:pt>
                <c:pt idx="5">
                  <c:v>20.04.2021</c:v>
                </c:pt>
                <c:pt idx="6">
                  <c:v>27.04.2021</c:v>
                </c:pt>
              </c:strCache>
            </c:strRef>
          </c:cat>
          <c:val>
            <c:numRef>
              <c:f>[3]TSS!$Q$18:$Q$24</c:f>
              <c:numCache>
                <c:formatCode>General</c:formatCode>
                <c:ptCount val="7"/>
                <c:pt idx="4">
                  <c:v>0.2036</c:v>
                </c:pt>
                <c:pt idx="5">
                  <c:v>0.29020000000000001</c:v>
                </c:pt>
                <c:pt idx="6">
                  <c:v>0.53710000000000002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8-4A24-A7A6-511DE3414373}"/>
            </c:ext>
          </c:extLst>
        </c:ser>
        <c:ser>
          <c:idx val="3"/>
          <c:order val="3"/>
          <c:tx>
            <c:strRef>
              <c:f>[3]TSS!$R$17</c:f>
              <c:strCache>
                <c:ptCount val="1"/>
                <c:pt idx="0">
                  <c:v>Sandfilter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[3]TSS!$N$18:$N$24</c:f>
              <c:strCache>
                <c:ptCount val="7"/>
                <c:pt idx="0">
                  <c:v>29.03.2021</c:v>
                </c:pt>
                <c:pt idx="1">
                  <c:v>01.04.2021</c:v>
                </c:pt>
                <c:pt idx="2">
                  <c:v>06.04.2021</c:v>
                </c:pt>
                <c:pt idx="3">
                  <c:v>08.04.2021</c:v>
                </c:pt>
                <c:pt idx="4">
                  <c:v>13.04.2021</c:v>
                </c:pt>
                <c:pt idx="5">
                  <c:v>20.04.2021</c:v>
                </c:pt>
                <c:pt idx="6">
                  <c:v>27.04.2021</c:v>
                </c:pt>
              </c:strCache>
            </c:strRef>
          </c:cat>
          <c:val>
            <c:numRef>
              <c:f>[3]TSS!$R$18:$R$24</c:f>
              <c:numCache>
                <c:formatCode>General</c:formatCode>
                <c:ptCount val="7"/>
                <c:pt idx="4">
                  <c:v>0.38179999999999997</c:v>
                </c:pt>
                <c:pt idx="5">
                  <c:v>0.41489999999999999</c:v>
                </c:pt>
                <c:pt idx="6">
                  <c:v>0.51160000000000005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18-4A24-A7A6-511DE3414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531784"/>
        <c:axId val="337532176"/>
      </c:barChart>
      <c:catAx>
        <c:axId val="33753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532176"/>
        <c:crosses val="autoZero"/>
        <c:auto val="1"/>
        <c:lblAlgn val="ctr"/>
        <c:lblOffset val="100"/>
        <c:noMultiLvlLbl val="0"/>
      </c:catAx>
      <c:valAx>
        <c:axId val="33753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  <a:r>
                  <a:rPr lang="nb-NO" baseline="0"/>
                  <a:t> av utforing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53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Klor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F3C-4870-BCBE-95B010AE4CB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3C-4870-BCBE-95B010AE4C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3C-4870-BCBE-95B010AE4C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[4]Blodprøver!$F$28:$F$30</c:f>
              <c:numCache>
                <c:formatCode>General</c:formatCode>
                <c:ptCount val="3"/>
                <c:pt idx="0">
                  <c:v>136.86000000000001</c:v>
                </c:pt>
                <c:pt idx="1">
                  <c:v>127.66</c:v>
                </c:pt>
                <c:pt idx="2">
                  <c:v>127.16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[4]Blodprøver!$E$28:$E$30</c15:sqref>
                        </c15:formulaRef>
                      </c:ext>
                    </c:extLst>
                    <c:strCache>
                      <c:ptCount val="3"/>
                      <c:pt idx="0">
                        <c:v>Litus Klor (1)</c:v>
                      </c:pt>
                      <c:pt idx="1">
                        <c:v>Litus Klor (2)</c:v>
                      </c:pt>
                      <c:pt idx="2">
                        <c:v>Klor (ref)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F3C-4870-BCBE-95B010AE4C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702848"/>
        <c:axId val="342703240"/>
      </c:barChart>
      <c:catAx>
        <c:axId val="3427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03240"/>
        <c:crosses val="autoZero"/>
        <c:auto val="1"/>
        <c:lblAlgn val="ctr"/>
        <c:lblOffset val="100"/>
        <c:noMultiLvlLbl val="0"/>
      </c:catAx>
      <c:valAx>
        <c:axId val="342703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mmol/liter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Natrium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1D-4C39-9995-68F1E2AF3C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[4]Blodprøver!$I$28:$I$30</c:f>
              <c:numCache>
                <c:formatCode>General</c:formatCode>
                <c:ptCount val="3"/>
                <c:pt idx="0">
                  <c:v>166.06</c:v>
                </c:pt>
                <c:pt idx="1">
                  <c:v>159.19</c:v>
                </c:pt>
                <c:pt idx="2">
                  <c:v>158.83000000000001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[4]Blodprøver!$H$28:$H$30</c15:sqref>
                        </c15:formulaRef>
                      </c:ext>
                    </c:extLst>
                    <c:strCache>
                      <c:ptCount val="3"/>
                      <c:pt idx="0">
                        <c:v>Litus Natrium (1)</c:v>
                      </c:pt>
                      <c:pt idx="1">
                        <c:v>Litus Natrium (2)</c:v>
                      </c:pt>
                      <c:pt idx="2">
                        <c:v>Natrium (Ref)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3D1D-4C39-9995-68F1E2AF3C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704024"/>
        <c:axId val="550434072"/>
      </c:barChart>
      <c:catAx>
        <c:axId val="34270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434072"/>
        <c:crosses val="autoZero"/>
        <c:auto val="1"/>
        <c:lblAlgn val="ctr"/>
        <c:lblOffset val="100"/>
        <c:noMultiLvlLbl val="0"/>
      </c:catAx>
      <c:valAx>
        <c:axId val="550434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mmol/liter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0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Gjelleprøver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Gjelleprøver!$A$20:$C$20</c:f>
              <c:strCache>
                <c:ptCount val="3"/>
                <c:pt idx="0">
                  <c:v>Test 1 NKA (mg/L)</c:v>
                </c:pt>
                <c:pt idx="1">
                  <c:v>Test 2 NKA (mg/L)</c:v>
                </c:pt>
                <c:pt idx="2">
                  <c:v>Ref. NKA (mg/L)</c:v>
                </c:pt>
              </c:strCache>
            </c:strRef>
          </c:cat>
          <c:val>
            <c:numRef>
              <c:f>Gjelleprøver!$A$21:$C$21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4E9-4482-9723-88540B055C92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E9-4482-9723-88540B055C9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4E9-4482-9723-88540B055C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4E9-4482-9723-88540B055C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Gjelleprøver!$A$20:$C$20</c:f>
              <c:strCache>
                <c:ptCount val="3"/>
                <c:pt idx="0">
                  <c:v>Test 1 NKA (mg/L)</c:v>
                </c:pt>
                <c:pt idx="1">
                  <c:v>Test 2 NKA (mg/L)</c:v>
                </c:pt>
                <c:pt idx="2">
                  <c:v>Ref. NKA (mg/L)</c:v>
                </c:pt>
              </c:strCache>
            </c:strRef>
          </c:cat>
          <c:val>
            <c:numRef>
              <c:f>Gjelleprøver!$A$22:$C$22</c:f>
              <c:numCache>
                <c:formatCode>General</c:formatCode>
                <c:ptCount val="3"/>
                <c:pt idx="0">
                  <c:v>4.4320000000000004</c:v>
                </c:pt>
                <c:pt idx="1">
                  <c:v>3.4009999999999998</c:v>
                </c:pt>
                <c:pt idx="2" formatCode="0.000">
                  <c:v>3.2559999999999998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E9-4482-9723-88540B055C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1722000"/>
        <c:axId val="141722392"/>
      </c:barChart>
      <c:catAx>
        <c:axId val="1417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22392"/>
        <c:crosses val="autoZero"/>
        <c:auto val="1"/>
        <c:lblAlgn val="ctr"/>
        <c:lblOffset val="100"/>
        <c:noMultiLvlLbl val="0"/>
      </c:catAx>
      <c:valAx>
        <c:axId val="14172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mg</a:t>
                </a:r>
                <a:r>
                  <a:rPr lang="nb-NO" baseline="0"/>
                  <a:t> protein/g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2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Gjennomsnitt av K-faktor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'[1]Vekst og lengde '!$A$36:$B$36</c:f>
              <c:strCache>
                <c:ptCount val="2"/>
                <c:pt idx="0">
                  <c:v>Prøve 1</c:v>
                </c:pt>
                <c:pt idx="1">
                  <c:v>Prøve 2</c:v>
                </c:pt>
              </c:strCache>
            </c:strRef>
          </c:cat>
          <c:val>
            <c:numRef>
              <c:f>'[1]Vekst og lengde '!$A$37:$B$37</c:f>
              <c:numCache>
                <c:formatCode>General</c:formatCode>
                <c:ptCount val="2"/>
                <c:pt idx="0">
                  <c:v>1.1079413055621561</c:v>
                </c:pt>
                <c:pt idx="1">
                  <c:v>1.1997911059867545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D-4A7A-9B6D-5DBBCDB62A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3997848"/>
        <c:axId val="733996536"/>
      </c:barChart>
      <c:catAx>
        <c:axId val="73399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996536"/>
        <c:crosses val="autoZero"/>
        <c:auto val="1"/>
        <c:lblAlgn val="ctr"/>
        <c:lblOffset val="100"/>
        <c:noMultiLvlLbl val="0"/>
      </c:catAx>
      <c:valAx>
        <c:axId val="733996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 - fakotr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99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Gjennomsnitt</a:t>
            </a:r>
            <a:r>
              <a:rPr lang="en-GB" baseline="0"/>
              <a:t> av lengden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'[1]Vekst og lengde '!$A$24:$B$24</c:f>
              <c:strCache>
                <c:ptCount val="2"/>
                <c:pt idx="0">
                  <c:v>Prøve 1</c:v>
                </c:pt>
                <c:pt idx="1">
                  <c:v>Prøve 2</c:v>
                </c:pt>
              </c:strCache>
            </c:strRef>
          </c:cat>
          <c:val>
            <c:numRef>
              <c:f>'[1]Vekst og lengde '!$A$25:$B$25</c:f>
              <c:numCache>
                <c:formatCode>General</c:formatCode>
                <c:ptCount val="2"/>
                <c:pt idx="0">
                  <c:v>27.608333333333338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9-49D8-8893-7E6808D4A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4420120"/>
        <c:axId val="1544426024"/>
      </c:barChart>
      <c:catAx>
        <c:axId val="154442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426024"/>
        <c:crosses val="autoZero"/>
        <c:auto val="1"/>
        <c:lblAlgn val="ctr"/>
        <c:lblOffset val="100"/>
        <c:noMultiLvlLbl val="0"/>
      </c:catAx>
      <c:valAx>
        <c:axId val="1544426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Lengde (cm)</a:t>
                </a:r>
              </a:p>
            </c:rich>
          </c:tx>
          <c:layout>
            <c:manualLayout>
              <c:xMode val="edge"/>
              <c:yMode val="edge"/>
              <c:x val="1.6689847009735744E-2"/>
              <c:y val="0.3414854913969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42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3.png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358321</xdr:colOff>
      <xdr:row>4</xdr:row>
      <xdr:rowOff>53474</xdr:rowOff>
    </xdr:from>
    <xdr:to>
      <xdr:col>18</xdr:col>
      <xdr:colOff>517071</xdr:colOff>
      <xdr:row>24</xdr:row>
      <xdr:rowOff>13369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B84733F-C832-429C-9312-0F63E2FDF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15</xdr:col>
      <xdr:colOff>711200</xdr:colOff>
      <xdr:row>22</xdr:row>
      <xdr:rowOff>44450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16DDD191-AB76-4E90-B356-BF469F82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58800"/>
          <a:ext cx="6051550" cy="35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702469</xdr:colOff>
      <xdr:row>23</xdr:row>
      <xdr:rowOff>119063</xdr:rowOff>
    </xdr:from>
    <xdr:to>
      <xdr:col>15</xdr:col>
      <xdr:colOff>683420</xdr:colOff>
      <xdr:row>43</xdr:row>
      <xdr:rowOff>23020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92E537D-EB74-4486-8933-7B56E9D92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345281</xdr:colOff>
      <xdr:row>2</xdr:row>
      <xdr:rowOff>71437</xdr:rowOff>
    </xdr:from>
    <xdr:to>
      <xdr:col>25</xdr:col>
      <xdr:colOff>332582</xdr:colOff>
      <xdr:row>21</xdr:row>
      <xdr:rowOff>150020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D5DD5998-9FD4-4994-99C7-AF4D08C3A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0</xdr:rowOff>
    </xdr:from>
    <xdr:to>
      <xdr:col>19</xdr:col>
      <xdr:colOff>690563</xdr:colOff>
      <xdr:row>32</xdr:row>
      <xdr:rowOff>174096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F2DB55D-6F09-430F-AF7F-CAECCD3E2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34</xdr:row>
      <xdr:rowOff>0</xdr:rowOff>
    </xdr:from>
    <xdr:to>
      <xdr:col>20</xdr:col>
      <xdr:colOff>184150</xdr:colOff>
      <xdr:row>49</xdr:row>
      <xdr:rowOff>127000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FDD7463F-D68C-4544-AFE9-057B3D63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7600" y="6667500"/>
          <a:ext cx="7042150" cy="327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5</xdr:row>
      <xdr:rowOff>9525</xdr:rowOff>
    </xdr:from>
    <xdr:to>
      <xdr:col>12</xdr:col>
      <xdr:colOff>68791</xdr:colOff>
      <xdr:row>19</xdr:row>
      <xdr:rowOff>57150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90770E84-E1C2-44A9-B65E-3FA84F383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19</xdr:col>
      <xdr:colOff>190500</xdr:colOff>
      <xdr:row>19</xdr:row>
      <xdr:rowOff>52917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1D913232-E8A7-47AD-8008-FD55C2C23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904875</xdr:colOff>
      <xdr:row>17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5336676-1F1C-4384-B71E-05B67920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390645</xdr:colOff>
      <xdr:row>21</xdr:row>
      <xdr:rowOff>156780</xdr:rowOff>
    </xdr:from>
    <xdr:to>
      <xdr:col>16</xdr:col>
      <xdr:colOff>401938</xdr:colOff>
      <xdr:row>36</xdr:row>
      <xdr:rowOff>147817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A22EE06-EF61-4241-8A62-7C712940A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297364</xdr:colOff>
      <xdr:row>3</xdr:row>
      <xdr:rowOff>114259</xdr:rowOff>
    </xdr:from>
    <xdr:to>
      <xdr:col>16</xdr:col>
      <xdr:colOff>305482</xdr:colOff>
      <xdr:row>18</xdr:row>
      <xdr:rowOff>108472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26B24C-F5C3-4ED8-997E-122E5DEB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122861</xdr:colOff>
      <xdr:row>3</xdr:row>
      <xdr:rowOff>126315</xdr:rowOff>
    </xdr:from>
    <xdr:to>
      <xdr:col>23</xdr:col>
      <xdr:colOff>130980</xdr:colOff>
      <xdr:row>18</xdr:row>
      <xdr:rowOff>126878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33E71D1-2F6F-4C62-861B-F136DEB94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20637</xdr:colOff>
      <xdr:row>21</xdr:row>
      <xdr:rowOff>153987</xdr:rowOff>
    </xdr:from>
    <xdr:to>
      <xdr:col>23</xdr:col>
      <xdr:colOff>20637</xdr:colOff>
      <xdr:row>36</xdr:row>
      <xdr:rowOff>131762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DFA02F6-1865-4A03-9CB7-51470EE97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0</xdr:colOff>
      <xdr:row>44</xdr:row>
      <xdr:rowOff>0</xdr:rowOff>
    </xdr:from>
    <xdr:to>
      <xdr:col>15</xdr:col>
      <xdr:colOff>6350</xdr:colOff>
      <xdr:row>59</xdr:row>
      <xdr:rowOff>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3FAC2883-A3CF-414C-8D62-72CCA51A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8178800"/>
          <a:ext cx="4584700" cy="275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4428</xdr:colOff>
      <xdr:row>3</xdr:row>
      <xdr:rowOff>3321</xdr:rowOff>
    </xdr:from>
    <xdr:to>
      <xdr:col>10</xdr:col>
      <xdr:colOff>49213</xdr:colOff>
      <xdr:row>12</xdr:row>
      <xdr:rowOff>173036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427C31-69CE-415A-BD02-A704E678A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6684</xdr:colOff>
      <xdr:row>17</xdr:row>
      <xdr:rowOff>173787</xdr:rowOff>
    </xdr:from>
    <xdr:to>
      <xdr:col>12</xdr:col>
      <xdr:colOff>541420</xdr:colOff>
      <xdr:row>24</xdr:row>
      <xdr:rowOff>6683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028C7BB-0CAE-4DCD-8007-196A416DB591}"/>
            </a:ext>
          </a:extLst>
        </xdr:cNvPr>
        <xdr:cNvSpPr txBox="1"/>
      </xdr:nvSpPr>
      <xdr:spPr>
        <a:xfrm>
          <a:off x="4591384" y="3364662"/>
          <a:ext cx="5106736" cy="1102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Porøsiteten ble regnet ut ved å</a:t>
          </a:r>
          <a:r>
            <a:rPr lang="nb-NO" sz="1100" baseline="0"/>
            <a:t> finne volumet i sandkornene i et lite glass. Testen ble utført på denne måten:</a:t>
          </a:r>
        </a:p>
        <a:p>
          <a:r>
            <a:rPr lang="nb-NO" sz="1100" baseline="0"/>
            <a:t>1. Måle høyden på sandkornsjiktet i glasset og merke av denne høyden</a:t>
          </a:r>
        </a:p>
        <a:p>
          <a:r>
            <a:rPr lang="nb-NO" sz="1100" baseline="0"/>
            <a:t>2. Målte hvor mye vann som måtte til for å nå denne høyden (volum vann)</a:t>
          </a:r>
        </a:p>
        <a:p>
          <a:r>
            <a:rPr lang="nb-NO" sz="1100" baseline="0"/>
            <a:t>3. Målte hvor mye vann som måtte til for å nå denne høyden med sandkorn i glasset. (volumet nødvendig for å fylle porerommene)</a:t>
          </a:r>
        </a:p>
        <a:p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2151944</xdr:colOff>
      <xdr:row>2</xdr:row>
      <xdr:rowOff>175506</xdr:rowOff>
    </xdr:from>
    <xdr:to>
      <xdr:col>8</xdr:col>
      <xdr:colOff>413631</xdr:colOff>
      <xdr:row>20</xdr:row>
      <xdr:rowOff>31044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E794AD-385C-4456-A942-A7430718E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ida\OneDrive\Documents\Kopi%20av%20Endret%20-%20Eksempel%20-%20produksjonsplan%20Litus%20Akva%20-%20riktig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Endret%20-%20Eksempel%20-%20produksjonsplan%20Litus%20Akva%20-%20riktig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ida\AppData\Local\Packages\microsoft.windowscommunicationsapps_8wekyb3d8bbwe\LocalState\Files\S0\1883\Attachments\TSS%5b7851%5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Egne%20dokumenter\Kopi%20av%20Endret%20-%20Eksempel%20-%20produksjonsplan%20Litus%20Akva%20-%20rikti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ida\AppData\Local\Packages\microsoft.windowscommunicationsapps_8wekyb3d8bbwe\LocalState\Files\S0\1883\Attachments\Trykktap%20og%20str&#248;mningshastighet%5b7856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veksttabell (2)"/>
      <sheetName val="Tilveksttabell"/>
      <sheetName val="SGR tabell"/>
      <sheetName val="264 g ved 10 grader"/>
      <sheetName val=" 264 g ved 12 grader"/>
      <sheetName val="264 g ved 14 grader"/>
      <sheetName val="Ukentlig vekst"/>
      <sheetName val="Resirkuleringsgrad"/>
      <sheetName val="TAN"/>
      <sheetName val="Vannparametere"/>
      <sheetName val="Overvåkning uten fisk"/>
      <sheetName val="Nitrifikasjonstall"/>
      <sheetName val="Overvåkning med fisk"/>
      <sheetName val="TAN verdier"/>
      <sheetName val="Turbiditet og TSS"/>
      <sheetName val="Blodprøver"/>
      <sheetName val="Gjelleprøver"/>
      <sheetName val="Vekst og lengde "/>
    </sheetNames>
    <sheetDataSet>
      <sheetData sheetId="0"/>
      <sheetData sheetId="1"/>
      <sheetData sheetId="2"/>
      <sheetData sheetId="3"/>
      <sheetData sheetId="4">
        <row r="3">
          <cell r="B3">
            <v>749</v>
          </cell>
          <cell r="G3">
            <v>7</v>
          </cell>
        </row>
        <row r="6">
          <cell r="A6">
            <v>1</v>
          </cell>
          <cell r="B6">
            <v>264</v>
          </cell>
          <cell r="E6">
            <v>2.06E-2</v>
          </cell>
          <cell r="G6">
            <v>4.0733616000000001</v>
          </cell>
          <cell r="J6">
            <v>197.73599999999999</v>
          </cell>
          <cell r="L6">
            <v>28.247999999999998</v>
          </cell>
          <cell r="M6">
            <v>0.84861699999999995</v>
          </cell>
          <cell r="N6">
            <v>1222.00848</v>
          </cell>
          <cell r="O6">
            <v>0.81467232000000012</v>
          </cell>
        </row>
        <row r="7">
          <cell r="A7">
            <v>2</v>
          </cell>
          <cell r="B7">
            <v>268.86552</v>
          </cell>
        </row>
        <row r="8">
          <cell r="A8">
            <v>3</v>
          </cell>
          <cell r="B8">
            <v>273.82071153359999</v>
          </cell>
        </row>
        <row r="9">
          <cell r="A9">
            <v>4</v>
          </cell>
          <cell r="B9">
            <v>278.86722724716424</v>
          </cell>
        </row>
        <row r="10">
          <cell r="A10">
            <v>5</v>
          </cell>
          <cell r="B10">
            <v>284.00675024532944</v>
          </cell>
        </row>
        <row r="11">
          <cell r="A11">
            <v>6</v>
          </cell>
          <cell r="B11">
            <v>289.24099465235082</v>
          </cell>
        </row>
        <row r="12">
          <cell r="A12">
            <v>7</v>
          </cell>
          <cell r="B12">
            <v>294.57170618379365</v>
          </cell>
          <cell r="E12">
            <v>2.06E-2</v>
          </cell>
          <cell r="G12">
            <v>4.5450646833922255</v>
          </cell>
          <cell r="I12">
            <v>746.75580687820207</v>
          </cell>
          <cell r="J12">
            <v>219.97313213476747</v>
          </cell>
          <cell r="L12">
            <v>31.424733162109639</v>
          </cell>
          <cell r="M12">
            <v>0.94688847570671364</v>
          </cell>
          <cell r="N12">
            <v>1363.5194050176676</v>
          </cell>
          <cell r="O12">
            <v>0.90901293667844518</v>
          </cell>
        </row>
        <row r="13">
          <cell r="A13">
            <v>8</v>
          </cell>
          <cell r="B13">
            <v>300.00066272876097</v>
          </cell>
        </row>
        <row r="14">
          <cell r="A14">
            <v>9</v>
          </cell>
          <cell r="B14">
            <v>305.01967381621313</v>
          </cell>
        </row>
        <row r="15">
          <cell r="A15">
            <v>10</v>
          </cell>
          <cell r="B15">
            <v>310.12265295915836</v>
          </cell>
        </row>
        <row r="16">
          <cell r="A16">
            <v>11</v>
          </cell>
          <cell r="B16">
            <v>315.31100494316507</v>
          </cell>
        </row>
        <row r="17">
          <cell r="A17">
            <v>12</v>
          </cell>
          <cell r="B17">
            <v>320.58615805586419</v>
          </cell>
        </row>
        <row r="18">
          <cell r="A18">
            <v>13</v>
          </cell>
          <cell r="B18">
            <v>325.94956448013875</v>
          </cell>
        </row>
        <row r="19">
          <cell r="A19">
            <v>14</v>
          </cell>
          <cell r="B19">
            <v>331.40270069389146</v>
          </cell>
          <cell r="E19">
            <v>1.9E-2</v>
          </cell>
          <cell r="G19">
            <v>4.7161918335747686</v>
          </cell>
          <cell r="I19">
            <v>744.14607875669094</v>
          </cell>
          <cell r="J19">
            <v>246.61202021073663</v>
          </cell>
          <cell r="L19">
            <v>35.230288601533807</v>
          </cell>
          <cell r="M19">
            <v>0.98253996532807675</v>
          </cell>
          <cell r="N19">
            <v>1414.8575500724305</v>
          </cell>
          <cell r="O19">
            <v>0.94323836671495376</v>
          </cell>
        </row>
        <row r="20">
          <cell r="A20">
            <v>15</v>
          </cell>
          <cell r="B20">
            <v>336.94706787650023</v>
          </cell>
        </row>
        <row r="26">
          <cell r="B26">
            <v>372.21640535547658</v>
          </cell>
          <cell r="E26">
            <v>1.9E-2</v>
          </cell>
          <cell r="G26">
            <v>5.2970116646137866</v>
          </cell>
          <cell r="I26">
            <v>741.54547099394426</v>
          </cell>
          <cell r="J26">
            <v>276.01538962099977</v>
          </cell>
          <cell r="L26">
            <v>39.430769945857108</v>
          </cell>
          <cell r="M26">
            <v>1.1035440967945389</v>
          </cell>
          <cell r="N26">
            <v>1589.1034993841358</v>
          </cell>
          <cell r="O26">
            <v>1.0594023329227573</v>
          </cell>
        </row>
        <row r="33">
          <cell r="B33">
            <v>416.98811976692576</v>
          </cell>
          <cell r="E33">
            <v>1.9E-2</v>
          </cell>
          <cell r="G33">
            <v>5.93415793240312</v>
          </cell>
          <cell r="I33">
            <v>738.95395171654832</v>
          </cell>
          <cell r="J33">
            <v>308.13501892062311</v>
          </cell>
          <cell r="L33">
            <v>44.01928841723187</v>
          </cell>
          <cell r="M33">
            <v>1.2362829025839832</v>
          </cell>
          <cell r="N33">
            <v>1780.2473797209359</v>
          </cell>
          <cell r="O33">
            <v>1.186831586480624</v>
          </cell>
        </row>
        <row r="40">
          <cell r="B40">
            <v>464.16630703200741</v>
          </cell>
          <cell r="E40">
            <v>1.7299999999999999E-2</v>
          </cell>
          <cell r="G40">
            <v>6.0145277566286426</v>
          </cell>
          <cell r="I40">
            <v>736.37148916247929</v>
          </cell>
          <cell r="J40">
            <v>341.79883472820791</v>
          </cell>
          <cell r="L40">
            <v>48.828404961172559</v>
          </cell>
          <cell r="M40">
            <v>1.2530266159643006</v>
          </cell>
          <cell r="N40">
            <v>1804.3583269885928</v>
          </cell>
          <cell r="O40">
            <v>1.2029055513257285</v>
          </cell>
        </row>
        <row r="47">
          <cell r="B47">
            <v>515.63459131097216</v>
          </cell>
          <cell r="E47">
            <v>1.7299999999999999E-2</v>
          </cell>
          <cell r="G47">
            <v>6.6814383438301839</v>
          </cell>
          <cell r="I47">
            <v>733.7980516807138</v>
          </cell>
          <cell r="J47">
            <v>378.3716584831725</v>
          </cell>
          <cell r="L47">
            <v>54.053094069024645</v>
          </cell>
          <cell r="M47">
            <v>1.3919663216312883</v>
          </cell>
          <cell r="N47">
            <v>2004.4315031490553</v>
          </cell>
          <cell r="O47">
            <v>1.3362876687660368</v>
          </cell>
        </row>
        <row r="54">
          <cell r="B54">
            <v>569.91059129732855</v>
          </cell>
          <cell r="E54">
            <v>1.6E-2</v>
          </cell>
          <cell r="G54">
            <v>6.8298085261071853</v>
          </cell>
          <cell r="I54">
            <v>731.23360773084084</v>
          </cell>
          <cell r="J54">
            <v>416.73777775836231</v>
          </cell>
          <cell r="L54">
            <v>59.533968251194615</v>
          </cell>
          <cell r="M54">
            <v>1.4228767762723302</v>
          </cell>
          <cell r="N54">
            <v>2048.9425578321557</v>
          </cell>
          <cell r="O54">
            <v>1.3659617052214372</v>
          </cell>
        </row>
        <row r="61">
          <cell r="B61">
            <v>629.89971492620327</v>
          </cell>
          <cell r="E61">
            <v>1.6E-2</v>
          </cell>
          <cell r="G61">
            <v>7.5487181836756205</v>
          </cell>
          <cell r="I61">
            <v>728.67812588267554</v>
          </cell>
          <cell r="J61">
            <v>458.9941437664574</v>
          </cell>
          <cell r="L61">
            <v>65.570591966636769</v>
          </cell>
          <cell r="M61">
            <v>1.5726496215990875</v>
          </cell>
          <cell r="N61">
            <v>2264.6154551026862</v>
          </cell>
          <cell r="O61">
            <v>1.5097436367351242</v>
          </cell>
        </row>
        <row r="68">
          <cell r="B68">
            <v>696.20332894833166</v>
          </cell>
          <cell r="E68">
            <v>1.52E-2</v>
          </cell>
          <cell r="G68">
            <v>7.9261356594109662</v>
          </cell>
          <cell r="I68">
            <v>726.13157481587371</v>
          </cell>
          <cell r="J68">
            <v>505.53521964130579</v>
          </cell>
          <cell r="L68">
            <v>72.21931709161511</v>
          </cell>
          <cell r="M68">
            <v>1.6512782623772846</v>
          </cell>
          <cell r="N68">
            <v>2377.8406978232897</v>
          </cell>
          <cell r="O68">
            <v>1.5852271318821933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H5" t="str">
            <v>NH4-N (mg/L)</v>
          </cell>
        </row>
        <row r="12">
          <cell r="A12">
            <v>44270</v>
          </cell>
          <cell r="H12">
            <v>0.11</v>
          </cell>
          <cell r="I12">
            <v>0.16</v>
          </cell>
          <cell r="J12">
            <v>0.8</v>
          </cell>
        </row>
        <row r="13">
          <cell r="A13">
            <v>44271</v>
          </cell>
          <cell r="H13"/>
          <cell r="I13"/>
          <cell r="J13"/>
        </row>
        <row r="14">
          <cell r="A14">
            <v>44272</v>
          </cell>
          <cell r="H14"/>
          <cell r="I14"/>
          <cell r="J14"/>
        </row>
        <row r="15">
          <cell r="A15">
            <v>44273</v>
          </cell>
          <cell r="H15" t="str">
            <v>&lt;0,05</v>
          </cell>
          <cell r="I15">
            <v>0.44</v>
          </cell>
          <cell r="J15">
            <v>0.9</v>
          </cell>
        </row>
        <row r="16">
          <cell r="A16">
            <v>44274</v>
          </cell>
          <cell r="H16"/>
          <cell r="I16"/>
          <cell r="J16"/>
        </row>
        <row r="17">
          <cell r="A17">
            <v>44275</v>
          </cell>
          <cell r="H17"/>
          <cell r="I17"/>
          <cell r="J17"/>
        </row>
        <row r="18">
          <cell r="A18">
            <v>44276</v>
          </cell>
          <cell r="H18"/>
          <cell r="I18"/>
          <cell r="J18"/>
        </row>
        <row r="19">
          <cell r="A19">
            <v>44277</v>
          </cell>
          <cell r="H19">
            <v>0.03</v>
          </cell>
          <cell r="I19">
            <v>1.07</v>
          </cell>
          <cell r="J19">
            <v>4.5999999999999996</v>
          </cell>
        </row>
      </sheetData>
      <sheetData sheetId="11"/>
      <sheetData sheetId="12"/>
      <sheetData sheetId="13">
        <row r="23">
          <cell r="A23" t="str">
            <v>Ref. NH4  (mg/L)</v>
          </cell>
          <cell r="B23" t="str">
            <v>Ref. NO2 (mg/L)</v>
          </cell>
          <cell r="C23" t="str">
            <v>Ref. NO3 (mg/L)</v>
          </cell>
          <cell r="D23" t="str">
            <v xml:space="preserve"> Litus, NH4 (mg/L)</v>
          </cell>
          <cell r="E23" t="str">
            <v xml:space="preserve"> Litus, NO2 (mg/L)</v>
          </cell>
          <cell r="F23" t="str">
            <v>Litus, NO3 (mg/L)</v>
          </cell>
        </row>
        <row r="24">
          <cell r="A24"/>
          <cell r="B24"/>
          <cell r="C24"/>
          <cell r="D24"/>
          <cell r="E24"/>
          <cell r="F24"/>
        </row>
        <row r="25">
          <cell r="A25">
            <v>0.23064999999999999</v>
          </cell>
          <cell r="B25">
            <v>0.13574</v>
          </cell>
          <cell r="C25">
            <v>31.405200000000001</v>
          </cell>
          <cell r="D25">
            <v>2.7490000000000001</v>
          </cell>
          <cell r="E25">
            <v>0.87</v>
          </cell>
          <cell r="F25">
            <v>23.216999999999999</v>
          </cell>
        </row>
      </sheetData>
      <sheetData sheetId="14">
        <row r="54">
          <cell r="B54" t="str">
            <v>Turbiditet i avløpskasse</v>
          </cell>
          <cell r="C54" t="str">
            <v>Turbiditet etter trommelfilteret</v>
          </cell>
          <cell r="D54" t="str">
            <v>Turbiditet etter Dynasand</v>
          </cell>
        </row>
        <row r="55">
          <cell r="B55"/>
          <cell r="C55"/>
          <cell r="D55"/>
        </row>
        <row r="56">
          <cell r="B56">
            <v>2.2857142857142856</v>
          </cell>
          <cell r="C56">
            <v>2.6666666666666665</v>
          </cell>
          <cell r="D56">
            <v>3</v>
          </cell>
        </row>
      </sheetData>
      <sheetData sheetId="15"/>
      <sheetData sheetId="16"/>
      <sheetData sheetId="17">
        <row r="24">
          <cell r="A24" t="str">
            <v>Prøve 1</v>
          </cell>
          <cell r="B24" t="str">
            <v>Prøve 2</v>
          </cell>
        </row>
        <row r="25">
          <cell r="A25">
            <v>27.608333333333338</v>
          </cell>
          <cell r="B25">
            <v>33</v>
          </cell>
        </row>
        <row r="30">
          <cell r="A30" t="str">
            <v>Prøve 1</v>
          </cell>
          <cell r="B30" t="str">
            <v>Prøve 2</v>
          </cell>
        </row>
        <row r="31">
          <cell r="A31">
            <v>236.66666666666666</v>
          </cell>
          <cell r="B31">
            <v>437.83333333333331</v>
          </cell>
        </row>
        <row r="36">
          <cell r="A36" t="str">
            <v>Prøve 1</v>
          </cell>
          <cell r="B36" t="str">
            <v>Prøve 2</v>
          </cell>
        </row>
        <row r="37">
          <cell r="A37">
            <v>1.1079413055621561</v>
          </cell>
          <cell r="B37">
            <v>1.1997911059867545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veksttabell (2)"/>
      <sheetName val="Tilveksttabell"/>
      <sheetName val="SGR tabell"/>
      <sheetName val="264 g ved 10 grader"/>
      <sheetName val=" 264 g ved 12 grader"/>
      <sheetName val="264 g ved 14 grader"/>
      <sheetName val="Ukentlig vekst"/>
      <sheetName val="Resirkuleringsgrad"/>
      <sheetName val="TAN"/>
      <sheetName val="Vannparametere"/>
      <sheetName val="Overvåkning uten fisk"/>
      <sheetName val="Nitrifikasjonstall"/>
      <sheetName val="Overvåkning med fisk"/>
      <sheetName val="TAN verdier"/>
      <sheetName val="Turbiditet og TSS"/>
      <sheetName val="Blodprøver"/>
      <sheetName val="Gjelleprøver"/>
      <sheetName val="Vekst og lengd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0.11</v>
          </cell>
          <cell r="I12">
            <v>0.16</v>
          </cell>
          <cell r="J12">
            <v>0.8</v>
          </cell>
        </row>
        <row r="15">
          <cell r="H15" t="str">
            <v>&lt;0,05</v>
          </cell>
          <cell r="I15">
            <v>0.44</v>
          </cell>
          <cell r="J15">
            <v>0.9</v>
          </cell>
        </row>
        <row r="19">
          <cell r="H19">
            <v>0.03</v>
          </cell>
          <cell r="I19">
            <v>1.07</v>
          </cell>
          <cell r="J19">
            <v>4.5999999999999996</v>
          </cell>
        </row>
      </sheetData>
      <sheetData sheetId="11"/>
      <sheetData sheetId="12"/>
      <sheetData sheetId="13">
        <row r="25">
          <cell r="A25">
            <v>0.23064999999999999</v>
          </cell>
          <cell r="B25">
            <v>0.13574</v>
          </cell>
          <cell r="C25">
            <v>31.405200000000001</v>
          </cell>
          <cell r="D25">
            <v>2.7490000000000001</v>
          </cell>
          <cell r="E25">
            <v>0.87</v>
          </cell>
          <cell r="F25">
            <v>23.216999999999999</v>
          </cell>
        </row>
      </sheetData>
      <sheetData sheetId="14">
        <row r="56">
          <cell r="B56">
            <v>2.2857142857142856</v>
          </cell>
          <cell r="C56">
            <v>2.6666666666666665</v>
          </cell>
          <cell r="D56">
            <v>3</v>
          </cell>
        </row>
      </sheetData>
      <sheetData sheetId="15"/>
      <sheetData sheetId="16"/>
      <sheetData sheetId="17">
        <row r="25">
          <cell r="A25">
            <v>27.608333333333338</v>
          </cell>
          <cell r="B25">
            <v>33</v>
          </cell>
        </row>
        <row r="31">
          <cell r="A31">
            <v>236.66666666666666</v>
          </cell>
          <cell r="B31">
            <v>437.83333333333331</v>
          </cell>
        </row>
        <row r="37">
          <cell r="A37">
            <v>1.1079413055621561</v>
          </cell>
          <cell r="B37">
            <v>1.1997911059867545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S"/>
      <sheetName val="Nitrifikasjon"/>
    </sheetNames>
    <sheetDataSet>
      <sheetData sheetId="0">
        <row r="17">
          <cell r="O17" t="str">
            <v>Avløpskasse</v>
          </cell>
          <cell r="P17" t="str">
            <v>Pumpesumpen</v>
          </cell>
          <cell r="Q17" t="str">
            <v>Trommelfilter</v>
          </cell>
          <cell r="R17" t="str">
            <v>Sandfilter</v>
          </cell>
        </row>
        <row r="18">
          <cell r="N18" t="str">
            <v>29.03.2021</v>
          </cell>
          <cell r="O18">
            <v>0.48359999999999997</v>
          </cell>
        </row>
        <row r="19">
          <cell r="N19" t="str">
            <v>01.04.2021</v>
          </cell>
          <cell r="O19">
            <v>0.34360000000000002</v>
          </cell>
        </row>
        <row r="20">
          <cell r="N20" t="str">
            <v>06.04.2021</v>
          </cell>
          <cell r="O20">
            <v>0.42</v>
          </cell>
        </row>
        <row r="21">
          <cell r="N21" t="str">
            <v>08.04.2021</v>
          </cell>
          <cell r="O21">
            <v>0.66180000000000005</v>
          </cell>
        </row>
        <row r="22">
          <cell r="N22" t="str">
            <v>13.04.2021</v>
          </cell>
          <cell r="P22">
            <v>0.36399999999999999</v>
          </cell>
          <cell r="Q22">
            <v>0.2036</v>
          </cell>
          <cell r="R22">
            <v>0.38179999999999997</v>
          </cell>
        </row>
        <row r="23">
          <cell r="N23" t="str">
            <v>20.04.2021</v>
          </cell>
          <cell r="P23">
            <v>0.42759999999999998</v>
          </cell>
          <cell r="Q23">
            <v>0.29020000000000001</v>
          </cell>
          <cell r="R23">
            <v>0.41489999999999999</v>
          </cell>
        </row>
        <row r="24">
          <cell r="N24" t="str">
            <v>27.04.2021</v>
          </cell>
          <cell r="P24">
            <v>0.31559999999999999</v>
          </cell>
          <cell r="Q24">
            <v>0.53710000000000002</v>
          </cell>
          <cell r="R24">
            <v>0.51160000000000005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veksttabell"/>
      <sheetName val="SGR tabell"/>
      <sheetName val="264 g ved 10 grader"/>
      <sheetName val=" 264 g ved 12 grader"/>
      <sheetName val="264 g ved 14 grader"/>
      <sheetName val="Ukentlig vekst"/>
      <sheetName val="Resirkuleringsgrad"/>
      <sheetName val="TAN"/>
      <sheetName val="Vannparametere"/>
      <sheetName val="Overvåkning uten fisk"/>
      <sheetName val="Overvåkning med fisk"/>
      <sheetName val="Nitrifikasjonstall"/>
      <sheetName val="Ark2"/>
      <sheetName val="Turbiditet og TSS"/>
      <sheetName val="Blodprøver"/>
      <sheetName val="Ark7"/>
      <sheetName val="Gjelleprø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Amonium</v>
          </cell>
          <cell r="C4" t="str">
            <v>Nitritt</v>
          </cell>
          <cell r="D4" t="str">
            <v>Nitrat</v>
          </cell>
        </row>
        <row r="5">
          <cell r="A5" t="str">
            <v>23.03.2021</v>
          </cell>
        </row>
        <row r="6">
          <cell r="A6" t="str">
            <v>24.03.2021</v>
          </cell>
        </row>
        <row r="7">
          <cell r="A7" t="str">
            <v>25.03.2021</v>
          </cell>
          <cell r="C7">
            <v>0.67</v>
          </cell>
          <cell r="D7">
            <v>3.9</v>
          </cell>
        </row>
        <row r="8">
          <cell r="A8" t="str">
            <v>26.03.2021</v>
          </cell>
          <cell r="C8">
            <v>0.94</v>
          </cell>
        </row>
        <row r="9">
          <cell r="A9">
            <v>44282</v>
          </cell>
        </row>
        <row r="10">
          <cell r="A10">
            <v>44283</v>
          </cell>
        </row>
        <row r="11">
          <cell r="A11" t="str">
            <v>29.03.2021</v>
          </cell>
          <cell r="C11">
            <v>1.24</v>
          </cell>
          <cell r="D11">
            <v>8.4</v>
          </cell>
        </row>
        <row r="12">
          <cell r="A12" t="str">
            <v>30.03.2021</v>
          </cell>
          <cell r="C12">
            <v>0.47</v>
          </cell>
          <cell r="D12">
            <v>3.7</v>
          </cell>
        </row>
        <row r="13">
          <cell r="A13">
            <v>44286</v>
          </cell>
        </row>
        <row r="14">
          <cell r="A14" t="str">
            <v>01.04.2021</v>
          </cell>
          <cell r="C14">
            <v>0.28000000000000003</v>
          </cell>
          <cell r="D14">
            <v>1.8</v>
          </cell>
        </row>
        <row r="15">
          <cell r="A15">
            <v>44288</v>
          </cell>
        </row>
        <row r="16">
          <cell r="A16">
            <v>44289</v>
          </cell>
        </row>
        <row r="17">
          <cell r="A17">
            <v>44290</v>
          </cell>
        </row>
        <row r="18">
          <cell r="A18" t="str">
            <v>05.04.2021</v>
          </cell>
          <cell r="C18">
            <v>0.19</v>
          </cell>
          <cell r="D18">
            <v>1.5</v>
          </cell>
        </row>
        <row r="19">
          <cell r="A19">
            <v>44292</v>
          </cell>
        </row>
        <row r="20">
          <cell r="A20">
            <v>44293</v>
          </cell>
        </row>
        <row r="21">
          <cell r="A21" t="str">
            <v>08.04.2021</v>
          </cell>
          <cell r="C21">
            <v>0.37</v>
          </cell>
          <cell r="D21">
            <v>6.2</v>
          </cell>
        </row>
        <row r="22">
          <cell r="A22" t="str">
            <v>09.04.2021</v>
          </cell>
        </row>
        <row r="23">
          <cell r="A23">
            <v>44296</v>
          </cell>
        </row>
        <row r="24">
          <cell r="A24">
            <v>44297</v>
          </cell>
        </row>
        <row r="25">
          <cell r="A25" t="str">
            <v>12.04.2021</v>
          </cell>
          <cell r="C25">
            <v>0.42</v>
          </cell>
          <cell r="D25">
            <v>9.4</v>
          </cell>
        </row>
        <row r="26">
          <cell r="A26">
            <v>44299</v>
          </cell>
        </row>
        <row r="27">
          <cell r="A27">
            <v>44300</v>
          </cell>
        </row>
        <row r="28">
          <cell r="A28" t="str">
            <v>15.04.2021</v>
          </cell>
          <cell r="C28">
            <v>1.93</v>
          </cell>
          <cell r="D28">
            <v>22.6</v>
          </cell>
        </row>
        <row r="29">
          <cell r="A29">
            <v>44302</v>
          </cell>
        </row>
        <row r="30">
          <cell r="A30">
            <v>44303</v>
          </cell>
        </row>
        <row r="31">
          <cell r="A31">
            <v>44304</v>
          </cell>
        </row>
        <row r="32">
          <cell r="A32" t="str">
            <v>19.04.2021</v>
          </cell>
          <cell r="C32">
            <v>1.72</v>
          </cell>
          <cell r="D32">
            <v>28.7</v>
          </cell>
        </row>
        <row r="33">
          <cell r="A33">
            <v>44306</v>
          </cell>
        </row>
        <row r="34">
          <cell r="A34">
            <v>44307</v>
          </cell>
        </row>
        <row r="35">
          <cell r="A35" t="str">
            <v>22.04.2021</v>
          </cell>
          <cell r="C35">
            <v>0.48</v>
          </cell>
          <cell r="D35">
            <v>26</v>
          </cell>
        </row>
        <row r="36">
          <cell r="A36">
            <v>44309</v>
          </cell>
        </row>
        <row r="37">
          <cell r="A37">
            <v>44310</v>
          </cell>
        </row>
        <row r="38">
          <cell r="A38">
            <v>44311</v>
          </cell>
        </row>
        <row r="39">
          <cell r="A39" t="str">
            <v>26.04.2021</v>
          </cell>
          <cell r="C39">
            <v>0.22</v>
          </cell>
          <cell r="D39">
            <v>21.9</v>
          </cell>
        </row>
        <row r="40">
          <cell r="A40">
            <v>44313</v>
          </cell>
        </row>
        <row r="41">
          <cell r="A41">
            <v>44314</v>
          </cell>
        </row>
        <row r="42">
          <cell r="A42" t="str">
            <v>29.04.2021</v>
          </cell>
          <cell r="C42">
            <v>0.45</v>
          </cell>
          <cell r="D42">
            <v>30.7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oylds tall"/>
      <sheetName val="Trykktap ∆p og porøsitet"/>
      <sheetName val="Strømmningshastighet"/>
      <sheetName val="Vannparametere"/>
      <sheetName val="Overvåkning uten fisk"/>
      <sheetName val="Overvåkning med fisk"/>
    </sheetNames>
    <sheetDataSet>
      <sheetData sheetId="0">
        <row r="5">
          <cell r="E5">
            <v>0.78500000000000003</v>
          </cell>
        </row>
      </sheetData>
      <sheetData sheetId="1">
        <row r="6">
          <cell r="C6" t="str">
            <v>Gunstig</v>
          </cell>
          <cell r="D6" t="str">
            <v>Maks tillatt</v>
          </cell>
          <cell r="E6" t="str">
            <v>Målt</v>
          </cell>
        </row>
        <row r="8">
          <cell r="C8">
            <v>9.9175176000000018</v>
          </cell>
          <cell r="D8">
            <v>14.8762764</v>
          </cell>
          <cell r="E8">
            <v>4.7604084479999997</v>
          </cell>
        </row>
        <row r="23">
          <cell r="E23">
            <v>0.41428571428571431</v>
          </cell>
        </row>
      </sheetData>
      <sheetData sheetId="2">
        <row r="4">
          <cell r="B4" t="str">
            <v>Strømningshastighet</v>
          </cell>
        </row>
        <row r="5">
          <cell r="B5">
            <v>9.81</v>
          </cell>
        </row>
        <row r="9">
          <cell r="B9">
            <v>1010.96</v>
          </cell>
        </row>
        <row r="17">
          <cell r="A17" t="str">
            <v xml:space="preserve"> Teoretisk minimum fluidiseringshastighet (m/s)</v>
          </cell>
          <cell r="B17">
            <v>10.013186222741584</v>
          </cell>
        </row>
        <row r="20">
          <cell r="B20">
            <v>13.756756756756761</v>
          </cell>
        </row>
        <row r="23">
          <cell r="A23" t="str">
            <v>Gjennomsnittelig minimum strømningshastighet (m/s)</v>
          </cell>
          <cell r="B23">
            <v>17.196687898089174</v>
          </cell>
        </row>
        <row r="28">
          <cell r="B28">
            <v>15</v>
          </cell>
        </row>
        <row r="29">
          <cell r="A29" t="str">
            <v>Selvvaskende sandfilter målt strømningshastighet (m/s)</v>
          </cell>
          <cell r="C29">
            <v>19.108280254777068</v>
          </cell>
        </row>
      </sheetData>
      <sheetData sheetId="3">
        <row r="7">
          <cell r="C7">
            <v>15</v>
          </cell>
          <cell r="F7">
            <v>152</v>
          </cell>
        </row>
        <row r="8">
          <cell r="C8">
            <v>14.8</v>
          </cell>
          <cell r="F8">
            <v>149</v>
          </cell>
        </row>
        <row r="9">
          <cell r="C9">
            <v>14.9</v>
          </cell>
          <cell r="F9">
            <v>162</v>
          </cell>
        </row>
        <row r="10">
          <cell r="C10">
            <v>14.4</v>
          </cell>
          <cell r="F10">
            <v>168</v>
          </cell>
        </row>
        <row r="11">
          <cell r="C11">
            <v>14.4</v>
          </cell>
          <cell r="F11">
            <v>168</v>
          </cell>
        </row>
        <row r="12">
          <cell r="C12">
            <v>14.7</v>
          </cell>
          <cell r="F12">
            <v>167</v>
          </cell>
        </row>
        <row r="13">
          <cell r="C13">
            <v>14.9</v>
          </cell>
          <cell r="F13">
            <v>168</v>
          </cell>
        </row>
        <row r="14">
          <cell r="C14">
            <v>14.7</v>
          </cell>
          <cell r="F14">
            <v>168</v>
          </cell>
        </row>
        <row r="15">
          <cell r="C15">
            <v>14.7</v>
          </cell>
          <cell r="F15">
            <v>171.2</v>
          </cell>
        </row>
        <row r="16">
          <cell r="C16">
            <v>12.5</v>
          </cell>
          <cell r="F16">
            <v>168.6</v>
          </cell>
        </row>
        <row r="17">
          <cell r="C17">
            <v>12.9</v>
          </cell>
          <cell r="F17">
            <v>168.6</v>
          </cell>
        </row>
        <row r="18">
          <cell r="C18">
            <v>12.8</v>
          </cell>
          <cell r="F18">
            <v>168.7</v>
          </cell>
        </row>
        <row r="19">
          <cell r="C19">
            <v>13.1</v>
          </cell>
          <cell r="F19">
            <v>171.8</v>
          </cell>
        </row>
        <row r="20">
          <cell r="C20">
            <v>11.4</v>
          </cell>
          <cell r="F20">
            <v>172</v>
          </cell>
        </row>
        <row r="21">
          <cell r="C21">
            <v>12.8</v>
          </cell>
          <cell r="F21">
            <v>173.2</v>
          </cell>
        </row>
        <row r="22">
          <cell r="C22">
            <v>12.6</v>
          </cell>
          <cell r="F22">
            <v>175</v>
          </cell>
        </row>
        <row r="23">
          <cell r="C23">
            <v>13.3</v>
          </cell>
          <cell r="F23">
            <v>175</v>
          </cell>
        </row>
        <row r="24">
          <cell r="C24">
            <v>13.3</v>
          </cell>
          <cell r="F24">
            <v>173.3</v>
          </cell>
        </row>
        <row r="25">
          <cell r="C25">
            <v>12.4</v>
          </cell>
          <cell r="F25">
            <v>172.5</v>
          </cell>
        </row>
        <row r="26">
          <cell r="C26">
            <v>12.3</v>
          </cell>
          <cell r="F26">
            <v>170.9</v>
          </cell>
        </row>
        <row r="27">
          <cell r="C27">
            <v>13.2</v>
          </cell>
          <cell r="F27">
            <v>170.1</v>
          </cell>
        </row>
        <row r="28">
          <cell r="C28">
            <v>14.3</v>
          </cell>
          <cell r="F28">
            <v>164.4</v>
          </cell>
        </row>
        <row r="29">
          <cell r="C29">
            <v>14.1</v>
          </cell>
          <cell r="F29">
            <v>176.1</v>
          </cell>
        </row>
        <row r="30">
          <cell r="C30">
            <v>14.2</v>
          </cell>
          <cell r="F30">
            <v>177.4</v>
          </cell>
        </row>
        <row r="31">
          <cell r="C31">
            <v>14.1</v>
          </cell>
          <cell r="F31">
            <v>175.6</v>
          </cell>
        </row>
        <row r="32">
          <cell r="C32">
            <v>14.1</v>
          </cell>
          <cell r="F32">
            <v>172.4</v>
          </cell>
        </row>
        <row r="33">
          <cell r="C33">
            <v>14</v>
          </cell>
          <cell r="F33">
            <v>170.7</v>
          </cell>
        </row>
        <row r="34">
          <cell r="C34">
            <v>14.3</v>
          </cell>
          <cell r="F34">
            <v>166.2</v>
          </cell>
        </row>
        <row r="35">
          <cell r="C35">
            <v>14.1</v>
          </cell>
          <cell r="F35">
            <v>162.19999999999999</v>
          </cell>
        </row>
        <row r="36">
          <cell r="C36">
            <v>14.3</v>
          </cell>
          <cell r="F36">
            <v>163.19999999999999</v>
          </cell>
        </row>
        <row r="37">
          <cell r="C37">
            <v>14.3</v>
          </cell>
          <cell r="F37">
            <v>165.6</v>
          </cell>
        </row>
        <row r="38">
          <cell r="C38">
            <v>13.4</v>
          </cell>
          <cell r="F38">
            <v>165.7</v>
          </cell>
        </row>
        <row r="39">
          <cell r="C39">
            <v>13.5</v>
          </cell>
          <cell r="F39">
            <v>166.2</v>
          </cell>
        </row>
        <row r="40">
          <cell r="C40">
            <v>13.5</v>
          </cell>
          <cell r="F40">
            <v>166.8</v>
          </cell>
        </row>
        <row r="41">
          <cell r="C41">
            <v>14.1</v>
          </cell>
          <cell r="F41">
            <v>166.2</v>
          </cell>
        </row>
        <row r="42">
          <cell r="C42">
            <v>13.8</v>
          </cell>
          <cell r="F42">
            <v>165.2</v>
          </cell>
        </row>
        <row r="43">
          <cell r="C43">
            <v>13.8</v>
          </cell>
          <cell r="F43">
            <v>163.30000000000001</v>
          </cell>
        </row>
      </sheetData>
      <sheetData sheetId="4"/>
      <sheetData sheetId="5">
        <row r="4">
          <cell r="B4">
            <v>15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rida Klaussen" id="{D801E62D-DC9F-4842-BB1A-0F3CA42B9C94}" userId="a2b1698763463f0d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1-03-21T20:14:24.07" personId="{D801E62D-DC9F-4842-BB1A-0F3CA42B9C94}" id="{98F6CBC4-7664-4FF2-8FD4-F319E2A2F7F6}">
    <text>Fjerne?</text>
  </threadedComment>
  <threadedComment ref="G5" dT="2021-03-21T20:14:33.63" personId="{D801E62D-DC9F-4842-BB1A-0F3CA42B9C94}" id="{B4BD233C-B93C-4700-8E9F-4E8201D66126}">
    <text>Fjerne?</text>
  </threadedComment>
  <threadedComment ref="M6" dT="2021-04-12T11:19:00.70" personId="{D801E62D-DC9F-4842-BB1A-0F3CA42B9C94}" id="{96430C93-7348-47A0-9C55-ED5A80ADB0E7}">
    <text>300 er et tall for hvor mye spedevann en kan bruke pr kg fôr (Ligger mellom 300-400)</text>
  </threadedComment>
  <threadedComment ref="N6" dT="2021-03-21T20:14:15.51" personId="{D801E62D-DC9F-4842-BB1A-0F3CA42B9C94}" id="{8A0C7F93-35D4-424D-885E-AF406A06BE61}">
    <text>Denne blir også feil..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1-02-25T12:54:37.17" personId="{D801E62D-DC9F-4842-BB1A-0F3CA42B9C94}" id="{4369F480-F8C9-4435-8CE1-925C478F7949}">
    <text>Blir dette riktig?</text>
  </threadedComment>
  <threadedComment ref="E6" dT="2021-02-22T19:32:50.62" personId="{D801E62D-DC9F-4842-BB1A-0F3CA42B9C94}" id="{8E8BC536-8C73-4C12-9260-AFCFD3EE2B8A}">
    <text>Skal det her være en fôrfaktor på 1?</text>
  </threadedComment>
  <threadedComment ref="H6" dT="2021-02-22T19:32:30.12" personId="{D801E62D-DC9F-4842-BB1A-0F3CA42B9C94}" id="{E4AC853F-426C-43A0-BCBA-7870C6DD1D2D}">
    <text>Ca verdier som Sigurd fikk fra ILAB</text>
  </threadedComment>
  <threadedComment ref="M6" dT="2021-02-15T20:03:00.94" personId="{D801E62D-DC9F-4842-BB1A-0F3CA42B9C94}" id="{CD563B80-505F-4A21-B743-A00A24AC165E}">
    <text>300 er et mål for nivå av nitrat? Må spørre om dette blir riktig</text>
  </threadedComment>
  <threadedComment ref="E41" dT="2021-02-11T14:56:58.95" personId="{D801E62D-DC9F-4842-BB1A-0F3CA42B9C94}" id="{09C97ED7-4B03-4859-B08F-44518FEC5240}">
    <text>Her er fisken over 200 g og får en annen utfôringsprosent</text>
  </threadedComment>
  <threadedComment ref="E65" dT="2021-02-11T14:57:42.53" personId="{D801E62D-DC9F-4842-BB1A-0F3CA42B9C94}" id="{CFB09F26-C21F-415F-B63E-37C4F0B4201C}">
    <text>Samme skjer her med utfôringsprosenten. Men hvorfor ikke bytte den en dag før? Spiller kanskje ikke så stor rolle?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" dT="2021-03-21T20:15:03.96" personId="{D801E62D-DC9F-4842-BB1A-0F3CA42B9C94}" id="{36C7CB82-62D8-4103-8E01-E64B5CBCA4FD}">
    <text>Endre</text>
  </threadedComment>
  <threadedComment ref="B6" dT="2021-03-21T20:15:14.24" personId="{D801E62D-DC9F-4842-BB1A-0F3CA42B9C94}" id="{574D13C0-54E3-42A4-9210-E3F3DF5E1A57}">
    <text>Må kanskje endre</text>
  </threadedComment>
  <threadedComment ref="M6" dT="2021-02-15T20:03:00.94" personId="{D801E62D-DC9F-4842-BB1A-0F3CA42B9C94}" id="{B343B9C3-2FBE-4A2B-B7A5-D5E532979207}">
    <text>300 er et mål for nivå av nitrat? Må spørre om dette blir riktig</text>
  </threadedComment>
  <threadedComment ref="M6" dT="2021-03-21T20:23:13.98" personId="{D801E62D-DC9F-4842-BB1A-0F3CA42B9C94}" id="{1119F27F-5C41-487E-B4D1-54EE08DD3BFF}" parentId="{B343B9C3-2FBE-4A2B-B7A5-D5E532979207}">
    <text>Usikker på denne</text>
  </threadedComment>
  <threadedComment ref="N6" dT="2021-03-21T20:23:22.47" personId="{D801E62D-DC9F-4842-BB1A-0F3CA42B9C94}" id="{3547D6EA-5133-4A12-9117-9DC1B8724957}">
    <text>Samme med denne</text>
  </threadedComment>
  <threadedComment ref="E41" dT="2021-02-11T14:56:58.95" personId="{D801E62D-DC9F-4842-BB1A-0F3CA42B9C94}" id="{E7DFFB26-D265-46A8-AE40-0AAC6C69972A}">
    <text>Her er fisken over 200 g og får en annen utfôringsprosent</text>
  </threadedComment>
  <threadedComment ref="E65" dT="2021-02-11T14:57:42.53" personId="{D801E62D-DC9F-4842-BB1A-0F3CA42B9C94}" id="{12CCDDCC-C24A-4BC3-B120-5A2439892DB6}">
    <text>Samme skjer her med utfôringsprosenten. Men hvorfor ikke bytte den en dag før? Spiller kanskje ikke så stor rolle?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5" dT="2021-03-22T10:50:28.56" personId="{D801E62D-DC9F-4842-BB1A-0F3CA42B9C94}" id="{DE97CD19-8F6D-4218-8876-C04F6FE0F1B5}">
    <text>Treng æ å ha med denne?</text>
  </threadedComment>
  <threadedComment ref="H5" dT="2021-03-22T10:50:39.11" personId="{D801E62D-DC9F-4842-BB1A-0F3CA42B9C94}" id="{63626FB0-C315-4741-8305-CF7D9CEB57F1}">
    <text>Treng æ å ha med denne?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FD2D-DC85-4A81-A54E-030023077917}">
  <dimension ref="A1:Q35"/>
  <sheetViews>
    <sheetView workbookViewId="0">
      <selection activeCell="L3" sqref="L3"/>
    </sheetView>
  </sheetViews>
  <sheetFormatPr baseColWidth="10" defaultRowHeight="14.5" x14ac:dyDescent="0.35"/>
  <sheetData>
    <row r="1" spans="1:17" x14ac:dyDescent="0.35">
      <c r="A1" s="171" t="s">
        <v>0</v>
      </c>
      <c r="B1" s="171" t="s">
        <v>1</v>
      </c>
      <c r="C1" s="171" t="s">
        <v>2</v>
      </c>
      <c r="D1" s="171" t="s">
        <v>3</v>
      </c>
      <c r="E1" s="171" t="s">
        <v>4</v>
      </c>
      <c r="F1" s="171" t="s">
        <v>5</v>
      </c>
      <c r="G1" s="171" t="s">
        <v>6</v>
      </c>
      <c r="H1" s="171" t="s">
        <v>7</v>
      </c>
      <c r="I1" s="171" t="s">
        <v>8</v>
      </c>
      <c r="J1" s="171" t="s">
        <v>9</v>
      </c>
      <c r="K1" s="171" t="s">
        <v>10</v>
      </c>
      <c r="L1" s="171" t="s">
        <v>11</v>
      </c>
      <c r="M1" s="171" t="s">
        <v>12</v>
      </c>
      <c r="N1" s="171" t="s">
        <v>13</v>
      </c>
      <c r="O1" s="171" t="s">
        <v>14</v>
      </c>
      <c r="P1" s="171" t="s">
        <v>15</v>
      </c>
      <c r="Q1" s="171" t="s">
        <v>16</v>
      </c>
    </row>
    <row r="2" spans="1:17" x14ac:dyDescent="0.35">
      <c r="A2" s="172">
        <v>0.34</v>
      </c>
      <c r="B2" s="172">
        <v>0.38</v>
      </c>
      <c r="C2" s="172">
        <v>0.68</v>
      </c>
      <c r="D2" s="172">
        <v>0.76</v>
      </c>
      <c r="E2" s="172">
        <v>1.02</v>
      </c>
      <c r="F2" s="172">
        <v>1.1299999999999999</v>
      </c>
      <c r="G2" s="172">
        <v>1.38</v>
      </c>
      <c r="H2" s="172">
        <v>1.53</v>
      </c>
      <c r="I2" s="172">
        <v>1.71</v>
      </c>
      <c r="J2" s="173">
        <v>1.9</v>
      </c>
      <c r="K2" s="172">
        <v>2.06</v>
      </c>
      <c r="L2" s="173">
        <v>2.29</v>
      </c>
      <c r="M2" s="172">
        <v>2.39</v>
      </c>
      <c r="N2" s="173">
        <v>2.65</v>
      </c>
      <c r="O2" s="172">
        <v>2.71</v>
      </c>
      <c r="P2" s="172">
        <v>3.01</v>
      </c>
      <c r="Q2" s="172">
        <v>2.71</v>
      </c>
    </row>
    <row r="3" spans="1:17" x14ac:dyDescent="0.35">
      <c r="A3" s="172">
        <v>0.27</v>
      </c>
      <c r="B3" s="172">
        <v>0.3</v>
      </c>
      <c r="C3" s="172">
        <v>0.59</v>
      </c>
      <c r="D3" s="172">
        <v>0.65</v>
      </c>
      <c r="E3" s="172">
        <v>0.86</v>
      </c>
      <c r="F3" s="172">
        <v>0.95</v>
      </c>
      <c r="G3" s="172">
        <v>1.1299999999999999</v>
      </c>
      <c r="H3" s="172">
        <v>1.25</v>
      </c>
      <c r="I3" s="172">
        <v>1.44</v>
      </c>
      <c r="J3" s="174">
        <v>1.6</v>
      </c>
      <c r="K3" s="172">
        <v>1.71</v>
      </c>
      <c r="L3" s="174">
        <v>1.9</v>
      </c>
      <c r="M3" s="172">
        <v>1.98</v>
      </c>
      <c r="N3" s="174">
        <v>2.2000000000000002</v>
      </c>
      <c r="O3" s="172">
        <v>2.2999999999999998</v>
      </c>
      <c r="P3" s="172">
        <v>2.5499999999999998</v>
      </c>
      <c r="Q3" s="172">
        <v>2.2999999999999998</v>
      </c>
    </row>
    <row r="4" spans="1:17" x14ac:dyDescent="0.35">
      <c r="A4" s="172">
        <v>0.27</v>
      </c>
      <c r="B4" s="172">
        <v>0.3</v>
      </c>
      <c r="C4" s="172">
        <v>0.51</v>
      </c>
      <c r="D4" s="172">
        <v>0.56999999999999995</v>
      </c>
      <c r="E4" s="172">
        <v>0.78</v>
      </c>
      <c r="F4" s="172">
        <v>0.87</v>
      </c>
      <c r="G4" s="172">
        <v>1.02</v>
      </c>
      <c r="H4" s="172">
        <v>1.1299999999999999</v>
      </c>
      <c r="I4" s="172">
        <v>1.29</v>
      </c>
      <c r="J4" s="174">
        <v>1.43</v>
      </c>
      <c r="K4" s="172">
        <v>1.56</v>
      </c>
      <c r="L4" s="174">
        <v>1.73</v>
      </c>
      <c r="M4" s="172">
        <v>1.8</v>
      </c>
      <c r="N4" s="174">
        <v>2</v>
      </c>
      <c r="O4" s="172">
        <v>2.1</v>
      </c>
      <c r="P4" s="172">
        <v>2.33</v>
      </c>
      <c r="Q4" s="172">
        <v>2.1</v>
      </c>
    </row>
    <row r="5" spans="1:17" x14ac:dyDescent="0.35">
      <c r="A5" s="172">
        <v>0.25</v>
      </c>
      <c r="B5" s="172">
        <v>0.28000000000000003</v>
      </c>
      <c r="C5" s="172">
        <v>0.48</v>
      </c>
      <c r="D5" s="172">
        <v>0.53</v>
      </c>
      <c r="E5" s="172">
        <v>0.72</v>
      </c>
      <c r="F5" s="172">
        <v>0.8</v>
      </c>
      <c r="G5" s="172">
        <v>0.97</v>
      </c>
      <c r="H5" s="172">
        <v>1.08</v>
      </c>
      <c r="I5" s="172">
        <v>1.22</v>
      </c>
      <c r="J5" s="174">
        <v>1.35</v>
      </c>
      <c r="K5" s="172">
        <v>1.44</v>
      </c>
      <c r="L5" s="174">
        <v>1.6</v>
      </c>
      <c r="M5" s="172">
        <v>1.69</v>
      </c>
      <c r="N5" s="174">
        <v>1.88</v>
      </c>
      <c r="O5" s="172">
        <v>1.92</v>
      </c>
      <c r="P5" s="172">
        <v>2.13</v>
      </c>
      <c r="Q5" s="172">
        <v>1.92</v>
      </c>
    </row>
    <row r="6" spans="1:17" x14ac:dyDescent="0.35">
      <c r="A6" s="172">
        <v>0.23</v>
      </c>
      <c r="B6" s="172">
        <v>0.26</v>
      </c>
      <c r="C6" s="172">
        <v>0.45</v>
      </c>
      <c r="D6" s="172">
        <v>0.5</v>
      </c>
      <c r="E6" s="172">
        <v>0.68</v>
      </c>
      <c r="F6" s="172">
        <v>0.76</v>
      </c>
      <c r="G6" s="172">
        <v>0.92</v>
      </c>
      <c r="H6" s="172">
        <v>1.02</v>
      </c>
      <c r="I6" s="172">
        <v>1.1499999999999999</v>
      </c>
      <c r="J6" s="174">
        <v>1.28</v>
      </c>
      <c r="K6" s="172">
        <v>1.37</v>
      </c>
      <c r="L6" s="174">
        <v>1.52</v>
      </c>
      <c r="M6" s="172">
        <v>1.6</v>
      </c>
      <c r="N6" s="174">
        <v>1.78</v>
      </c>
      <c r="O6" s="172">
        <v>1.82</v>
      </c>
      <c r="P6" s="172">
        <v>2.02</v>
      </c>
      <c r="Q6" s="172">
        <v>1.82</v>
      </c>
    </row>
    <row r="7" spans="1:17" x14ac:dyDescent="0.35">
      <c r="A7" s="172">
        <v>0.23</v>
      </c>
      <c r="B7" s="172">
        <v>0.25</v>
      </c>
      <c r="C7" s="172">
        <v>0.43</v>
      </c>
      <c r="D7" s="172">
        <v>0.48</v>
      </c>
      <c r="E7" s="172">
        <v>0.66</v>
      </c>
      <c r="F7" s="172">
        <v>0.73</v>
      </c>
      <c r="G7" s="172">
        <v>0.87</v>
      </c>
      <c r="H7" s="172">
        <v>0.97</v>
      </c>
      <c r="I7" s="172">
        <v>1.1000000000000001</v>
      </c>
      <c r="J7" s="172">
        <v>1.22</v>
      </c>
      <c r="K7" s="172">
        <v>1.31</v>
      </c>
      <c r="L7" s="172">
        <v>1.45</v>
      </c>
      <c r="M7" s="172">
        <v>1.53</v>
      </c>
      <c r="N7" s="172">
        <v>1.7</v>
      </c>
      <c r="O7" s="172">
        <v>1.74</v>
      </c>
      <c r="P7" s="172">
        <v>1.93</v>
      </c>
      <c r="Q7" s="172">
        <v>1.74</v>
      </c>
    </row>
    <row r="8" spans="1:17" x14ac:dyDescent="0.35">
      <c r="A8" s="172">
        <v>0.21</v>
      </c>
      <c r="B8" s="172">
        <v>0.23</v>
      </c>
      <c r="C8" s="172">
        <v>0.42</v>
      </c>
      <c r="D8" s="172">
        <v>0.47</v>
      </c>
      <c r="E8" s="172">
        <v>0.63</v>
      </c>
      <c r="F8" s="172">
        <v>0.7</v>
      </c>
      <c r="G8" s="172">
        <v>0.85</v>
      </c>
      <c r="H8" s="172">
        <v>0.94</v>
      </c>
      <c r="I8" s="172">
        <v>1.05</v>
      </c>
      <c r="J8" s="172">
        <v>1.17</v>
      </c>
      <c r="K8" s="172">
        <v>1.26</v>
      </c>
      <c r="L8" s="172">
        <v>1.4</v>
      </c>
      <c r="M8" s="172">
        <v>1.48</v>
      </c>
      <c r="N8" s="172">
        <v>1.64</v>
      </c>
      <c r="O8" s="172">
        <v>1.68</v>
      </c>
      <c r="P8" s="172">
        <v>1.87</v>
      </c>
      <c r="Q8" s="172">
        <v>1.68</v>
      </c>
    </row>
    <row r="9" spans="1:17" x14ac:dyDescent="0.35">
      <c r="A9" s="172">
        <v>0.21</v>
      </c>
      <c r="B9" s="172">
        <v>0.23</v>
      </c>
      <c r="C9" s="172">
        <v>0.41</v>
      </c>
      <c r="D9" s="172">
        <v>0.45</v>
      </c>
      <c r="E9" s="172">
        <v>0.61</v>
      </c>
      <c r="F9" s="172">
        <v>0.68</v>
      </c>
      <c r="G9" s="172">
        <v>0.81</v>
      </c>
      <c r="H9" s="172">
        <v>0.9</v>
      </c>
      <c r="I9" s="172">
        <v>1.03</v>
      </c>
      <c r="J9" s="172">
        <v>1.1399999999999999</v>
      </c>
      <c r="K9" s="172">
        <v>1.22</v>
      </c>
      <c r="L9" s="172">
        <v>1.36</v>
      </c>
      <c r="M9" s="172">
        <v>1.43</v>
      </c>
      <c r="N9" s="172">
        <v>1.59</v>
      </c>
      <c r="O9" s="172">
        <v>1.62</v>
      </c>
      <c r="P9" s="172">
        <v>1.8</v>
      </c>
      <c r="Q9" s="172">
        <v>1.62</v>
      </c>
    </row>
    <row r="10" spans="1:17" x14ac:dyDescent="0.35">
      <c r="A10" s="172">
        <v>0.2</v>
      </c>
      <c r="B10" s="172">
        <v>0.22</v>
      </c>
      <c r="C10" s="172">
        <v>0.4</v>
      </c>
      <c r="D10" s="172">
        <v>0.44</v>
      </c>
      <c r="E10" s="172">
        <v>0.59</v>
      </c>
      <c r="F10" s="172">
        <v>0.66</v>
      </c>
      <c r="G10" s="172">
        <v>0.79</v>
      </c>
      <c r="H10" s="172">
        <v>0.88</v>
      </c>
      <c r="I10" s="172">
        <v>0.99</v>
      </c>
      <c r="J10" s="172">
        <v>1.1000000000000001</v>
      </c>
      <c r="K10" s="172">
        <v>1.18</v>
      </c>
      <c r="L10" s="172">
        <v>1.31</v>
      </c>
      <c r="M10" s="172">
        <v>1.39</v>
      </c>
      <c r="N10" s="172">
        <v>1.54</v>
      </c>
      <c r="O10" s="172">
        <v>1.58</v>
      </c>
      <c r="P10" s="172">
        <v>1.76</v>
      </c>
      <c r="Q10" s="172">
        <v>1.58</v>
      </c>
    </row>
    <row r="11" spans="1:17" x14ac:dyDescent="0.35">
      <c r="A11" s="172">
        <v>0.19</v>
      </c>
      <c r="B11" s="172">
        <v>0.21</v>
      </c>
      <c r="C11" s="172">
        <v>0.39</v>
      </c>
      <c r="D11" s="172">
        <v>0.43</v>
      </c>
      <c r="E11" s="172">
        <v>0.57999999999999996</v>
      </c>
      <c r="F11" s="172">
        <v>0.64</v>
      </c>
      <c r="G11" s="172">
        <v>0.77</v>
      </c>
      <c r="H11" s="172">
        <v>0.86</v>
      </c>
      <c r="I11" s="172">
        <v>0.96</v>
      </c>
      <c r="J11" s="172">
        <v>1.07</v>
      </c>
      <c r="K11" s="172">
        <v>1.1599999999999999</v>
      </c>
      <c r="L11" s="172">
        <v>1.28</v>
      </c>
      <c r="M11" s="172">
        <v>1.34</v>
      </c>
      <c r="N11" s="172">
        <v>1.49</v>
      </c>
      <c r="O11" s="172">
        <v>1.54</v>
      </c>
      <c r="P11" s="172">
        <v>1.71</v>
      </c>
      <c r="Q11" s="172">
        <v>1.54</v>
      </c>
    </row>
    <row r="12" spans="1:17" x14ac:dyDescent="0.35">
      <c r="A12" s="172">
        <v>0.19</v>
      </c>
      <c r="B12" s="172">
        <v>0.21</v>
      </c>
      <c r="C12" s="172">
        <v>0.38</v>
      </c>
      <c r="D12" s="172">
        <v>0.42</v>
      </c>
      <c r="E12" s="172">
        <v>0.56999999999999995</v>
      </c>
      <c r="F12" s="172">
        <v>0.63</v>
      </c>
      <c r="G12" s="172">
        <v>0.76</v>
      </c>
      <c r="H12" s="172">
        <v>0.84</v>
      </c>
      <c r="I12" s="172">
        <v>0.94</v>
      </c>
      <c r="J12" s="172">
        <v>1.04</v>
      </c>
      <c r="K12" s="172">
        <v>1.1299999999999999</v>
      </c>
      <c r="L12" s="172">
        <v>1.25</v>
      </c>
      <c r="M12" s="172">
        <v>1.31</v>
      </c>
      <c r="N12" s="172">
        <v>1.45</v>
      </c>
      <c r="O12" s="172">
        <v>1.5</v>
      </c>
      <c r="P12" s="172">
        <v>1.67</v>
      </c>
      <c r="Q12" s="172">
        <v>1.5</v>
      </c>
    </row>
    <row r="13" spans="1:17" x14ac:dyDescent="0.35">
      <c r="A13" s="172">
        <v>0.18</v>
      </c>
      <c r="B13" s="172">
        <v>0.21</v>
      </c>
      <c r="C13" s="172">
        <v>0.36</v>
      </c>
      <c r="D13" s="172">
        <v>0.41</v>
      </c>
      <c r="E13" s="172">
        <v>0.55000000000000004</v>
      </c>
      <c r="F13" s="172">
        <v>0.61</v>
      </c>
      <c r="G13" s="172">
        <v>0.73</v>
      </c>
      <c r="H13" s="172">
        <v>0.82</v>
      </c>
      <c r="I13" s="172">
        <v>0.91</v>
      </c>
      <c r="J13" s="172">
        <v>1.01</v>
      </c>
      <c r="K13" s="172">
        <v>1.1000000000000001</v>
      </c>
      <c r="L13" s="172">
        <v>1.22</v>
      </c>
      <c r="M13" s="172">
        <v>1.28</v>
      </c>
      <c r="N13" s="172">
        <v>1.42</v>
      </c>
      <c r="O13" s="172">
        <v>1.46</v>
      </c>
      <c r="P13" s="172">
        <v>1.63</v>
      </c>
      <c r="Q13" s="172">
        <v>1.45</v>
      </c>
    </row>
    <row r="14" spans="1:17" x14ac:dyDescent="0.35">
      <c r="A14" s="172">
        <v>0.18</v>
      </c>
      <c r="B14" s="172">
        <v>0.2</v>
      </c>
      <c r="C14" s="172">
        <v>0.35</v>
      </c>
      <c r="D14" s="172">
        <v>0.39</v>
      </c>
      <c r="E14" s="172">
        <v>0.53</v>
      </c>
      <c r="F14" s="172">
        <v>0.59</v>
      </c>
      <c r="G14" s="172">
        <v>0.71</v>
      </c>
      <c r="H14" s="172">
        <v>0.79</v>
      </c>
      <c r="I14" s="172">
        <v>0.88</v>
      </c>
      <c r="J14" s="172">
        <v>0.98</v>
      </c>
      <c r="K14" s="172">
        <v>1.07</v>
      </c>
      <c r="L14" s="172">
        <v>1.19</v>
      </c>
      <c r="M14" s="172">
        <v>1.25</v>
      </c>
      <c r="N14" s="172">
        <v>1.39</v>
      </c>
      <c r="O14" s="172">
        <v>1.42</v>
      </c>
      <c r="P14" s="172">
        <v>1.58</v>
      </c>
      <c r="Q14" s="172">
        <v>1.42</v>
      </c>
    </row>
    <row r="15" spans="1:17" x14ac:dyDescent="0.35">
      <c r="A15" s="172">
        <v>0.18</v>
      </c>
      <c r="B15" s="172">
        <v>0.2</v>
      </c>
      <c r="C15" s="172">
        <v>0.35</v>
      </c>
      <c r="D15" s="172">
        <v>0.39</v>
      </c>
      <c r="E15" s="172">
        <v>0.52</v>
      </c>
      <c r="F15" s="172">
        <v>0.57999999999999996</v>
      </c>
      <c r="G15" s="172">
        <v>0.69</v>
      </c>
      <c r="H15" s="172">
        <v>0.77</v>
      </c>
      <c r="I15" s="172">
        <v>0.86</v>
      </c>
      <c r="J15" s="172">
        <v>0.96</v>
      </c>
      <c r="K15" s="172">
        <v>1.04</v>
      </c>
      <c r="L15" s="172">
        <v>1.1599999999999999</v>
      </c>
      <c r="M15" s="172">
        <v>1.22</v>
      </c>
      <c r="N15" s="172">
        <v>1.36</v>
      </c>
      <c r="O15" s="172">
        <v>1.39</v>
      </c>
      <c r="P15" s="172">
        <v>1.55</v>
      </c>
      <c r="Q15" s="172">
        <v>1.39</v>
      </c>
    </row>
    <row r="16" spans="1:17" x14ac:dyDescent="0.35">
      <c r="A16" s="172">
        <v>0.17</v>
      </c>
      <c r="B16" s="172">
        <v>0.19</v>
      </c>
      <c r="C16" s="172">
        <v>0.34</v>
      </c>
      <c r="D16" s="172">
        <v>0.38</v>
      </c>
      <c r="E16" s="172">
        <v>0.51</v>
      </c>
      <c r="F16" s="172">
        <v>0.56999999999999995</v>
      </c>
      <c r="G16" s="172">
        <v>0.68</v>
      </c>
      <c r="H16" s="172">
        <v>0.75</v>
      </c>
      <c r="I16" s="172">
        <v>0.85</v>
      </c>
      <c r="J16" s="172">
        <v>0.94</v>
      </c>
      <c r="K16" s="172">
        <v>1.02</v>
      </c>
      <c r="L16" s="172">
        <v>1.1299999999999999</v>
      </c>
      <c r="M16" s="172">
        <v>1.19</v>
      </c>
      <c r="N16" s="172">
        <v>1.32</v>
      </c>
      <c r="O16" s="172">
        <v>1.36</v>
      </c>
      <c r="P16" s="172">
        <v>1.51</v>
      </c>
      <c r="Q16" s="172">
        <v>1.36</v>
      </c>
    </row>
    <row r="17" spans="1:17" x14ac:dyDescent="0.35">
      <c r="A17" s="172">
        <v>0.17</v>
      </c>
      <c r="B17" s="172">
        <v>0.19</v>
      </c>
      <c r="C17" s="172">
        <v>0.33</v>
      </c>
      <c r="D17" s="172">
        <v>0.37</v>
      </c>
      <c r="E17" s="172">
        <v>0.5</v>
      </c>
      <c r="F17" s="172">
        <v>0.56000000000000005</v>
      </c>
      <c r="G17" s="172">
        <v>0.66</v>
      </c>
      <c r="H17" s="172">
        <v>0.74</v>
      </c>
      <c r="I17" s="172">
        <v>0.83</v>
      </c>
      <c r="J17" s="172">
        <v>0.92</v>
      </c>
      <c r="K17" s="172">
        <v>0.99</v>
      </c>
      <c r="L17" s="172">
        <v>1.1100000000000001</v>
      </c>
      <c r="M17" s="172">
        <v>1.1599999999999999</v>
      </c>
      <c r="N17" s="172">
        <v>1.29</v>
      </c>
      <c r="O17" s="172">
        <v>1.33</v>
      </c>
      <c r="P17" s="172">
        <v>1.48</v>
      </c>
      <c r="Q17" s="172">
        <v>1.33</v>
      </c>
    </row>
    <row r="18" spans="1:17" x14ac:dyDescent="0.35">
      <c r="A18" s="172">
        <v>0.16</v>
      </c>
      <c r="B18" s="172">
        <v>0.18</v>
      </c>
      <c r="C18" s="172">
        <v>0.32</v>
      </c>
      <c r="D18" s="172">
        <v>0.36</v>
      </c>
      <c r="E18" s="172">
        <v>0.49</v>
      </c>
      <c r="F18" s="172">
        <v>0.54</v>
      </c>
      <c r="G18" s="172">
        <v>0.65</v>
      </c>
      <c r="H18" s="172">
        <v>0.72</v>
      </c>
      <c r="I18" s="172">
        <v>0.81</v>
      </c>
      <c r="J18" s="172">
        <v>0.9</v>
      </c>
      <c r="K18" s="172">
        <v>0.97</v>
      </c>
      <c r="L18" s="172">
        <v>1.08</v>
      </c>
      <c r="M18" s="172">
        <v>1.1299999999999999</v>
      </c>
      <c r="N18" s="172">
        <v>1.26</v>
      </c>
      <c r="O18" s="172">
        <v>1.3</v>
      </c>
      <c r="P18" s="172">
        <v>1.44</v>
      </c>
      <c r="Q18" s="172">
        <v>1.3</v>
      </c>
    </row>
    <row r="19" spans="1:17" x14ac:dyDescent="0.35">
      <c r="A19" s="172">
        <v>0.16</v>
      </c>
      <c r="B19" s="172">
        <v>0.18</v>
      </c>
      <c r="C19" s="172">
        <v>0.32</v>
      </c>
      <c r="D19" s="172">
        <v>0.35</v>
      </c>
      <c r="E19" s="172">
        <v>0.48</v>
      </c>
      <c r="F19" s="172">
        <v>0.53</v>
      </c>
      <c r="G19" s="172">
        <v>0.63</v>
      </c>
      <c r="H19" s="172">
        <v>0.71</v>
      </c>
      <c r="I19" s="172">
        <v>0.79</v>
      </c>
      <c r="J19" s="172">
        <v>0.88</v>
      </c>
      <c r="K19" s="172">
        <v>0.95</v>
      </c>
      <c r="L19" s="172">
        <v>1.06</v>
      </c>
      <c r="M19" s="172">
        <v>1.1100000000000001</v>
      </c>
      <c r="N19" s="172">
        <v>1.24</v>
      </c>
      <c r="O19" s="172">
        <v>1.26</v>
      </c>
      <c r="P19" s="172">
        <v>1.41</v>
      </c>
      <c r="Q19" s="172">
        <v>1.26</v>
      </c>
    </row>
    <row r="20" spans="1:17" x14ac:dyDescent="0.35">
      <c r="A20" s="172">
        <v>0.15</v>
      </c>
      <c r="B20" s="172">
        <v>0.17</v>
      </c>
      <c r="C20" s="172">
        <v>0.31</v>
      </c>
      <c r="D20" s="172">
        <v>0.34</v>
      </c>
      <c r="E20" s="172">
        <v>0.47</v>
      </c>
      <c r="F20" s="172">
        <v>0.52</v>
      </c>
      <c r="G20" s="172">
        <v>0.62</v>
      </c>
      <c r="H20" s="172">
        <v>0.69</v>
      </c>
      <c r="I20" s="172">
        <v>0.77</v>
      </c>
      <c r="J20" s="172">
        <v>0.8</v>
      </c>
      <c r="K20" s="172">
        <v>0.9</v>
      </c>
      <c r="L20" s="172">
        <v>1</v>
      </c>
      <c r="M20" s="172">
        <v>1.0900000000000001</v>
      </c>
      <c r="N20" s="172">
        <v>1.1499999999999999</v>
      </c>
      <c r="O20" s="172">
        <v>1.1000000000000001</v>
      </c>
      <c r="P20" s="172">
        <v>1.25</v>
      </c>
      <c r="Q20" s="172">
        <v>1.2</v>
      </c>
    </row>
    <row r="21" spans="1:17" x14ac:dyDescent="0.35">
      <c r="A21" s="172">
        <v>0.15</v>
      </c>
      <c r="B21" s="172">
        <v>0.17</v>
      </c>
      <c r="C21" s="172">
        <v>0.3</v>
      </c>
      <c r="D21" s="172">
        <v>0.3</v>
      </c>
      <c r="E21" s="172">
        <v>0.35</v>
      </c>
      <c r="F21" s="172">
        <v>0.42</v>
      </c>
      <c r="G21" s="172">
        <v>0.47</v>
      </c>
      <c r="H21" s="172">
        <v>0.55000000000000004</v>
      </c>
      <c r="I21" s="172">
        <v>0.62</v>
      </c>
      <c r="J21" s="172">
        <v>0.7</v>
      </c>
      <c r="K21" s="172">
        <v>0.75</v>
      </c>
      <c r="L21" s="172">
        <v>0.8</v>
      </c>
      <c r="M21" s="172">
        <v>0.9</v>
      </c>
      <c r="N21" s="172">
        <v>1</v>
      </c>
      <c r="O21" s="172">
        <v>1</v>
      </c>
      <c r="P21" s="172">
        <v>0.9</v>
      </c>
      <c r="Q21" s="172">
        <v>0.9</v>
      </c>
    </row>
    <row r="22" spans="1:17" x14ac:dyDescent="0.35">
      <c r="A22" s="172">
        <v>0.14000000000000001</v>
      </c>
      <c r="B22" s="172">
        <v>0.16</v>
      </c>
      <c r="C22" s="172">
        <v>0.28999999999999998</v>
      </c>
      <c r="D22" s="172">
        <v>0.3</v>
      </c>
      <c r="E22" s="172">
        <v>0.34</v>
      </c>
      <c r="F22" s="172">
        <v>0.42</v>
      </c>
      <c r="G22" s="172">
        <v>0.47</v>
      </c>
      <c r="H22" s="172">
        <v>0.55000000000000004</v>
      </c>
      <c r="I22" s="172">
        <v>0.62</v>
      </c>
      <c r="J22" s="172">
        <v>0.68</v>
      </c>
      <c r="K22" s="172">
        <v>0.74</v>
      </c>
      <c r="L22" s="172">
        <v>0.79</v>
      </c>
      <c r="M22" s="172">
        <v>0.85</v>
      </c>
      <c r="N22" s="172">
        <v>0.95</v>
      </c>
      <c r="O22" s="172">
        <v>0.95</v>
      </c>
      <c r="P22" s="172">
        <v>0.88</v>
      </c>
      <c r="Q22" s="172">
        <v>0.88</v>
      </c>
    </row>
    <row r="23" spans="1:17" x14ac:dyDescent="0.35">
      <c r="A23" s="172">
        <v>0.14000000000000001</v>
      </c>
      <c r="B23" s="172">
        <v>0.16</v>
      </c>
      <c r="C23" s="172">
        <v>0.27</v>
      </c>
      <c r="D23" s="172">
        <v>0.3</v>
      </c>
      <c r="E23" s="172">
        <v>0.33</v>
      </c>
      <c r="F23" s="172">
        <v>0.4</v>
      </c>
      <c r="G23" s="172">
        <v>0.47</v>
      </c>
      <c r="H23" s="172">
        <v>0.55000000000000004</v>
      </c>
      <c r="I23" s="172">
        <v>0.62</v>
      </c>
      <c r="J23" s="172">
        <v>0.66</v>
      </c>
      <c r="K23" s="172">
        <v>0.73</v>
      </c>
      <c r="L23" s="172">
        <v>0.78</v>
      </c>
      <c r="M23" s="172">
        <v>0.83</v>
      </c>
      <c r="N23" s="172">
        <v>0.9</v>
      </c>
      <c r="O23" s="172">
        <v>0.9</v>
      </c>
      <c r="P23" s="172">
        <v>0.87</v>
      </c>
      <c r="Q23" s="172">
        <v>0.87</v>
      </c>
    </row>
    <row r="24" spans="1:17" x14ac:dyDescent="0.35">
      <c r="A24" s="172">
        <v>0.14000000000000001</v>
      </c>
      <c r="B24" s="172">
        <v>0.15</v>
      </c>
      <c r="C24" s="172">
        <v>0.26</v>
      </c>
      <c r="D24" s="172">
        <v>0.28999999999999998</v>
      </c>
      <c r="E24" s="172">
        <v>0.32</v>
      </c>
      <c r="F24" s="172">
        <v>0.42</v>
      </c>
      <c r="G24" s="172">
        <v>0.47</v>
      </c>
      <c r="H24" s="172">
        <v>0.55000000000000004</v>
      </c>
      <c r="I24" s="172">
        <v>0.62</v>
      </c>
      <c r="J24" s="172">
        <v>0.64</v>
      </c>
      <c r="K24" s="172">
        <v>0.7</v>
      </c>
      <c r="L24" s="172">
        <v>0.77</v>
      </c>
      <c r="M24" s="172">
        <v>0.8</v>
      </c>
      <c r="N24" s="172">
        <v>0.9</v>
      </c>
      <c r="O24" s="172">
        <v>0.9</v>
      </c>
      <c r="P24" s="172">
        <v>0.86</v>
      </c>
      <c r="Q24" s="172">
        <v>0.86</v>
      </c>
    </row>
    <row r="25" spans="1:17" x14ac:dyDescent="0.35">
      <c r="A25" s="172">
        <v>0.13</v>
      </c>
      <c r="B25" s="172">
        <v>0.14000000000000001</v>
      </c>
      <c r="C25" s="172">
        <v>0.25</v>
      </c>
      <c r="D25" s="172">
        <v>0.28000000000000003</v>
      </c>
      <c r="E25" s="172">
        <v>0.32</v>
      </c>
      <c r="F25" s="172">
        <v>0.42</v>
      </c>
      <c r="G25" s="172">
        <v>0.47</v>
      </c>
      <c r="H25" s="172">
        <v>0.5</v>
      </c>
      <c r="I25" s="172">
        <v>0.55000000000000004</v>
      </c>
      <c r="J25" s="172">
        <v>0.6</v>
      </c>
      <c r="K25" s="172">
        <v>0.65</v>
      </c>
      <c r="L25" s="172">
        <v>0.76</v>
      </c>
      <c r="M25" s="172">
        <v>0.8</v>
      </c>
      <c r="N25" s="172">
        <v>0.85</v>
      </c>
      <c r="O25" s="172">
        <v>0.9</v>
      </c>
      <c r="P25" s="172">
        <v>0.85</v>
      </c>
      <c r="Q25" s="172">
        <v>0.85</v>
      </c>
    </row>
    <row r="26" spans="1:17" x14ac:dyDescent="0.35">
      <c r="A26" s="172">
        <v>0.12</v>
      </c>
      <c r="B26" s="172">
        <v>0.13</v>
      </c>
      <c r="C26" s="172">
        <v>0.23</v>
      </c>
      <c r="D26" s="172">
        <v>0.26</v>
      </c>
      <c r="E26" s="172">
        <v>0.33</v>
      </c>
      <c r="F26" s="172">
        <v>0.4</v>
      </c>
      <c r="G26" s="172">
        <v>0.47</v>
      </c>
      <c r="H26" s="172">
        <v>0.5</v>
      </c>
      <c r="I26" s="172">
        <v>0.54</v>
      </c>
      <c r="J26" s="172">
        <v>0.59</v>
      </c>
      <c r="K26" s="172">
        <v>0.64</v>
      </c>
      <c r="L26" s="172">
        <v>0.75</v>
      </c>
      <c r="M26" s="172">
        <v>0.79</v>
      </c>
      <c r="N26" s="172">
        <v>0.84</v>
      </c>
      <c r="O26" s="172">
        <v>0.89</v>
      </c>
      <c r="P26" s="172">
        <v>0.84</v>
      </c>
      <c r="Q26" s="172">
        <v>0.84</v>
      </c>
    </row>
    <row r="27" spans="1:17" x14ac:dyDescent="0.35">
      <c r="A27" s="172">
        <v>0.12</v>
      </c>
      <c r="B27" s="172">
        <v>0.13</v>
      </c>
      <c r="C27" s="172">
        <v>0.23</v>
      </c>
      <c r="D27" s="172">
        <v>0.26</v>
      </c>
      <c r="E27" s="172">
        <v>0.35</v>
      </c>
      <c r="F27" s="172">
        <v>0.39</v>
      </c>
      <c r="G27" s="172">
        <v>0.46</v>
      </c>
      <c r="H27" s="172">
        <v>0.5</v>
      </c>
      <c r="I27" s="172">
        <v>0.53</v>
      </c>
      <c r="J27" s="172">
        <v>0.57999999999999996</v>
      </c>
      <c r="K27" s="172">
        <v>0.63</v>
      </c>
      <c r="L27" s="172">
        <v>0.74</v>
      </c>
      <c r="M27" s="172">
        <v>0.78</v>
      </c>
      <c r="N27" s="172">
        <v>0.83</v>
      </c>
      <c r="O27" s="172">
        <v>0.88</v>
      </c>
      <c r="P27" s="172">
        <v>0.83</v>
      </c>
      <c r="Q27" s="172">
        <v>0.83</v>
      </c>
    </row>
    <row r="28" spans="1:17" x14ac:dyDescent="0.35">
      <c r="A28" s="172">
        <v>0.12</v>
      </c>
      <c r="B28" s="172">
        <v>0.13</v>
      </c>
      <c r="C28" s="172">
        <v>0.23</v>
      </c>
      <c r="D28" s="172">
        <v>0.25</v>
      </c>
      <c r="E28" s="172">
        <v>0.33</v>
      </c>
      <c r="F28" s="172">
        <v>0.35</v>
      </c>
      <c r="G28" s="172">
        <v>0.45</v>
      </c>
      <c r="H28" s="172">
        <v>0.5</v>
      </c>
      <c r="I28" s="172">
        <v>0.52</v>
      </c>
      <c r="J28" s="172">
        <v>0.56999999999999995</v>
      </c>
      <c r="K28" s="172">
        <v>0.62</v>
      </c>
      <c r="L28" s="172">
        <v>0.73</v>
      </c>
      <c r="M28" s="172">
        <v>0.77</v>
      </c>
      <c r="N28" s="172">
        <v>0.82</v>
      </c>
      <c r="O28" s="172">
        <v>0.87</v>
      </c>
      <c r="P28" s="172">
        <v>0.82</v>
      </c>
      <c r="Q28" s="172">
        <v>0.82</v>
      </c>
    </row>
    <row r="29" spans="1:17" x14ac:dyDescent="0.35">
      <c r="A29" s="172">
        <v>0.11</v>
      </c>
      <c r="B29" s="172">
        <v>0.13</v>
      </c>
      <c r="C29" s="172">
        <v>0.22</v>
      </c>
      <c r="D29" s="172">
        <v>0.25</v>
      </c>
      <c r="E29" s="172">
        <v>0.32</v>
      </c>
      <c r="F29" s="172">
        <v>0.33</v>
      </c>
      <c r="G29" s="172">
        <v>0.44</v>
      </c>
      <c r="H29" s="172">
        <v>0.5</v>
      </c>
      <c r="I29" s="172">
        <v>0.51</v>
      </c>
      <c r="J29" s="172">
        <v>0.56000000000000005</v>
      </c>
      <c r="K29" s="172">
        <v>0.61</v>
      </c>
      <c r="L29" s="172">
        <v>0.72</v>
      </c>
      <c r="M29" s="172">
        <v>0.76</v>
      </c>
      <c r="N29" s="172">
        <v>0.81</v>
      </c>
      <c r="O29" s="172">
        <v>0.86</v>
      </c>
      <c r="P29" s="172">
        <v>0.81</v>
      </c>
      <c r="Q29" s="172">
        <v>0.81</v>
      </c>
    </row>
    <row r="30" spans="1:17" x14ac:dyDescent="0.35">
      <c r="A30" s="172">
        <v>0.11</v>
      </c>
      <c r="B30" s="172">
        <v>0.12</v>
      </c>
      <c r="C30" s="172">
        <v>0.22</v>
      </c>
      <c r="D30" s="172">
        <v>0.24</v>
      </c>
      <c r="E30" s="172">
        <v>0.31</v>
      </c>
      <c r="F30" s="172">
        <v>0.3</v>
      </c>
      <c r="G30" s="172">
        <v>0.43</v>
      </c>
      <c r="H30" s="172">
        <v>0.48</v>
      </c>
      <c r="I30" s="172">
        <v>0.5</v>
      </c>
      <c r="J30" s="172">
        <v>0.55000000000000004</v>
      </c>
      <c r="K30" s="172">
        <v>0.6</v>
      </c>
      <c r="L30" s="172">
        <v>0.71</v>
      </c>
      <c r="M30" s="172">
        <v>0.75</v>
      </c>
      <c r="N30" s="172">
        <v>0.8</v>
      </c>
      <c r="O30" s="172">
        <v>0.85</v>
      </c>
      <c r="P30" s="172">
        <v>0.8</v>
      </c>
      <c r="Q30" s="172">
        <v>0.8</v>
      </c>
    </row>
    <row r="31" spans="1:17" x14ac:dyDescent="0.35">
      <c r="A31" s="172">
        <v>0.1</v>
      </c>
      <c r="B31" s="172">
        <v>0.12</v>
      </c>
      <c r="C31" s="172">
        <v>0.21</v>
      </c>
      <c r="D31" s="172">
        <v>0.24</v>
      </c>
      <c r="E31" s="172">
        <v>0.3</v>
      </c>
      <c r="F31" s="172">
        <v>0.3</v>
      </c>
      <c r="G31" s="172">
        <v>0.43</v>
      </c>
      <c r="H31" s="172">
        <v>0.47</v>
      </c>
      <c r="I31" s="172">
        <v>0.49</v>
      </c>
      <c r="J31" s="172">
        <v>0.54</v>
      </c>
      <c r="K31" s="172">
        <v>0.59</v>
      </c>
      <c r="L31" s="172">
        <v>0.7</v>
      </c>
      <c r="M31" s="172">
        <v>0.75</v>
      </c>
      <c r="N31" s="172">
        <v>0.79</v>
      </c>
      <c r="O31" s="172">
        <v>0.84</v>
      </c>
      <c r="P31" s="172">
        <v>0.79</v>
      </c>
      <c r="Q31" s="172">
        <v>0.79</v>
      </c>
    </row>
    <row r="32" spans="1:17" x14ac:dyDescent="0.35">
      <c r="A32" s="172">
        <v>0.1</v>
      </c>
      <c r="B32" s="172">
        <v>0.11</v>
      </c>
      <c r="C32" s="172">
        <v>0.21</v>
      </c>
      <c r="D32" s="172">
        <v>0.23</v>
      </c>
      <c r="E32" s="172">
        <v>0.28999999999999998</v>
      </c>
      <c r="F32" s="172">
        <v>0.28000000000000003</v>
      </c>
      <c r="G32" s="172">
        <v>0.41</v>
      </c>
      <c r="H32" s="172">
        <v>0.46</v>
      </c>
      <c r="I32" s="172">
        <v>0.48</v>
      </c>
      <c r="J32" s="172">
        <v>0.53</v>
      </c>
      <c r="K32" s="172">
        <v>0.57999999999999996</v>
      </c>
      <c r="L32" s="172">
        <v>0.68</v>
      </c>
      <c r="M32" s="172">
        <v>0.72</v>
      </c>
      <c r="N32" s="172">
        <v>0.78</v>
      </c>
      <c r="O32" s="172">
        <v>0.83</v>
      </c>
      <c r="P32" s="172">
        <v>0.78</v>
      </c>
      <c r="Q32" s="172">
        <v>0.78</v>
      </c>
    </row>
    <row r="33" spans="1:17" x14ac:dyDescent="0.35">
      <c r="A33" s="172">
        <v>0.1</v>
      </c>
      <c r="B33" s="172">
        <v>0.11</v>
      </c>
      <c r="C33" s="172">
        <v>0.2</v>
      </c>
      <c r="D33" s="172">
        <v>0.23</v>
      </c>
      <c r="E33" s="172">
        <v>0.28999999999999998</v>
      </c>
      <c r="F33" s="172">
        <v>0.28000000000000003</v>
      </c>
      <c r="G33" s="172">
        <v>0.34</v>
      </c>
      <c r="H33" s="172">
        <v>0.45</v>
      </c>
      <c r="I33" s="172">
        <v>0.47</v>
      </c>
      <c r="J33" s="172">
        <v>0.5</v>
      </c>
      <c r="K33" s="172">
        <v>0.55000000000000004</v>
      </c>
      <c r="L33" s="172">
        <v>0.65</v>
      </c>
      <c r="M33" s="172">
        <v>0.71</v>
      </c>
      <c r="N33" s="172">
        <v>0.77</v>
      </c>
      <c r="O33" s="172">
        <v>0.81</v>
      </c>
      <c r="P33" s="172">
        <v>0.77</v>
      </c>
      <c r="Q33" s="172">
        <v>0.77</v>
      </c>
    </row>
    <row r="34" spans="1:17" x14ac:dyDescent="0.35">
      <c r="A34" s="172">
        <v>0.1</v>
      </c>
      <c r="B34" s="172">
        <v>0.11</v>
      </c>
      <c r="C34" s="172">
        <v>0.2</v>
      </c>
      <c r="D34" s="172">
        <v>0.22</v>
      </c>
      <c r="E34" s="172">
        <v>0.28999999999999998</v>
      </c>
      <c r="F34" s="172">
        <v>0.27</v>
      </c>
      <c r="G34" s="172">
        <v>0.32</v>
      </c>
      <c r="H34" s="172">
        <v>0.4</v>
      </c>
      <c r="I34" s="172">
        <v>0.45</v>
      </c>
      <c r="J34" s="172">
        <v>0.48</v>
      </c>
      <c r="K34" s="172">
        <v>0.53</v>
      </c>
      <c r="L34" s="172">
        <v>0.63</v>
      </c>
      <c r="M34" s="172">
        <v>0.71</v>
      </c>
      <c r="N34" s="172">
        <v>0.75</v>
      </c>
      <c r="O34" s="172">
        <v>0.75</v>
      </c>
      <c r="P34" s="172">
        <v>0.74</v>
      </c>
      <c r="Q34" s="172">
        <v>0.74</v>
      </c>
    </row>
    <row r="35" spans="1:17" x14ac:dyDescent="0.35">
      <c r="A35" s="172">
        <v>0.1</v>
      </c>
      <c r="B35" s="172">
        <v>0.11</v>
      </c>
      <c r="C35" s="172">
        <v>0.2</v>
      </c>
      <c r="D35" s="172">
        <v>0.22</v>
      </c>
      <c r="E35" s="172">
        <v>0.25</v>
      </c>
      <c r="F35" s="172">
        <v>0.25</v>
      </c>
      <c r="G35" s="172">
        <v>0.3</v>
      </c>
      <c r="H35" s="172">
        <v>0.35</v>
      </c>
      <c r="I35" s="172">
        <v>0.4</v>
      </c>
      <c r="J35" s="172">
        <v>0.44</v>
      </c>
      <c r="K35" s="172">
        <v>0.48</v>
      </c>
      <c r="L35" s="172">
        <v>0.55000000000000004</v>
      </c>
      <c r="M35" s="172">
        <v>0.6</v>
      </c>
      <c r="N35" s="172">
        <v>0.6</v>
      </c>
      <c r="O35" s="172">
        <v>0.6</v>
      </c>
      <c r="P35" s="172">
        <v>0.6</v>
      </c>
      <c r="Q35" s="172">
        <v>0.5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A26F-75B7-4D55-939B-62696C940075}">
  <dimension ref="A2:F34"/>
  <sheetViews>
    <sheetView zoomScale="80" workbookViewId="0">
      <selection activeCell="S25" sqref="S25"/>
    </sheetView>
  </sheetViews>
  <sheetFormatPr baseColWidth="10" defaultRowHeight="14.5" x14ac:dyDescent="0.35"/>
  <sheetData>
    <row r="2" spans="1:4" x14ac:dyDescent="0.35">
      <c r="A2" t="s">
        <v>115</v>
      </c>
    </row>
    <row r="3" spans="1:4" ht="15" thickBot="1" x14ac:dyDescent="0.4"/>
    <row r="4" spans="1:4" x14ac:dyDescent="0.35">
      <c r="A4" s="216" t="s">
        <v>91</v>
      </c>
      <c r="B4" s="214" t="s">
        <v>86</v>
      </c>
      <c r="C4" s="214" t="s">
        <v>87</v>
      </c>
      <c r="D4" s="214" t="s">
        <v>88</v>
      </c>
    </row>
    <row r="5" spans="1:4" ht="15" thickBot="1" x14ac:dyDescent="0.4">
      <c r="A5" s="217"/>
      <c r="B5" s="215"/>
      <c r="C5" s="215"/>
      <c r="D5" s="215"/>
    </row>
    <row r="6" spans="1:4" x14ac:dyDescent="0.35">
      <c r="A6" s="85" t="s">
        <v>116</v>
      </c>
      <c r="B6" s="32">
        <v>0.09</v>
      </c>
      <c r="C6" s="32"/>
      <c r="D6" s="32"/>
    </row>
    <row r="7" spans="1:4" x14ac:dyDescent="0.35">
      <c r="A7" s="85" t="s">
        <v>117</v>
      </c>
      <c r="B7" s="32">
        <v>0.2</v>
      </c>
      <c r="C7" s="32">
        <v>0.67</v>
      </c>
      <c r="D7" s="32">
        <v>3.9</v>
      </c>
    </row>
    <row r="8" spans="1:4" x14ac:dyDescent="0.35">
      <c r="A8" s="85" t="s">
        <v>118</v>
      </c>
      <c r="B8" s="32">
        <v>0.34</v>
      </c>
      <c r="C8" s="32">
        <v>0.94</v>
      </c>
      <c r="D8" s="32"/>
    </row>
    <row r="9" spans="1:4" x14ac:dyDescent="0.35">
      <c r="A9" s="85" t="s">
        <v>119</v>
      </c>
      <c r="B9" s="32">
        <v>4.8</v>
      </c>
      <c r="C9" s="32">
        <v>1.24</v>
      </c>
      <c r="D9" s="32">
        <v>8.4</v>
      </c>
    </row>
    <row r="10" spans="1:4" x14ac:dyDescent="0.35">
      <c r="A10" s="85" t="s">
        <v>120</v>
      </c>
      <c r="B10" s="32">
        <v>2.11</v>
      </c>
      <c r="C10" s="32">
        <v>0.47</v>
      </c>
      <c r="D10" s="32">
        <v>3.7</v>
      </c>
    </row>
    <row r="11" spans="1:4" x14ac:dyDescent="0.35">
      <c r="A11" s="85" t="s">
        <v>121</v>
      </c>
      <c r="B11" s="32">
        <v>9.4</v>
      </c>
      <c r="C11" s="32">
        <v>0.28000000000000003</v>
      </c>
      <c r="D11" s="32">
        <v>1.8</v>
      </c>
    </row>
    <row r="12" spans="1:4" x14ac:dyDescent="0.35">
      <c r="A12" s="85" t="s">
        <v>122</v>
      </c>
      <c r="B12" s="32">
        <v>5.9</v>
      </c>
      <c r="C12" s="32">
        <v>0.19</v>
      </c>
      <c r="D12" s="32">
        <v>1.5</v>
      </c>
    </row>
    <row r="13" spans="1:4" x14ac:dyDescent="0.35">
      <c r="A13" s="85" t="s">
        <v>123</v>
      </c>
      <c r="B13" s="32">
        <v>7.4</v>
      </c>
      <c r="C13" s="32">
        <v>0.37</v>
      </c>
      <c r="D13" s="32">
        <v>6.2</v>
      </c>
    </row>
    <row r="14" spans="1:4" x14ac:dyDescent="0.35">
      <c r="A14" s="85" t="s">
        <v>124</v>
      </c>
      <c r="B14" s="32">
        <v>6.4</v>
      </c>
      <c r="C14" s="32"/>
      <c r="D14" s="32"/>
    </row>
    <row r="15" spans="1:4" x14ac:dyDescent="0.35">
      <c r="A15" s="85" t="s">
        <v>125</v>
      </c>
      <c r="B15" s="32">
        <v>0.49</v>
      </c>
      <c r="C15" s="32">
        <v>0.42</v>
      </c>
      <c r="D15" s="32">
        <v>9.4</v>
      </c>
    </row>
    <row r="16" spans="1:4" x14ac:dyDescent="0.35">
      <c r="A16" s="85" t="s">
        <v>126</v>
      </c>
      <c r="B16" s="32">
        <v>1.1399999999999999</v>
      </c>
      <c r="C16" s="32">
        <v>1.93</v>
      </c>
      <c r="D16" s="32">
        <v>22.6</v>
      </c>
    </row>
    <row r="17" spans="1:6" x14ac:dyDescent="0.35">
      <c r="A17" s="85" t="s">
        <v>127</v>
      </c>
      <c r="B17" s="32">
        <v>0.98</v>
      </c>
      <c r="C17" s="32">
        <v>1.72</v>
      </c>
      <c r="D17" s="32">
        <v>28.7</v>
      </c>
    </row>
    <row r="18" spans="1:6" x14ac:dyDescent="0.35">
      <c r="A18" s="85" t="s">
        <v>128</v>
      </c>
      <c r="B18" s="32">
        <v>0.53</v>
      </c>
      <c r="C18" s="32">
        <v>0.48</v>
      </c>
      <c r="D18" s="32">
        <v>26</v>
      </c>
    </row>
    <row r="19" spans="1:6" x14ac:dyDescent="0.35">
      <c r="A19" s="85" t="s">
        <v>129</v>
      </c>
      <c r="B19" s="32">
        <v>0.52</v>
      </c>
      <c r="C19" s="32">
        <v>0.22</v>
      </c>
      <c r="D19" s="32">
        <v>21.9</v>
      </c>
    </row>
    <row r="20" spans="1:6" x14ac:dyDescent="0.35">
      <c r="A20" s="86" t="s">
        <v>130</v>
      </c>
      <c r="B20" s="87">
        <v>0.93</v>
      </c>
      <c r="C20" s="87">
        <v>0.45</v>
      </c>
      <c r="D20" s="87">
        <v>30.7</v>
      </c>
    </row>
    <row r="21" spans="1:6" x14ac:dyDescent="0.35">
      <c r="A21" s="88" t="s">
        <v>131</v>
      </c>
      <c r="B21" s="89">
        <f>AVERAGE(B6:B20)</f>
        <v>2.7486666666666664</v>
      </c>
      <c r="C21" s="89">
        <f>AVERAGE(C15:C20)</f>
        <v>0.87000000000000011</v>
      </c>
      <c r="D21" s="89">
        <f>AVERAGE(D15:D20)</f>
        <v>23.216666666666665</v>
      </c>
    </row>
    <row r="22" spans="1:6" ht="15" thickBot="1" x14ac:dyDescent="0.4"/>
    <row r="23" spans="1:6" x14ac:dyDescent="0.35">
      <c r="A23" s="220" t="s">
        <v>132</v>
      </c>
      <c r="B23" s="222" t="s">
        <v>133</v>
      </c>
      <c r="C23" s="222" t="s">
        <v>134</v>
      </c>
      <c r="D23" s="233" t="s">
        <v>135</v>
      </c>
      <c r="E23" s="233" t="s">
        <v>136</v>
      </c>
      <c r="F23" s="235" t="s">
        <v>137</v>
      </c>
    </row>
    <row r="24" spans="1:6" ht="15" thickBot="1" x14ac:dyDescent="0.4">
      <c r="A24" s="221"/>
      <c r="B24" s="223"/>
      <c r="C24" s="223"/>
      <c r="D24" s="234"/>
      <c r="E24" s="234"/>
      <c r="F24" s="236"/>
    </row>
    <row r="25" spans="1:6" x14ac:dyDescent="0.35">
      <c r="A25" s="64">
        <v>0.23064999999999999</v>
      </c>
      <c r="B25" s="64">
        <v>0.13574</v>
      </c>
      <c r="C25" s="64">
        <v>31.405200000000001</v>
      </c>
      <c r="D25" s="81">
        <v>2.7490000000000001</v>
      </c>
      <c r="E25" s="64">
        <v>0.87</v>
      </c>
      <c r="F25" s="81">
        <v>23.216999999999999</v>
      </c>
    </row>
    <row r="29" spans="1:6" ht="15" thickBot="1" x14ac:dyDescent="0.4"/>
    <row r="30" spans="1:6" x14ac:dyDescent="0.35">
      <c r="A30" s="189"/>
      <c r="B30" s="190" t="s">
        <v>206</v>
      </c>
      <c r="C30" s="190" t="s">
        <v>207</v>
      </c>
      <c r="D30" s="191" t="s">
        <v>208</v>
      </c>
    </row>
    <row r="31" spans="1:6" ht="15" thickBot="1" x14ac:dyDescent="0.4">
      <c r="A31" s="193" t="s">
        <v>210</v>
      </c>
      <c r="B31" s="194">
        <v>0.23100000000000001</v>
      </c>
      <c r="C31" s="194">
        <v>0.13600000000000001</v>
      </c>
      <c r="D31" s="195">
        <v>31.405000000000001</v>
      </c>
    </row>
    <row r="34" spans="1:4" x14ac:dyDescent="0.35">
      <c r="A34" s="111" t="s">
        <v>209</v>
      </c>
      <c r="B34" s="155">
        <v>2.7490000000000001</v>
      </c>
      <c r="C34" s="155">
        <v>0.87</v>
      </c>
      <c r="D34" s="192">
        <v>23.216999999999999</v>
      </c>
    </row>
  </sheetData>
  <mergeCells count="10">
    <mergeCell ref="E23:E24"/>
    <mergeCell ref="F23:F24"/>
    <mergeCell ref="A4:A5"/>
    <mergeCell ref="B4:B5"/>
    <mergeCell ref="C4:C5"/>
    <mergeCell ref="D4:D5"/>
    <mergeCell ref="A23:A24"/>
    <mergeCell ref="B23:B24"/>
    <mergeCell ref="C23:C24"/>
    <mergeCell ref="D23:D2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7B16-A313-4E77-9F5A-C1E5461E2370}">
  <dimension ref="A1:R48"/>
  <sheetViews>
    <sheetView topLeftCell="A16" zoomScale="90" zoomScaleNormal="90" workbookViewId="0">
      <selection activeCell="J33" sqref="J33"/>
    </sheetView>
  </sheetViews>
  <sheetFormatPr baseColWidth="10" defaultRowHeight="14.5" x14ac:dyDescent="0.35"/>
  <cols>
    <col min="1" max="1" width="13" customWidth="1"/>
    <col min="7" max="7" width="13.90625" customWidth="1"/>
  </cols>
  <sheetData>
    <row r="1" spans="1:18" x14ac:dyDescent="0.35">
      <c r="A1" s="151" t="s">
        <v>219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x14ac:dyDescent="0.35">
      <c r="A2" s="147" t="s">
        <v>220</v>
      </c>
      <c r="B2" s="147"/>
      <c r="C2" s="151">
        <v>5500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x14ac:dyDescent="0.35">
      <c r="A3" s="147" t="s">
        <v>221</v>
      </c>
      <c r="B3" s="147"/>
      <c r="C3" s="151">
        <v>500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5" thickBot="1" x14ac:dyDescent="0.4">
      <c r="A4" s="147" t="s">
        <v>222</v>
      </c>
      <c r="B4" s="147"/>
      <c r="C4" s="151">
        <v>7000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x14ac:dyDescent="0.35">
      <c r="A5" s="247" t="s">
        <v>91</v>
      </c>
      <c r="B5" s="248" t="s">
        <v>223</v>
      </c>
      <c r="C5" s="249"/>
      <c r="D5" s="249"/>
      <c r="E5" s="250"/>
      <c r="F5" s="248" t="s">
        <v>224</v>
      </c>
      <c r="G5" s="249"/>
      <c r="H5" s="249"/>
      <c r="I5" s="250"/>
      <c r="J5" s="251" t="s">
        <v>164</v>
      </c>
      <c r="K5" s="252"/>
      <c r="L5" s="252"/>
      <c r="M5" s="253"/>
      <c r="N5" s="254" t="s">
        <v>165</v>
      </c>
      <c r="O5" s="255"/>
      <c r="P5" s="256"/>
      <c r="Q5" s="257"/>
      <c r="R5" s="247" t="s">
        <v>225</v>
      </c>
    </row>
    <row r="6" spans="1:18" x14ac:dyDescent="0.35">
      <c r="A6" s="258"/>
      <c r="B6" s="259" t="s">
        <v>166</v>
      </c>
      <c r="C6" s="260" t="s">
        <v>167</v>
      </c>
      <c r="D6" s="261" t="s">
        <v>168</v>
      </c>
      <c r="E6" s="262" t="s">
        <v>169</v>
      </c>
      <c r="F6" s="259" t="s">
        <v>166</v>
      </c>
      <c r="G6" s="260" t="s">
        <v>167</v>
      </c>
      <c r="H6" s="261" t="s">
        <v>168</v>
      </c>
      <c r="I6" s="262" t="s">
        <v>169</v>
      </c>
      <c r="J6" s="263" t="s">
        <v>166</v>
      </c>
      <c r="K6" s="264" t="s">
        <v>167</v>
      </c>
      <c r="L6" s="261" t="s">
        <v>168</v>
      </c>
      <c r="M6" s="262" t="s">
        <v>169</v>
      </c>
      <c r="N6" s="263" t="s">
        <v>166</v>
      </c>
      <c r="O6" s="264" t="s">
        <v>167</v>
      </c>
      <c r="P6" s="261" t="s">
        <v>168</v>
      </c>
      <c r="Q6" s="262" t="s">
        <v>169</v>
      </c>
      <c r="R6" s="258"/>
    </row>
    <row r="7" spans="1:18" x14ac:dyDescent="0.35">
      <c r="A7" s="265"/>
      <c r="B7" s="263"/>
      <c r="C7" s="264"/>
      <c r="D7" s="266"/>
      <c r="E7" s="267"/>
      <c r="F7" s="263"/>
      <c r="G7" s="264"/>
      <c r="H7" s="266"/>
      <c r="I7" s="267"/>
      <c r="J7" s="268"/>
      <c r="K7" s="269"/>
      <c r="L7" s="266"/>
      <c r="M7" s="267"/>
      <c r="N7" s="268"/>
      <c r="O7" s="269"/>
      <c r="P7" s="266"/>
      <c r="Q7" s="267"/>
      <c r="R7" s="265"/>
    </row>
    <row r="8" spans="1:18" x14ac:dyDescent="0.35">
      <c r="A8" s="270" t="s">
        <v>119</v>
      </c>
      <c r="B8" s="271">
        <v>0.1167</v>
      </c>
      <c r="C8" s="272">
        <v>0.1186</v>
      </c>
      <c r="D8" s="273">
        <f>((C8-B8)*1000)/0.5</f>
        <v>3.799999999999998</v>
      </c>
      <c r="E8" s="274">
        <f>D8*$C$4/$C$2*100/1000</f>
        <v>0.48363636363636336</v>
      </c>
      <c r="F8" s="275"/>
      <c r="G8" s="276"/>
      <c r="H8" s="276"/>
      <c r="I8" s="275"/>
      <c r="J8" s="277"/>
      <c r="K8" s="278"/>
      <c r="L8" s="279"/>
      <c r="M8" s="280"/>
      <c r="N8" s="277"/>
      <c r="O8" s="278"/>
      <c r="P8" s="279"/>
      <c r="Q8" s="280"/>
      <c r="R8" s="281"/>
    </row>
    <row r="9" spans="1:18" x14ac:dyDescent="0.35">
      <c r="A9" s="270" t="s">
        <v>121</v>
      </c>
      <c r="B9" s="282">
        <v>0.11700000000000001</v>
      </c>
      <c r="C9" s="147">
        <v>0.11835</v>
      </c>
      <c r="D9" s="273">
        <f>((C9-B9)*1000)/0.5</f>
        <v>2.6999999999999802</v>
      </c>
      <c r="E9" s="274">
        <f>D9*$C$4/$C$2*100/1000</f>
        <v>0.34363636363636113</v>
      </c>
      <c r="F9" s="275"/>
      <c r="G9" s="283"/>
      <c r="H9" s="283"/>
      <c r="I9" s="275"/>
      <c r="J9" s="277"/>
      <c r="K9" s="278"/>
      <c r="L9" s="279"/>
      <c r="M9" s="280"/>
      <c r="N9" s="277"/>
      <c r="O9" s="278"/>
      <c r="P9" s="279"/>
      <c r="Q9" s="280"/>
      <c r="R9" s="281"/>
    </row>
    <row r="10" spans="1:18" x14ac:dyDescent="0.35">
      <c r="A10" s="270" t="s">
        <v>170</v>
      </c>
      <c r="B10" s="282">
        <v>0.11600000000000001</v>
      </c>
      <c r="C10" s="147">
        <v>0.11765</v>
      </c>
      <c r="D10" s="273">
        <f>((C10-B10)*1000)/0.5</f>
        <v>3.2999999999999972</v>
      </c>
      <c r="E10" s="274">
        <f>D10*$C$4/$C$2*100/1000</f>
        <v>0.41999999999999965</v>
      </c>
      <c r="F10" s="275"/>
      <c r="G10" s="283"/>
      <c r="H10" s="283"/>
      <c r="I10" s="275"/>
      <c r="J10" s="277"/>
      <c r="K10" s="278"/>
      <c r="L10" s="279"/>
      <c r="M10" s="280"/>
      <c r="N10" s="277"/>
      <c r="O10" s="278"/>
      <c r="P10" s="279"/>
      <c r="Q10" s="280"/>
      <c r="R10" s="281"/>
    </row>
    <row r="11" spans="1:18" x14ac:dyDescent="0.35">
      <c r="A11" s="270" t="s">
        <v>123</v>
      </c>
      <c r="B11" s="271">
        <v>0.1167</v>
      </c>
      <c r="C11" s="272">
        <v>0.1193</v>
      </c>
      <c r="D11" s="273">
        <f>((C11-B11)*1000)/0.5</f>
        <v>5.2000000000000099</v>
      </c>
      <c r="E11" s="274">
        <f>D11*$C$4/$C$2*100/1000</f>
        <v>0.66181818181818308</v>
      </c>
      <c r="F11" s="275"/>
      <c r="G11" s="283"/>
      <c r="H11" s="283"/>
      <c r="I11" s="275"/>
      <c r="J11" s="277"/>
      <c r="K11" s="278"/>
      <c r="L11" s="279"/>
      <c r="M11" s="280"/>
      <c r="N11" s="277"/>
      <c r="O11" s="278"/>
      <c r="P11" s="279"/>
      <c r="Q11" s="280"/>
      <c r="R11" s="281"/>
    </row>
    <row r="12" spans="1:18" x14ac:dyDescent="0.35">
      <c r="A12" s="270" t="s">
        <v>171</v>
      </c>
      <c r="B12" s="271"/>
      <c r="C12" s="147"/>
      <c r="D12" s="142"/>
      <c r="E12" s="284"/>
      <c r="F12" s="271">
        <v>0.1172</v>
      </c>
      <c r="G12" s="147">
        <v>0.11863</v>
      </c>
      <c r="H12" s="142">
        <f>((G12-F12)*1000)/0.5</f>
        <v>2.8600000000000012</v>
      </c>
      <c r="I12" s="274">
        <f>H12*$C$4/$C$2*100/1000</f>
        <v>0.36400000000000016</v>
      </c>
      <c r="J12" s="285">
        <v>0.1176</v>
      </c>
      <c r="K12" s="272">
        <v>0.11840000000000001</v>
      </c>
      <c r="L12" s="273">
        <f>((K12-J12)*1000)/0.5</f>
        <v>1.6000000000000181</v>
      </c>
      <c r="M12" s="274">
        <f>L12*$C$4/$C$2*100/1000</f>
        <v>0.20363636363636595</v>
      </c>
      <c r="N12" s="285">
        <v>0.11749999999999999</v>
      </c>
      <c r="O12" s="272">
        <v>0.11899999999999999</v>
      </c>
      <c r="P12" s="273">
        <f>((O12-N12)*1000)/0.5</f>
        <v>3.0000000000000027</v>
      </c>
      <c r="Q12" s="274">
        <f>P12*$C$4/$C$2*100/1000</f>
        <v>0.38181818181818217</v>
      </c>
      <c r="R12" s="286">
        <f>H12+L12+P12</f>
        <v>7.4600000000000222</v>
      </c>
    </row>
    <row r="13" spans="1:18" x14ac:dyDescent="0.35">
      <c r="A13" s="270" t="s">
        <v>172</v>
      </c>
      <c r="B13" s="282"/>
      <c r="C13" s="147"/>
      <c r="D13" s="142"/>
      <c r="E13" s="284"/>
      <c r="F13" s="282">
        <v>0.11799999999999999</v>
      </c>
      <c r="G13" s="147">
        <v>0.11967999999999999</v>
      </c>
      <c r="H13" s="142">
        <f>((G13-F13)*1000)/0.5</f>
        <v>3.3600000000000021</v>
      </c>
      <c r="I13" s="274">
        <f>H13*$C$4/$C$2*100/1000</f>
        <v>0.42763636363636393</v>
      </c>
      <c r="J13" s="285">
        <v>0.11700000000000001</v>
      </c>
      <c r="K13" s="147">
        <v>0.11814</v>
      </c>
      <c r="L13" s="273">
        <f>((K13-J13)*1000)/0.5</f>
        <v>2.2799999999999763</v>
      </c>
      <c r="M13" s="274">
        <f>L13*$C$4/$C$2*100/1000</f>
        <v>0.29018181818181515</v>
      </c>
      <c r="N13" s="285">
        <v>0.1168</v>
      </c>
      <c r="O13" s="272">
        <v>0.11842999999999999</v>
      </c>
      <c r="P13" s="273">
        <f>((O13-N13)*1000)/0.5</f>
        <v>3.2599999999999851</v>
      </c>
      <c r="Q13" s="274">
        <f>P13*$C$4/$C$2*100/1000</f>
        <v>0.41490909090908901</v>
      </c>
      <c r="R13" s="286">
        <f>H13+L13+P13</f>
        <v>8.8999999999999631</v>
      </c>
    </row>
    <row r="14" spans="1:18" ht="15" thickBot="1" x14ac:dyDescent="0.4">
      <c r="A14" s="287" t="s">
        <v>173</v>
      </c>
      <c r="B14" s="288"/>
      <c r="C14" s="289"/>
      <c r="D14" s="290"/>
      <c r="E14" s="291"/>
      <c r="F14" s="288">
        <v>0.11749999999999999</v>
      </c>
      <c r="G14" s="289">
        <v>0.11874</v>
      </c>
      <c r="H14" s="290">
        <f>((G14-F14)*1000)/0.5</f>
        <v>2.4800000000000102</v>
      </c>
      <c r="I14" s="292">
        <f>H14*$C$4/$C$2*100/1000</f>
        <v>0.31563636363636494</v>
      </c>
      <c r="J14" s="293">
        <v>0.11700000000000001</v>
      </c>
      <c r="K14" s="289">
        <v>0.11910999999999999</v>
      </c>
      <c r="L14" s="294">
        <f>((K14-J14)*1000)/0.5</f>
        <v>4.219999999999974</v>
      </c>
      <c r="M14" s="292">
        <f>L14*$C$4/$C$2*100/1000</f>
        <v>0.53709090909090584</v>
      </c>
      <c r="N14" s="293">
        <v>0.11609999999999999</v>
      </c>
      <c r="O14" s="295">
        <v>0.11811000000000001</v>
      </c>
      <c r="P14" s="294">
        <f>((O14-N14)*1000)/0.5</f>
        <v>4.0200000000000236</v>
      </c>
      <c r="Q14" s="292">
        <f>P14*$C$4/$C$2*100/1000</f>
        <v>0.51163636363636666</v>
      </c>
      <c r="R14" s="296">
        <f>H14+L14+P14</f>
        <v>10.720000000000008</v>
      </c>
    </row>
    <row r="17" spans="1:17" x14ac:dyDescent="0.35">
      <c r="A17" s="143" t="s">
        <v>174</v>
      </c>
      <c r="B17" s="2"/>
    </row>
    <row r="18" spans="1:17" ht="15" thickBot="1" x14ac:dyDescent="0.4"/>
    <row r="19" spans="1:17" x14ac:dyDescent="0.35">
      <c r="A19" s="220" t="s">
        <v>175</v>
      </c>
      <c r="B19" s="222" t="s">
        <v>176</v>
      </c>
      <c r="C19" s="224" t="s">
        <v>177</v>
      </c>
    </row>
    <row r="20" spans="1:17" ht="15" thickBot="1" x14ac:dyDescent="0.4">
      <c r="A20" s="221"/>
      <c r="B20" s="223"/>
      <c r="C20" s="225"/>
    </row>
    <row r="21" spans="1:17" x14ac:dyDescent="0.35">
      <c r="A21" s="100">
        <v>3.39</v>
      </c>
      <c r="B21" s="144">
        <v>2.7</v>
      </c>
      <c r="C21" s="100">
        <v>3.43</v>
      </c>
    </row>
    <row r="26" spans="1:17" x14ac:dyDescent="0.35">
      <c r="E26" s="91"/>
      <c r="K26" s="91"/>
      <c r="Q26" s="91"/>
    </row>
    <row r="27" spans="1:17" x14ac:dyDescent="0.35">
      <c r="H27" s="91"/>
      <c r="N27" s="91"/>
    </row>
    <row r="28" spans="1:17" x14ac:dyDescent="0.35">
      <c r="H28" s="91"/>
      <c r="N28" s="91"/>
    </row>
    <row r="29" spans="1:17" x14ac:dyDescent="0.35">
      <c r="H29" s="91"/>
      <c r="N29" s="91"/>
    </row>
    <row r="30" spans="1:17" x14ac:dyDescent="0.35">
      <c r="D30" s="90"/>
      <c r="E30" s="90"/>
      <c r="F30" s="90"/>
      <c r="K30" s="91"/>
      <c r="Q30" s="91"/>
    </row>
    <row r="31" spans="1:17" x14ac:dyDescent="0.35">
      <c r="A31" s="2" t="s">
        <v>98</v>
      </c>
      <c r="K31" s="91"/>
      <c r="Q31" s="91"/>
    </row>
    <row r="32" spans="1:17" ht="15" thickBot="1" x14ac:dyDescent="0.4">
      <c r="K32" s="91"/>
      <c r="Q32" s="91"/>
    </row>
    <row r="33" spans="1:17" ht="44" thickBot="1" x14ac:dyDescent="0.4">
      <c r="A33" s="92" t="s">
        <v>91</v>
      </c>
      <c r="B33" s="93" t="s">
        <v>138</v>
      </c>
      <c r="C33" s="94"/>
      <c r="D33" s="94" t="s">
        <v>139</v>
      </c>
      <c r="E33" s="94"/>
      <c r="F33" s="94" t="s">
        <v>140</v>
      </c>
      <c r="G33" s="95"/>
      <c r="K33" s="91"/>
      <c r="Q33" s="91"/>
    </row>
    <row r="34" spans="1:17" x14ac:dyDescent="0.35">
      <c r="A34" s="96"/>
      <c r="B34" s="97" t="s">
        <v>141</v>
      </c>
      <c r="C34" s="97" t="s">
        <v>142</v>
      </c>
      <c r="D34" s="97" t="s">
        <v>141</v>
      </c>
      <c r="E34" s="97" t="s">
        <v>142</v>
      </c>
      <c r="F34" s="97" t="s">
        <v>141</v>
      </c>
      <c r="G34" s="98" t="s">
        <v>142</v>
      </c>
    </row>
    <row r="35" spans="1:17" x14ac:dyDescent="0.35">
      <c r="A35" s="75">
        <v>44299</v>
      </c>
      <c r="B35" s="99">
        <v>3</v>
      </c>
      <c r="C35" s="76">
        <v>2.7E-2</v>
      </c>
      <c r="D35" s="99">
        <v>2</v>
      </c>
      <c r="E35" s="76">
        <v>2.1999999999999999E-2</v>
      </c>
      <c r="F35" s="99">
        <v>2</v>
      </c>
      <c r="G35" s="32">
        <v>0.02</v>
      </c>
    </row>
    <row r="36" spans="1:17" x14ac:dyDescent="0.35">
      <c r="A36" s="75">
        <v>44306</v>
      </c>
      <c r="B36" s="99">
        <v>4</v>
      </c>
      <c r="C36" s="76">
        <v>4.2999999999999997E-2</v>
      </c>
      <c r="D36" s="99">
        <v>4</v>
      </c>
      <c r="E36" s="76">
        <v>4.1000000000000002E-2</v>
      </c>
      <c r="F36" s="99">
        <v>4</v>
      </c>
      <c r="G36" s="76">
        <v>4.8000000000000001E-2</v>
      </c>
    </row>
    <row r="37" spans="1:17" x14ac:dyDescent="0.35">
      <c r="A37" s="75">
        <v>44313</v>
      </c>
      <c r="B37" s="99">
        <v>3</v>
      </c>
      <c r="C37" s="76">
        <v>2.4E-2</v>
      </c>
      <c r="D37" s="99">
        <v>2</v>
      </c>
      <c r="E37" s="76">
        <v>2.5000000000000001E-2</v>
      </c>
      <c r="F37" s="99">
        <v>3</v>
      </c>
      <c r="G37" s="32">
        <v>0.03</v>
      </c>
    </row>
    <row r="39" spans="1:17" ht="15" thickBot="1" x14ac:dyDescent="0.4"/>
    <row r="40" spans="1:17" ht="43.5" x14ac:dyDescent="0.35">
      <c r="A40" s="181" t="s">
        <v>91</v>
      </c>
      <c r="B40" s="183" t="s">
        <v>138</v>
      </c>
      <c r="C40" s="183" t="s">
        <v>217</v>
      </c>
      <c r="D40" s="183" t="s">
        <v>139</v>
      </c>
      <c r="E40" s="185" t="s">
        <v>218</v>
      </c>
    </row>
    <row r="41" spans="1:17" ht="15" thickBot="1" x14ac:dyDescent="0.4">
      <c r="A41" s="182"/>
      <c r="B41" s="184"/>
      <c r="C41" s="196"/>
      <c r="D41" s="184"/>
      <c r="E41" s="186"/>
    </row>
    <row r="42" spans="1:17" x14ac:dyDescent="0.35">
      <c r="A42" s="197">
        <v>44284</v>
      </c>
      <c r="B42" s="100">
        <v>1</v>
      </c>
      <c r="C42" s="152"/>
      <c r="D42" s="162"/>
      <c r="E42" s="162"/>
    </row>
    <row r="43" spans="1:17" x14ac:dyDescent="0.35">
      <c r="A43" s="198">
        <v>44287</v>
      </c>
      <c r="B43" s="101">
        <v>1</v>
      </c>
      <c r="C43" s="148"/>
      <c r="D43" s="102"/>
      <c r="E43" s="102"/>
    </row>
    <row r="44" spans="1:17" x14ac:dyDescent="0.35">
      <c r="A44" s="198">
        <v>44291</v>
      </c>
      <c r="B44" s="101">
        <v>1</v>
      </c>
      <c r="C44" s="148"/>
      <c r="D44" s="102"/>
      <c r="E44" s="102"/>
    </row>
    <row r="45" spans="1:17" x14ac:dyDescent="0.35">
      <c r="A45" s="198">
        <v>44294</v>
      </c>
      <c r="B45" s="101">
        <v>3</v>
      </c>
      <c r="C45" s="148"/>
      <c r="D45" s="102"/>
      <c r="E45" s="102"/>
    </row>
    <row r="46" spans="1:17" x14ac:dyDescent="0.35">
      <c r="A46" s="199">
        <v>44299</v>
      </c>
      <c r="B46" s="148"/>
      <c r="C46" s="76">
        <v>3</v>
      </c>
      <c r="D46" s="148">
        <v>2</v>
      </c>
      <c r="E46" s="148">
        <v>2</v>
      </c>
    </row>
    <row r="47" spans="1:17" x14ac:dyDescent="0.35">
      <c r="A47" s="199">
        <v>44306</v>
      </c>
      <c r="B47" s="148"/>
      <c r="C47" s="76">
        <v>4</v>
      </c>
      <c r="D47" s="148">
        <v>4</v>
      </c>
      <c r="E47" s="148">
        <v>4</v>
      </c>
    </row>
    <row r="48" spans="1:17" x14ac:dyDescent="0.35">
      <c r="A48" s="199">
        <v>44313</v>
      </c>
      <c r="B48" s="148"/>
      <c r="C48" s="76">
        <v>3</v>
      </c>
      <c r="D48" s="148">
        <v>2</v>
      </c>
      <c r="E48" s="148">
        <v>3</v>
      </c>
    </row>
  </sheetData>
  <mergeCells count="25">
    <mergeCell ref="R5:R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5:A7"/>
    <mergeCell ref="B5:E5"/>
    <mergeCell ref="F5:I5"/>
    <mergeCell ref="J5:M5"/>
    <mergeCell ref="N5:Q5"/>
    <mergeCell ref="Q6:Q7"/>
    <mergeCell ref="A19:A20"/>
    <mergeCell ref="B19:B20"/>
    <mergeCell ref="C19:C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E17C-603B-48ED-A230-26A94A13ED8E}">
  <dimension ref="A1:M41"/>
  <sheetViews>
    <sheetView topLeftCell="A21" zoomScaleNormal="100" workbookViewId="0">
      <selection activeCell="O34" sqref="O34"/>
    </sheetView>
  </sheetViews>
  <sheetFormatPr baseColWidth="10" defaultRowHeight="14.5" x14ac:dyDescent="0.35"/>
  <cols>
    <col min="1" max="1" width="14.7265625" customWidth="1"/>
    <col min="5" max="5" width="14.08984375" customWidth="1"/>
    <col min="10" max="10" width="15" customWidth="1"/>
  </cols>
  <sheetData>
    <row r="1" spans="1:5" x14ac:dyDescent="0.35">
      <c r="A1" s="2" t="s">
        <v>178</v>
      </c>
    </row>
    <row r="3" spans="1:5" x14ac:dyDescent="0.35">
      <c r="A3" s="145" t="s">
        <v>143</v>
      </c>
      <c r="B3" s="146"/>
    </row>
    <row r="4" spans="1:5" x14ac:dyDescent="0.35">
      <c r="A4" s="145" t="s">
        <v>144</v>
      </c>
      <c r="B4" s="146"/>
    </row>
    <row r="5" spans="1:5" ht="15" thickBot="1" x14ac:dyDescent="0.4"/>
    <row r="6" spans="1:5" x14ac:dyDescent="0.35">
      <c r="A6" s="237" t="s">
        <v>145</v>
      </c>
      <c r="B6" s="239" t="s">
        <v>146</v>
      </c>
      <c r="C6" s="240"/>
      <c r="D6" s="241" t="s">
        <v>147</v>
      </c>
      <c r="E6" s="240"/>
    </row>
    <row r="7" spans="1:5" x14ac:dyDescent="0.35">
      <c r="A7" s="238"/>
      <c r="B7" s="103">
        <v>1</v>
      </c>
      <c r="C7" s="104">
        <v>2</v>
      </c>
      <c r="D7" s="105">
        <v>1</v>
      </c>
      <c r="E7" s="104">
        <v>2</v>
      </c>
    </row>
    <row r="8" spans="1:5" x14ac:dyDescent="0.35">
      <c r="A8" s="106">
        <v>1</v>
      </c>
      <c r="B8" s="107">
        <v>131.80000000000001</v>
      </c>
      <c r="C8" s="108">
        <v>129.4</v>
      </c>
      <c r="D8" s="109">
        <v>163.95</v>
      </c>
      <c r="E8" s="108">
        <v>159.31</v>
      </c>
    </row>
    <row r="9" spans="1:5" x14ac:dyDescent="0.35">
      <c r="A9" s="110">
        <v>2</v>
      </c>
      <c r="B9" s="111">
        <v>135.69999999999999</v>
      </c>
      <c r="C9" s="112">
        <v>126.6</v>
      </c>
      <c r="D9" s="113">
        <v>162.51</v>
      </c>
      <c r="E9" s="112">
        <v>164.02</v>
      </c>
    </row>
    <row r="10" spans="1:5" x14ac:dyDescent="0.35">
      <c r="A10" s="110">
        <v>3</v>
      </c>
      <c r="B10" s="111">
        <v>140.6</v>
      </c>
      <c r="C10" s="112">
        <v>124.9</v>
      </c>
      <c r="D10" s="113">
        <v>166.37</v>
      </c>
      <c r="E10" s="112">
        <v>161.51</v>
      </c>
    </row>
    <row r="11" spans="1:5" x14ac:dyDescent="0.35">
      <c r="A11" s="110">
        <v>4</v>
      </c>
      <c r="B11" s="114">
        <v>135</v>
      </c>
      <c r="C11" s="112">
        <v>128.9</v>
      </c>
      <c r="D11" s="113">
        <v>170.03</v>
      </c>
      <c r="E11" s="112">
        <v>159.88999999999999</v>
      </c>
    </row>
    <row r="12" spans="1:5" x14ac:dyDescent="0.35">
      <c r="A12" s="110">
        <v>5</v>
      </c>
      <c r="B12" s="111">
        <v>136.69999999999999</v>
      </c>
      <c r="C12" s="112">
        <v>126.9</v>
      </c>
      <c r="D12" s="113">
        <v>165.21</v>
      </c>
      <c r="E12" s="115">
        <v>162.30000000000001</v>
      </c>
    </row>
    <row r="13" spans="1:5" x14ac:dyDescent="0.35">
      <c r="A13" s="110">
        <v>6</v>
      </c>
      <c r="B13" s="114">
        <v>134</v>
      </c>
      <c r="C13" s="112">
        <v>129.9</v>
      </c>
      <c r="D13" s="113">
        <v>164.94</v>
      </c>
      <c r="E13" s="112">
        <v>160.88</v>
      </c>
    </row>
    <row r="14" spans="1:5" x14ac:dyDescent="0.35">
      <c r="A14" s="110">
        <v>7</v>
      </c>
      <c r="B14" s="111">
        <v>142.1</v>
      </c>
      <c r="C14" s="112">
        <v>117.2</v>
      </c>
      <c r="D14" s="113">
        <v>167.24</v>
      </c>
      <c r="E14" s="112">
        <v>148.01</v>
      </c>
    </row>
    <row r="15" spans="1:5" x14ac:dyDescent="0.35">
      <c r="A15" s="110">
        <v>8</v>
      </c>
      <c r="B15" s="111">
        <v>138.30000000000001</v>
      </c>
      <c r="C15" s="116">
        <v>128</v>
      </c>
      <c r="D15" s="113">
        <v>170.73</v>
      </c>
      <c r="E15" s="112">
        <v>155.13999999999999</v>
      </c>
    </row>
    <row r="16" spans="1:5" x14ac:dyDescent="0.35">
      <c r="A16" s="110">
        <v>9</v>
      </c>
      <c r="B16" s="111">
        <v>133.5</v>
      </c>
      <c r="C16" s="112">
        <v>127.6</v>
      </c>
      <c r="D16" s="113">
        <v>166.31</v>
      </c>
      <c r="E16" s="112">
        <v>159.03</v>
      </c>
    </row>
    <row r="17" spans="1:5" x14ac:dyDescent="0.35">
      <c r="A17" s="110">
        <v>10</v>
      </c>
      <c r="B17" s="111">
        <v>134.4</v>
      </c>
      <c r="C17" s="112">
        <v>128.1</v>
      </c>
      <c r="D17" s="113">
        <v>167.48</v>
      </c>
      <c r="E17" s="112">
        <v>159.27000000000001</v>
      </c>
    </row>
    <row r="18" spans="1:5" x14ac:dyDescent="0.35">
      <c r="A18" s="110">
        <v>11</v>
      </c>
      <c r="B18" s="111">
        <v>137.6</v>
      </c>
      <c r="C18" s="112">
        <v>132.1</v>
      </c>
      <c r="D18" s="113">
        <v>166.08</v>
      </c>
      <c r="E18" s="112">
        <v>159.09</v>
      </c>
    </row>
    <row r="19" spans="1:5" x14ac:dyDescent="0.35">
      <c r="A19" s="110">
        <v>12</v>
      </c>
      <c r="B19" s="111">
        <v>142.6</v>
      </c>
      <c r="C19" s="112">
        <v>132.30000000000001</v>
      </c>
      <c r="D19" s="113">
        <v>161.88</v>
      </c>
      <c r="E19" s="112">
        <v>161.88</v>
      </c>
    </row>
    <row r="20" spans="1:5" x14ac:dyDescent="0.35">
      <c r="A20" s="117" t="s">
        <v>131</v>
      </c>
      <c r="B20" s="118">
        <f>AVERAGE(B8:B19)</f>
        <v>136.85833333333332</v>
      </c>
      <c r="C20" s="119">
        <f>AVERAGE(C8:C19)</f>
        <v>127.6583333333333</v>
      </c>
      <c r="D20" s="120">
        <f>AVERAGE(D8:D19)</f>
        <v>166.06083333333333</v>
      </c>
      <c r="E20" s="119">
        <f>AVERAGE(E8:E19)</f>
        <v>159.19416666666666</v>
      </c>
    </row>
    <row r="21" spans="1:5" x14ac:dyDescent="0.35">
      <c r="A21" s="117" t="s">
        <v>148</v>
      </c>
      <c r="B21" s="242">
        <v>127.16</v>
      </c>
      <c r="C21" s="243"/>
      <c r="D21" s="244">
        <v>158.83000000000001</v>
      </c>
      <c r="E21" s="243"/>
    </row>
    <row r="24" spans="1:5" x14ac:dyDescent="0.35">
      <c r="A24" s="151" t="s">
        <v>186</v>
      </c>
      <c r="B24" s="151"/>
    </row>
    <row r="26" spans="1:5" x14ac:dyDescent="0.35">
      <c r="A26" s="167" t="s">
        <v>187</v>
      </c>
      <c r="B26" s="148">
        <v>136.86000000000001</v>
      </c>
    </row>
    <row r="27" spans="1:5" x14ac:dyDescent="0.35">
      <c r="A27" s="167" t="s">
        <v>188</v>
      </c>
      <c r="B27" s="148">
        <v>127.66</v>
      </c>
    </row>
    <row r="28" spans="1:5" x14ac:dyDescent="0.35">
      <c r="A28" s="167" t="s">
        <v>189</v>
      </c>
      <c r="B28" s="148">
        <v>127.16</v>
      </c>
    </row>
    <row r="30" spans="1:5" x14ac:dyDescent="0.35">
      <c r="A30" s="168"/>
    </row>
    <row r="31" spans="1:5" x14ac:dyDescent="0.35">
      <c r="A31" s="169" t="s">
        <v>190</v>
      </c>
      <c r="B31" s="170"/>
    </row>
    <row r="33" spans="1:13" ht="15" thickBot="1" x14ac:dyDescent="0.4">
      <c r="A33" s="167" t="s">
        <v>191</v>
      </c>
      <c r="B33" s="148">
        <v>166.06</v>
      </c>
    </row>
    <row r="34" spans="1:13" ht="15.5" x14ac:dyDescent="0.35">
      <c r="A34" s="167" t="s">
        <v>192</v>
      </c>
      <c r="B34" s="148">
        <v>159.19</v>
      </c>
      <c r="E34" s="298"/>
      <c r="F34" s="305" t="s">
        <v>201</v>
      </c>
      <c r="G34" s="305" t="s">
        <v>202</v>
      </c>
      <c r="H34" s="306" t="s">
        <v>226</v>
      </c>
      <c r="J34" s="310"/>
      <c r="K34" s="317" t="s">
        <v>203</v>
      </c>
      <c r="L34" s="317" t="s">
        <v>204</v>
      </c>
      <c r="M34" s="318" t="s">
        <v>228</v>
      </c>
    </row>
    <row r="35" spans="1:13" ht="15.5" x14ac:dyDescent="0.35">
      <c r="A35" s="167" t="s">
        <v>193</v>
      </c>
      <c r="B35" s="161">
        <v>158.83000000000001</v>
      </c>
      <c r="E35" s="299" t="s">
        <v>181</v>
      </c>
      <c r="F35" s="300">
        <v>136.86000000000001</v>
      </c>
      <c r="G35" s="300">
        <v>127.66</v>
      </c>
      <c r="H35" s="301">
        <v>127.16</v>
      </c>
      <c r="J35" s="311" t="s">
        <v>181</v>
      </c>
      <c r="K35" s="312">
        <v>166.06</v>
      </c>
      <c r="L35" s="312">
        <v>159.19</v>
      </c>
      <c r="M35" s="313">
        <v>158.83000000000001</v>
      </c>
    </row>
    <row r="36" spans="1:13" ht="15.5" x14ac:dyDescent="0.35">
      <c r="E36" s="299" t="s">
        <v>182</v>
      </c>
      <c r="F36" s="300">
        <v>12.09</v>
      </c>
      <c r="G36" s="300">
        <v>15.44</v>
      </c>
      <c r="H36" s="301">
        <v>25.85</v>
      </c>
      <c r="J36" s="311" t="s">
        <v>182</v>
      </c>
      <c r="K36" s="312">
        <v>7.06</v>
      </c>
      <c r="L36" s="312">
        <v>17.309999999999999</v>
      </c>
      <c r="M36" s="313">
        <v>5.27</v>
      </c>
    </row>
    <row r="37" spans="1:13" ht="15.5" x14ac:dyDescent="0.35">
      <c r="E37" s="299" t="s">
        <v>183</v>
      </c>
      <c r="F37" s="300">
        <v>12</v>
      </c>
      <c r="G37" s="300">
        <v>12</v>
      </c>
      <c r="H37" s="301">
        <v>44</v>
      </c>
      <c r="J37" s="311" t="s">
        <v>183</v>
      </c>
      <c r="K37" s="312">
        <v>12</v>
      </c>
      <c r="L37" s="312">
        <v>12</v>
      </c>
      <c r="M37" s="313">
        <v>44</v>
      </c>
    </row>
    <row r="38" spans="1:13" ht="15.5" x14ac:dyDescent="0.35">
      <c r="E38" s="299" t="s">
        <v>184</v>
      </c>
      <c r="F38" s="300">
        <v>7.6769999999999996</v>
      </c>
      <c r="G38" s="300">
        <v>0.36099999999999999</v>
      </c>
      <c r="H38" s="301"/>
      <c r="J38" s="311" t="s">
        <v>184</v>
      </c>
      <c r="K38" s="312">
        <v>8.5909999999999993</v>
      </c>
      <c r="L38" s="312">
        <v>0.28999999999999998</v>
      </c>
      <c r="M38" s="313"/>
    </row>
    <row r="39" spans="1:13" ht="15.5" x14ac:dyDescent="0.35">
      <c r="E39" s="299" t="s">
        <v>205</v>
      </c>
      <c r="F39" s="300">
        <v>1E-3</v>
      </c>
      <c r="G39" s="300">
        <v>0.72</v>
      </c>
      <c r="H39" s="301"/>
      <c r="J39" s="311" t="s">
        <v>205</v>
      </c>
      <c r="K39" s="312">
        <v>1E-3</v>
      </c>
      <c r="L39" s="312">
        <v>0.78</v>
      </c>
      <c r="M39" s="313"/>
    </row>
    <row r="40" spans="1:13" ht="15.5" x14ac:dyDescent="0.35">
      <c r="E40" s="302" t="s">
        <v>185</v>
      </c>
      <c r="F40" s="303">
        <v>2.06</v>
      </c>
      <c r="G40" s="303">
        <v>2.0739999999999998</v>
      </c>
      <c r="H40" s="304"/>
      <c r="J40" s="314" t="s">
        <v>185</v>
      </c>
      <c r="K40" s="315">
        <v>2.12</v>
      </c>
      <c r="L40" s="315">
        <v>2.16</v>
      </c>
      <c r="M40" s="316"/>
    </row>
    <row r="41" spans="1:13" ht="15" thickBot="1" x14ac:dyDescent="0.4">
      <c r="E41" s="297" t="s">
        <v>227</v>
      </c>
      <c r="F41" s="307"/>
      <c r="G41" s="307"/>
      <c r="H41" s="308"/>
      <c r="J41" s="297" t="s">
        <v>227</v>
      </c>
      <c r="K41" s="307"/>
      <c r="L41" s="307"/>
      <c r="M41" s="308"/>
    </row>
  </sheetData>
  <mergeCells count="7">
    <mergeCell ref="E41:H41"/>
    <mergeCell ref="J41:M41"/>
    <mergeCell ref="A6:A7"/>
    <mergeCell ref="B6:C6"/>
    <mergeCell ref="D6:E6"/>
    <mergeCell ref="B21:C21"/>
    <mergeCell ref="D21:E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99B3-EA91-4478-9E74-E4FA32489E91}">
  <dimension ref="A1:I29"/>
  <sheetViews>
    <sheetView zoomScale="110" zoomScaleNormal="110" workbookViewId="0">
      <selection activeCell="L22" sqref="L22"/>
    </sheetView>
  </sheetViews>
  <sheetFormatPr baseColWidth="10" defaultRowHeight="14.5" x14ac:dyDescent="0.35"/>
  <cols>
    <col min="6" max="6" width="17.08984375" customWidth="1"/>
    <col min="7" max="7" width="14.90625" customWidth="1"/>
    <col min="8" max="8" width="16.26953125" customWidth="1"/>
    <col min="9" max="9" width="19" customWidth="1"/>
  </cols>
  <sheetData>
    <row r="1" spans="1:4" x14ac:dyDescent="0.35">
      <c r="A1" s="2" t="s">
        <v>149</v>
      </c>
    </row>
    <row r="2" spans="1:4" ht="15" thickBot="1" x14ac:dyDescent="0.4"/>
    <row r="3" spans="1:4" x14ac:dyDescent="0.35">
      <c r="A3" s="220" t="s">
        <v>145</v>
      </c>
      <c r="B3" s="245" t="s">
        <v>150</v>
      </c>
      <c r="C3" s="222" t="s">
        <v>151</v>
      </c>
      <c r="D3" s="224" t="s">
        <v>152</v>
      </c>
    </row>
    <row r="4" spans="1:4" ht="15" thickBot="1" x14ac:dyDescent="0.4">
      <c r="A4" s="221"/>
      <c r="B4" s="246"/>
      <c r="C4" s="223"/>
      <c r="D4" s="225"/>
    </row>
    <row r="5" spans="1:4" x14ac:dyDescent="0.35">
      <c r="A5" s="81">
        <v>1</v>
      </c>
      <c r="B5" s="64">
        <v>6.6145382962309078</v>
      </c>
      <c r="C5" s="121">
        <v>4.4869168483771062</v>
      </c>
      <c r="D5" s="64">
        <v>3.0686138833173811</v>
      </c>
    </row>
    <row r="6" spans="1:4" x14ac:dyDescent="0.35">
      <c r="A6" s="76">
        <v>2</v>
      </c>
      <c r="B6" s="32">
        <v>4.4345802022796725</v>
      </c>
      <c r="C6" s="122">
        <v>7.5362438432739784</v>
      </c>
      <c r="D6" s="32">
        <v>6.6145382962309078</v>
      </c>
    </row>
    <row r="7" spans="1:4" x14ac:dyDescent="0.35">
      <c r="A7" s="76">
        <v>3</v>
      </c>
      <c r="B7" s="32">
        <v>2.8349387222469122</v>
      </c>
      <c r="C7" s="122">
        <v>8.9536743692826732</v>
      </c>
      <c r="D7" s="32">
        <v>4.4345802022796725</v>
      </c>
    </row>
    <row r="8" spans="1:4" x14ac:dyDescent="0.35">
      <c r="A8" s="76">
        <v>4</v>
      </c>
      <c r="B8" s="32">
        <v>5.7856200705267984</v>
      </c>
      <c r="C8" s="122">
        <v>4.9232624764608222</v>
      </c>
      <c r="D8" s="32">
        <v>2.8349387222469122</v>
      </c>
    </row>
    <row r="9" spans="1:4" x14ac:dyDescent="0.35">
      <c r="A9" s="76">
        <v>5</v>
      </c>
      <c r="B9" s="32">
        <v>0.33886712880005071</v>
      </c>
      <c r="C9" s="122">
        <v>4.7146929086229807</v>
      </c>
      <c r="D9" s="32">
        <v>5.7856200705267984</v>
      </c>
    </row>
    <row r="10" spans="1:4" x14ac:dyDescent="0.35">
      <c r="A10" s="76">
        <v>6</v>
      </c>
      <c r="B10" s="32">
        <v>2.1031595153499367</v>
      </c>
      <c r="C10" s="122">
        <v>2.622673922682472</v>
      </c>
      <c r="D10" s="32">
        <v>0.33886712880005071</v>
      </c>
    </row>
    <row r="11" spans="1:4" x14ac:dyDescent="0.35">
      <c r="A11" s="76">
        <v>7</v>
      </c>
      <c r="B11" s="32">
        <v>2.714869184816779</v>
      </c>
      <c r="C11" s="122">
        <v>1.2541378071930633</v>
      </c>
      <c r="D11" s="32">
        <v>6.7729107932198662</v>
      </c>
    </row>
    <row r="12" spans="1:4" x14ac:dyDescent="0.35">
      <c r="A12" s="76">
        <v>8</v>
      </c>
      <c r="B12" s="32">
        <v>3.0215098238241702</v>
      </c>
      <c r="C12" s="122">
        <v>4.9008673969110745</v>
      </c>
      <c r="D12" s="32">
        <v>3.5137337234979928</v>
      </c>
    </row>
    <row r="13" spans="1:4" x14ac:dyDescent="0.35">
      <c r="A13" s="76">
        <v>9</v>
      </c>
      <c r="B13" s="32">
        <v>3.7450640787748806</v>
      </c>
      <c r="C13" s="122">
        <v>7.1650693278146846</v>
      </c>
      <c r="D13" s="32">
        <v>1.7422449924808587</v>
      </c>
    </row>
    <row r="14" spans="1:4" x14ac:dyDescent="0.35">
      <c r="A14" s="76">
        <v>10</v>
      </c>
      <c r="B14" s="32">
        <v>1.5905583598798185</v>
      </c>
      <c r="C14" s="122">
        <v>1.9876803741516</v>
      </c>
      <c r="D14" s="32">
        <v>1.0262473548683171</v>
      </c>
    </row>
    <row r="15" spans="1:4" x14ac:dyDescent="0.35">
      <c r="A15" s="76">
        <v>11</v>
      </c>
      <c r="B15" s="32">
        <v>2.6346790950927854</v>
      </c>
      <c r="C15" s="122">
        <v>2.5638109465219889</v>
      </c>
      <c r="D15" s="32">
        <v>2.1877077521791271</v>
      </c>
    </row>
    <row r="16" spans="1:4" ht="15" thickBot="1" x14ac:dyDescent="0.4">
      <c r="A16" s="78">
        <v>12</v>
      </c>
      <c r="B16" s="87"/>
      <c r="C16" s="123">
        <v>2.0773284487216901</v>
      </c>
      <c r="D16" s="87">
        <v>2.4883118615581328</v>
      </c>
    </row>
    <row r="17" spans="1:9" ht="15" thickBot="1" x14ac:dyDescent="0.4">
      <c r="A17" s="124" t="s">
        <v>131</v>
      </c>
      <c r="B17" s="125">
        <f>AVERAGE(B5:B16)</f>
        <v>3.2562167707111556</v>
      </c>
      <c r="C17" s="126">
        <f>AVERAGE(C5:C16)</f>
        <v>4.4321965558345111</v>
      </c>
      <c r="D17" s="127">
        <f>AVERAGE(D5:D16)</f>
        <v>3.4006928984338347</v>
      </c>
    </row>
    <row r="19" spans="1:9" ht="15" thickBot="1" x14ac:dyDescent="0.4"/>
    <row r="20" spans="1:9" x14ac:dyDescent="0.35">
      <c r="A20" s="220" t="s">
        <v>198</v>
      </c>
      <c r="B20" s="222" t="s">
        <v>199</v>
      </c>
      <c r="C20" s="224" t="s">
        <v>200</v>
      </c>
      <c r="F20" s="147" t="s">
        <v>179</v>
      </c>
      <c r="G20" s="147"/>
      <c r="H20" s="147"/>
      <c r="I20" s="147"/>
    </row>
    <row r="21" spans="1:9" ht="15" thickBot="1" x14ac:dyDescent="0.4">
      <c r="A21" s="221"/>
      <c r="B21" s="223"/>
      <c r="C21" s="225"/>
      <c r="F21" s="147"/>
      <c r="G21" s="147"/>
      <c r="H21" s="147"/>
      <c r="I21" s="147"/>
    </row>
    <row r="22" spans="1:9" ht="15.5" x14ac:dyDescent="0.35">
      <c r="A22" s="81">
        <v>4.4320000000000004</v>
      </c>
      <c r="B22" s="81">
        <v>3.4009999999999998</v>
      </c>
      <c r="C22" s="128">
        <v>3.2559999999999998</v>
      </c>
      <c r="F22" s="320"/>
      <c r="G22" s="327" t="s">
        <v>229</v>
      </c>
      <c r="H22" s="327" t="s">
        <v>180</v>
      </c>
      <c r="I22" s="328" t="s">
        <v>230</v>
      </c>
    </row>
    <row r="23" spans="1:9" ht="15.5" x14ac:dyDescent="0.35">
      <c r="F23" s="321" t="s">
        <v>181</v>
      </c>
      <c r="G23" s="322">
        <v>4.4320000000000004</v>
      </c>
      <c r="H23" s="322">
        <v>3.4009999999999998</v>
      </c>
      <c r="I23" s="323">
        <v>3.2559999999999998</v>
      </c>
    </row>
    <row r="24" spans="1:9" ht="15.5" x14ac:dyDescent="0.35">
      <c r="F24" s="321" t="s">
        <v>182</v>
      </c>
      <c r="G24" s="322">
        <v>6.0430000000000001</v>
      </c>
      <c r="H24" s="322">
        <v>4.452</v>
      </c>
      <c r="I24" s="323">
        <v>3.2829999999999999</v>
      </c>
    </row>
    <row r="25" spans="1:9" ht="15.5" x14ac:dyDescent="0.35">
      <c r="F25" s="321" t="s">
        <v>183</v>
      </c>
      <c r="G25" s="322">
        <v>12</v>
      </c>
      <c r="H25" s="322">
        <v>12</v>
      </c>
      <c r="I25" s="323">
        <v>11</v>
      </c>
    </row>
    <row r="26" spans="1:9" ht="15.5" x14ac:dyDescent="0.35">
      <c r="F26" s="321" t="s">
        <v>184</v>
      </c>
      <c r="G26" s="322">
        <v>1.3129999999999999</v>
      </c>
      <c r="H26" s="322">
        <v>0.17699999999999999</v>
      </c>
      <c r="I26" s="323"/>
    </row>
    <row r="27" spans="1:9" ht="15.5" x14ac:dyDescent="0.35">
      <c r="F27" s="321" t="s">
        <v>205</v>
      </c>
      <c r="G27" s="329">
        <v>0.2</v>
      </c>
      <c r="H27" s="322">
        <v>0.86</v>
      </c>
      <c r="I27" s="323"/>
    </row>
    <row r="28" spans="1:9" ht="15.5" x14ac:dyDescent="0.35">
      <c r="F28" s="324" t="s">
        <v>185</v>
      </c>
      <c r="G28" s="325">
        <v>2.0859999999999999</v>
      </c>
      <c r="H28" s="325">
        <v>2.08</v>
      </c>
      <c r="I28" s="326"/>
    </row>
    <row r="29" spans="1:9" ht="15" thickBot="1" x14ac:dyDescent="0.4">
      <c r="F29" s="297" t="s">
        <v>227</v>
      </c>
      <c r="G29" s="307"/>
      <c r="H29" s="307"/>
      <c r="I29" s="308"/>
    </row>
  </sheetData>
  <mergeCells count="8">
    <mergeCell ref="F29:I29"/>
    <mergeCell ref="A3:A4"/>
    <mergeCell ref="B3:B4"/>
    <mergeCell ref="C3:C4"/>
    <mergeCell ref="D3:D4"/>
    <mergeCell ref="A20:A21"/>
    <mergeCell ref="B20:B21"/>
    <mergeCell ref="C20:C2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37F4-48F9-44B7-98C7-85A9CDC2422D}">
  <dimension ref="A1:I46"/>
  <sheetViews>
    <sheetView tabSelected="1" topLeftCell="A22" zoomScaleNormal="100" workbookViewId="0">
      <selection activeCell="F51" sqref="F51:F52"/>
    </sheetView>
  </sheetViews>
  <sheetFormatPr baseColWidth="10" defaultRowHeight="14.5" x14ac:dyDescent="0.35"/>
  <cols>
    <col min="3" max="3" width="22.54296875" customWidth="1"/>
    <col min="4" max="4" width="17.90625" customWidth="1"/>
    <col min="5" max="5" width="14.453125" customWidth="1"/>
    <col min="6" max="6" width="19.6328125" customWidth="1"/>
    <col min="7" max="7" width="14.36328125" customWidth="1"/>
  </cols>
  <sheetData>
    <row r="1" spans="1:9" x14ac:dyDescent="0.35">
      <c r="A1" s="2" t="s">
        <v>153</v>
      </c>
      <c r="B1" s="2"/>
      <c r="C1" s="2"/>
    </row>
    <row r="4" spans="1:9" x14ac:dyDescent="0.35">
      <c r="A4" s="2" t="s">
        <v>154</v>
      </c>
      <c r="F4" s="2" t="s">
        <v>155</v>
      </c>
    </row>
    <row r="5" spans="1:9" ht="15" thickBot="1" x14ac:dyDescent="0.4"/>
    <row r="6" spans="1:9" ht="15" thickBot="1" x14ac:dyDescent="0.4">
      <c r="A6" s="124" t="s">
        <v>29</v>
      </c>
      <c r="B6" s="129" t="s">
        <v>156</v>
      </c>
      <c r="C6" s="130" t="s">
        <v>17</v>
      </c>
      <c r="D6" s="131" t="s">
        <v>157</v>
      </c>
      <c r="F6" s="124" t="s">
        <v>29</v>
      </c>
      <c r="G6" s="129" t="s">
        <v>156</v>
      </c>
      <c r="H6" s="129" t="s">
        <v>17</v>
      </c>
      <c r="I6" s="131" t="s">
        <v>157</v>
      </c>
    </row>
    <row r="7" spans="1:9" x14ac:dyDescent="0.35">
      <c r="A7" s="132">
        <v>1</v>
      </c>
      <c r="B7" s="133">
        <v>28.2</v>
      </c>
      <c r="C7" s="134">
        <v>265</v>
      </c>
      <c r="D7" s="64">
        <f t="shared" ref="D7:D18" si="0">(C7/(B7)^3)*100</f>
        <v>1.181676364439336</v>
      </c>
      <c r="F7" s="132">
        <v>1</v>
      </c>
      <c r="G7" s="133">
        <v>33.299999999999997</v>
      </c>
      <c r="H7" s="134">
        <v>492</v>
      </c>
      <c r="I7" s="64">
        <f>(H7/(G7)^3)*100</f>
        <v>1.3323931837039542</v>
      </c>
    </row>
    <row r="8" spans="1:9" x14ac:dyDescent="0.35">
      <c r="A8" s="135">
        <v>2</v>
      </c>
      <c r="B8" s="136">
        <v>29.1</v>
      </c>
      <c r="C8" s="137">
        <v>268</v>
      </c>
      <c r="D8" s="32">
        <f t="shared" si="0"/>
        <v>1.0875665135186343</v>
      </c>
      <c r="F8" s="135">
        <v>2</v>
      </c>
      <c r="G8" s="136">
        <v>34.299999999999997</v>
      </c>
      <c r="H8" s="137">
        <v>496</v>
      </c>
      <c r="I8" s="32">
        <f t="shared" ref="I8:I18" si="1">(H8/(G8)^3)*100</f>
        <v>1.2291342382355068</v>
      </c>
    </row>
    <row r="9" spans="1:9" x14ac:dyDescent="0.35">
      <c r="A9" s="135">
        <v>3</v>
      </c>
      <c r="B9" s="136">
        <v>26.3</v>
      </c>
      <c r="C9" s="137">
        <v>180</v>
      </c>
      <c r="D9" s="32">
        <f t="shared" si="0"/>
        <v>0.98947598835870498</v>
      </c>
      <c r="F9" s="135">
        <v>3</v>
      </c>
      <c r="G9" s="136">
        <v>31</v>
      </c>
      <c r="H9" s="137">
        <v>332</v>
      </c>
      <c r="I9" s="32">
        <f t="shared" si="1"/>
        <v>1.1144305327112214</v>
      </c>
    </row>
    <row r="10" spans="1:9" x14ac:dyDescent="0.35">
      <c r="A10" s="135">
        <v>4</v>
      </c>
      <c r="B10" s="136">
        <v>26.7</v>
      </c>
      <c r="C10" s="137">
        <v>200</v>
      </c>
      <c r="D10" s="32">
        <f t="shared" si="0"/>
        <v>1.0507422890095037</v>
      </c>
      <c r="F10" s="135">
        <v>4</v>
      </c>
      <c r="G10" s="136">
        <v>31.4</v>
      </c>
      <c r="H10" s="137">
        <v>372</v>
      </c>
      <c r="I10" s="32">
        <f t="shared" si="1"/>
        <v>1.20158360967603</v>
      </c>
    </row>
    <row r="11" spans="1:9" x14ac:dyDescent="0.35">
      <c r="A11" s="135">
        <v>5</v>
      </c>
      <c r="B11" s="136">
        <v>25.6</v>
      </c>
      <c r="C11" s="137">
        <v>161</v>
      </c>
      <c r="D11" s="32">
        <f t="shared" si="0"/>
        <v>0.95963478088378884</v>
      </c>
      <c r="F11" s="135">
        <v>5</v>
      </c>
      <c r="G11" s="136">
        <v>31.1</v>
      </c>
      <c r="H11" s="137">
        <v>308</v>
      </c>
      <c r="I11" s="32">
        <f t="shared" si="1"/>
        <v>1.023928306933547</v>
      </c>
    </row>
    <row r="12" spans="1:9" x14ac:dyDescent="0.35">
      <c r="A12" s="135">
        <v>6</v>
      </c>
      <c r="B12" s="136">
        <v>29.1</v>
      </c>
      <c r="C12" s="137">
        <v>320</v>
      </c>
      <c r="D12" s="32">
        <f t="shared" si="0"/>
        <v>1.2985868818132946</v>
      </c>
      <c r="F12" s="135">
        <v>6</v>
      </c>
      <c r="G12" s="136">
        <v>36.200000000000003</v>
      </c>
      <c r="H12" s="137">
        <v>606</v>
      </c>
      <c r="I12" s="32">
        <f t="shared" si="1"/>
        <v>1.2774588299893701</v>
      </c>
    </row>
    <row r="13" spans="1:9" x14ac:dyDescent="0.35">
      <c r="A13" s="135">
        <v>7</v>
      </c>
      <c r="B13" s="136">
        <v>28</v>
      </c>
      <c r="C13" s="137">
        <v>250</v>
      </c>
      <c r="D13" s="32">
        <f t="shared" si="0"/>
        <v>1.1388483965014577</v>
      </c>
      <c r="F13" s="135">
        <v>7</v>
      </c>
      <c r="G13" s="136">
        <v>33.4</v>
      </c>
      <c r="H13" s="137">
        <v>460</v>
      </c>
      <c r="I13" s="32">
        <f t="shared" si="1"/>
        <v>1.2345777089372476</v>
      </c>
    </row>
    <row r="14" spans="1:9" x14ac:dyDescent="0.35">
      <c r="A14" s="135">
        <v>8</v>
      </c>
      <c r="B14" s="136">
        <v>27.9</v>
      </c>
      <c r="C14" s="137">
        <v>240</v>
      </c>
      <c r="D14" s="32">
        <f t="shared" si="0"/>
        <v>1.10509250107712</v>
      </c>
      <c r="F14" s="135">
        <v>8</v>
      </c>
      <c r="G14" s="136">
        <v>33.700000000000003</v>
      </c>
      <c r="H14" s="137">
        <v>444</v>
      </c>
      <c r="I14" s="32">
        <f t="shared" si="1"/>
        <v>1.1600942320506702</v>
      </c>
    </row>
    <row r="15" spans="1:9" x14ac:dyDescent="0.35">
      <c r="A15" s="135">
        <v>9</v>
      </c>
      <c r="B15" s="136">
        <v>29.2</v>
      </c>
      <c r="C15" s="137">
        <v>280</v>
      </c>
      <c r="D15" s="32">
        <f t="shared" si="0"/>
        <v>1.1246295149055183</v>
      </c>
      <c r="F15" s="135">
        <v>9</v>
      </c>
      <c r="G15" s="136">
        <v>33.700000000000003</v>
      </c>
      <c r="H15" s="137">
        <v>502</v>
      </c>
      <c r="I15" s="32">
        <f t="shared" si="1"/>
        <v>1.3116380731744064</v>
      </c>
    </row>
    <row r="16" spans="1:9" x14ac:dyDescent="0.35">
      <c r="A16" s="135">
        <v>10</v>
      </c>
      <c r="B16" s="136">
        <v>25</v>
      </c>
      <c r="C16" s="137">
        <v>165</v>
      </c>
      <c r="D16" s="32">
        <f t="shared" si="0"/>
        <v>1.056</v>
      </c>
      <c r="F16" s="135">
        <v>10</v>
      </c>
      <c r="G16" s="136">
        <v>29.9</v>
      </c>
      <c r="H16" s="137">
        <v>294</v>
      </c>
      <c r="I16" s="32">
        <f t="shared" si="1"/>
        <v>1.0998507756884648</v>
      </c>
    </row>
    <row r="17" spans="1:9" x14ac:dyDescent="0.35">
      <c r="A17" s="135">
        <v>11</v>
      </c>
      <c r="B17" s="136">
        <v>28.1</v>
      </c>
      <c r="C17" s="137">
        <v>250</v>
      </c>
      <c r="D17" s="32">
        <f t="shared" si="0"/>
        <v>1.1267330901362582</v>
      </c>
      <c r="F17" s="135">
        <v>11</v>
      </c>
      <c r="G17" s="136">
        <v>33.5</v>
      </c>
      <c r="H17" s="137">
        <v>462</v>
      </c>
      <c r="I17" s="32">
        <f t="shared" si="1"/>
        <v>1.2288745623630566</v>
      </c>
    </row>
    <row r="18" spans="1:9" ht="15" thickBot="1" x14ac:dyDescent="0.4">
      <c r="A18" s="138">
        <v>12</v>
      </c>
      <c r="B18" s="139">
        <v>28.1</v>
      </c>
      <c r="C18" s="140">
        <v>261</v>
      </c>
      <c r="D18" s="87">
        <f t="shared" si="0"/>
        <v>1.1763093461022536</v>
      </c>
      <c r="F18" s="138">
        <v>12</v>
      </c>
      <c r="G18" s="139">
        <v>34.5</v>
      </c>
      <c r="H18" s="140">
        <v>486</v>
      </c>
      <c r="I18" s="87">
        <f t="shared" si="1"/>
        <v>1.1835292183775787</v>
      </c>
    </row>
    <row r="19" spans="1:9" ht="15" thickBot="1" x14ac:dyDescent="0.4">
      <c r="A19" s="124" t="s">
        <v>131</v>
      </c>
      <c r="B19" s="141">
        <f>AVERAGE(B7:B18)</f>
        <v>27.608333333333338</v>
      </c>
      <c r="C19" s="141">
        <f>AVERAGE(C7:C18)</f>
        <v>236.66666666666666</v>
      </c>
      <c r="D19" s="127">
        <f>AVERAGE(D7:D18)</f>
        <v>1.1079413055621561</v>
      </c>
      <c r="F19" s="124" t="s">
        <v>131</v>
      </c>
      <c r="G19" s="141">
        <f>AVERAGE(G7:G18)</f>
        <v>33</v>
      </c>
      <c r="H19" s="141">
        <f>AVERAGE(H7:H18)</f>
        <v>437.83333333333331</v>
      </c>
      <c r="I19" s="127">
        <f>AVERAGE(I7:I18)</f>
        <v>1.1997911059867545</v>
      </c>
    </row>
    <row r="21" spans="1:9" x14ac:dyDescent="0.35">
      <c r="A21" s="2" t="s">
        <v>158</v>
      </c>
      <c r="B21" s="2"/>
      <c r="C21" s="2"/>
    </row>
    <row r="22" spans="1:9" ht="15" thickBot="1" x14ac:dyDescent="0.4"/>
    <row r="23" spans="1:9" ht="15" thickBot="1" x14ac:dyDescent="0.4">
      <c r="A23" s="178">
        <v>44281</v>
      </c>
      <c r="B23" s="179">
        <v>44314</v>
      </c>
    </row>
    <row r="24" spans="1:9" x14ac:dyDescent="0.35">
      <c r="A24" s="50">
        <f>AVERAGE(B7:B18)</f>
        <v>27.608333333333338</v>
      </c>
      <c r="B24" s="50">
        <f>AVERAGE(G7:G18)</f>
        <v>33</v>
      </c>
    </row>
    <row r="25" spans="1:9" x14ac:dyDescent="0.35">
      <c r="D25" s="91"/>
      <c r="E25" s="91"/>
    </row>
    <row r="27" spans="1:9" x14ac:dyDescent="0.35">
      <c r="A27" s="2" t="s">
        <v>159</v>
      </c>
      <c r="B27" s="2"/>
      <c r="C27" s="2"/>
    </row>
    <row r="28" spans="1:9" ht="15" thickBot="1" x14ac:dyDescent="0.4">
      <c r="A28" s="2"/>
      <c r="B28" s="2"/>
      <c r="C28" s="2"/>
    </row>
    <row r="29" spans="1:9" ht="15" thickBot="1" x14ac:dyDescent="0.4">
      <c r="A29" s="178">
        <v>44281</v>
      </c>
      <c r="B29" s="179">
        <v>44314</v>
      </c>
    </row>
    <row r="30" spans="1:9" x14ac:dyDescent="0.35">
      <c r="A30" s="50">
        <f>AVERAGE(C7:C18)</f>
        <v>236.66666666666666</v>
      </c>
      <c r="B30" s="50">
        <f>AVERAGE(H7:H18)</f>
        <v>437.83333333333331</v>
      </c>
    </row>
    <row r="33" spans="1:7" x14ac:dyDescent="0.35">
      <c r="A33" s="2" t="s">
        <v>160</v>
      </c>
      <c r="B33" s="2"/>
      <c r="C33" s="2"/>
    </row>
    <row r="34" spans="1:7" ht="15" thickBot="1" x14ac:dyDescent="0.4"/>
    <row r="35" spans="1:7" ht="15" thickBot="1" x14ac:dyDescent="0.4">
      <c r="A35" s="124" t="s">
        <v>154</v>
      </c>
      <c r="B35" s="131" t="s">
        <v>155</v>
      </c>
    </row>
    <row r="36" spans="1:7" x14ac:dyDescent="0.35">
      <c r="A36" s="64">
        <f>AVERAGE(D7:D18)</f>
        <v>1.1079413055621561</v>
      </c>
      <c r="B36" s="64">
        <f>AVERAGE(I7:I18)</f>
        <v>1.1997911059867545</v>
      </c>
    </row>
    <row r="39" spans="1:7" x14ac:dyDescent="0.35">
      <c r="A39" s="2" t="s">
        <v>161</v>
      </c>
      <c r="B39" s="2"/>
    </row>
    <row r="40" spans="1:7" ht="15" thickBot="1" x14ac:dyDescent="0.4"/>
    <row r="41" spans="1:7" ht="15" thickBot="1" x14ac:dyDescent="0.4">
      <c r="A41" s="124" t="s">
        <v>162</v>
      </c>
      <c r="B41" s="131" t="s">
        <v>163</v>
      </c>
    </row>
    <row r="42" spans="1:7" x14ac:dyDescent="0.35">
      <c r="A42" s="64">
        <f>((LN(H19)-LN(C19))*100)/(33)</f>
        <v>1.864198906334041</v>
      </c>
      <c r="B42" s="64">
        <f>(LN('Tilveksttabell - 12 grader'!B39)-LN('Tilveksttabell - 12 grader'!B6))/33*100</f>
        <v>1.6635807184506504</v>
      </c>
    </row>
    <row r="44" spans="1:7" x14ac:dyDescent="0.35">
      <c r="A44" s="148" t="s">
        <v>273</v>
      </c>
      <c r="B44" s="148" t="s">
        <v>278</v>
      </c>
      <c r="C44" s="148" t="s">
        <v>279</v>
      </c>
      <c r="D44" s="148" t="s">
        <v>274</v>
      </c>
      <c r="E44" s="148" t="s">
        <v>275</v>
      </c>
      <c r="F44" s="148" t="s">
        <v>276</v>
      </c>
      <c r="G44" s="148" t="s">
        <v>277</v>
      </c>
    </row>
    <row r="45" spans="1:7" x14ac:dyDescent="0.35">
      <c r="A45" s="148" t="s">
        <v>154</v>
      </c>
      <c r="B45" s="148">
        <v>737.85</v>
      </c>
      <c r="C45" s="148">
        <v>763</v>
      </c>
      <c r="D45" s="148">
        <v>0.20399999999999999</v>
      </c>
      <c r="E45" s="148">
        <v>0.23666999999999999</v>
      </c>
      <c r="F45" s="18">
        <v>204.9</v>
      </c>
      <c r="G45" s="18">
        <v>181</v>
      </c>
    </row>
    <row r="46" spans="1:7" x14ac:dyDescent="0.35">
      <c r="A46" s="148" t="s">
        <v>155</v>
      </c>
      <c r="B46" s="148">
        <v>737.85</v>
      </c>
      <c r="C46" s="148">
        <v>749</v>
      </c>
      <c r="D46" s="148">
        <v>0.43659999999999999</v>
      </c>
      <c r="E46" s="148">
        <v>0.43783</v>
      </c>
      <c r="F46" s="18">
        <v>346</v>
      </c>
      <c r="G46" s="18">
        <v>328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2E2A-DBBE-4499-919A-FB456F83147F}">
  <dimension ref="A1:E12"/>
  <sheetViews>
    <sheetView workbookViewId="0">
      <selection activeCell="D3" sqref="D3:E6"/>
    </sheetView>
  </sheetViews>
  <sheetFormatPr baseColWidth="10" defaultRowHeight="14.5" x14ac:dyDescent="0.35"/>
  <cols>
    <col min="1" max="1" width="29" customWidth="1"/>
    <col min="2" max="2" width="18.7265625" customWidth="1"/>
    <col min="4" max="4" width="26.6328125" customWidth="1"/>
  </cols>
  <sheetData>
    <row r="1" spans="1:5" x14ac:dyDescent="0.35">
      <c r="A1" s="309" t="s">
        <v>231</v>
      </c>
      <c r="B1" s="319"/>
      <c r="C1" s="319"/>
      <c r="D1" s="319"/>
      <c r="E1" s="319"/>
    </row>
    <row r="2" spans="1:5" x14ac:dyDescent="0.35">
      <c r="A2" s="319"/>
      <c r="B2" s="319"/>
      <c r="C2" s="319"/>
      <c r="D2" s="319"/>
      <c r="E2" s="319"/>
    </row>
    <row r="3" spans="1:5" x14ac:dyDescent="0.35">
      <c r="A3" s="330"/>
      <c r="B3" s="331" t="s">
        <v>232</v>
      </c>
      <c r="C3" s="319"/>
    </row>
    <row r="4" spans="1:5" x14ac:dyDescent="0.35">
      <c r="A4" s="155" t="s">
        <v>234</v>
      </c>
      <c r="B4" s="155">
        <f>2.414*10^(-5)*10^((247.8/([5]Strømmningshastighet!B20+273.15-140)))</f>
        <v>1.1736037589067268E-3</v>
      </c>
      <c r="C4" s="319"/>
    </row>
    <row r="5" spans="1:5" x14ac:dyDescent="0.35">
      <c r="A5" s="155" t="s">
        <v>236</v>
      </c>
      <c r="B5" s="148">
        <v>1010.96</v>
      </c>
      <c r="C5" s="319"/>
    </row>
    <row r="6" spans="1:5" x14ac:dyDescent="0.35">
      <c r="A6" s="153" t="s">
        <v>238</v>
      </c>
      <c r="B6" s="150">
        <f>[5]Strømmningshastighet!B17</f>
        <v>10.013186222741584</v>
      </c>
      <c r="C6" s="319"/>
    </row>
    <row r="7" spans="1:5" x14ac:dyDescent="0.35">
      <c r="A7" s="148" t="s">
        <v>239</v>
      </c>
      <c r="B7" s="148">
        <v>2E-3</v>
      </c>
      <c r="C7" s="319"/>
      <c r="D7" s="319"/>
      <c r="E7" s="319"/>
    </row>
    <row r="8" spans="1:5" x14ac:dyDescent="0.35">
      <c r="A8" s="331" t="s">
        <v>240</v>
      </c>
      <c r="B8" s="332">
        <f>(B5*B6*B7)/B4</f>
        <v>17251.019634042194</v>
      </c>
      <c r="C8" s="319"/>
      <c r="D8" s="319"/>
      <c r="E8" s="319"/>
    </row>
    <row r="9" spans="1:5" x14ac:dyDescent="0.35">
      <c r="A9" s="319"/>
      <c r="B9" s="319"/>
      <c r="C9" s="319"/>
      <c r="D9" s="319"/>
      <c r="E9" s="319"/>
    </row>
    <row r="10" spans="1:5" x14ac:dyDescent="0.35">
      <c r="A10" s="319"/>
      <c r="B10" s="319"/>
      <c r="C10" s="319"/>
      <c r="D10" s="319"/>
      <c r="E10" s="319"/>
    </row>
    <row r="11" spans="1:5" x14ac:dyDescent="0.35">
      <c r="A11" s="319"/>
      <c r="B11" s="319"/>
      <c r="C11" s="319"/>
      <c r="D11" s="319"/>
      <c r="E11" s="319"/>
    </row>
    <row r="12" spans="1:5" x14ac:dyDescent="0.35">
      <c r="A12" s="319"/>
      <c r="B12" s="91"/>
      <c r="C12" s="319"/>
      <c r="D12" s="319"/>
      <c r="E12" s="3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DBF0-B447-47AE-AB61-2DB1BB8AD190}">
  <dimension ref="A1:M30"/>
  <sheetViews>
    <sheetView workbookViewId="0">
      <selection activeCell="D29" sqref="D29"/>
    </sheetView>
  </sheetViews>
  <sheetFormatPr baseColWidth="10" defaultRowHeight="14.5" x14ac:dyDescent="0.35"/>
  <sheetData>
    <row r="1" spans="1:13" x14ac:dyDescent="0.35">
      <c r="A1" s="319" t="s">
        <v>241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x14ac:dyDescent="0.3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x14ac:dyDescent="0.3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x14ac:dyDescent="0.3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</row>
    <row r="5" spans="1:13" x14ac:dyDescent="0.35">
      <c r="A5" s="319"/>
      <c r="B5" s="333"/>
      <c r="C5" s="334" t="s">
        <v>242</v>
      </c>
      <c r="D5" s="334"/>
      <c r="E5" s="334"/>
      <c r="F5" s="319"/>
      <c r="G5" s="319"/>
      <c r="H5" s="319"/>
      <c r="I5" s="319"/>
      <c r="J5" s="319"/>
      <c r="K5" s="319"/>
      <c r="L5" s="319"/>
      <c r="M5" s="319"/>
    </row>
    <row r="6" spans="1:13" x14ac:dyDescent="0.35">
      <c r="A6" s="319"/>
      <c r="B6" s="331"/>
      <c r="C6" s="335" t="s">
        <v>243</v>
      </c>
      <c r="D6" s="331" t="s">
        <v>244</v>
      </c>
      <c r="E6" s="331" t="s">
        <v>245</v>
      </c>
      <c r="F6" s="319"/>
      <c r="G6" s="319"/>
      <c r="H6" s="319"/>
      <c r="I6" s="319"/>
      <c r="J6" s="319"/>
      <c r="K6" s="319"/>
      <c r="L6" s="319"/>
      <c r="M6" s="319"/>
    </row>
    <row r="7" spans="1:13" x14ac:dyDescent="0.35">
      <c r="A7" s="319"/>
      <c r="B7" s="148" t="s">
        <v>246</v>
      </c>
      <c r="C7" s="148">
        <v>1</v>
      </c>
      <c r="D7" s="148">
        <v>1.5</v>
      </c>
      <c r="E7" s="148">
        <v>0.48</v>
      </c>
      <c r="F7" s="319"/>
      <c r="G7" s="319"/>
      <c r="H7" s="319"/>
      <c r="I7" s="319"/>
      <c r="J7" s="319"/>
      <c r="K7" s="319"/>
      <c r="L7" s="319"/>
      <c r="M7" s="319"/>
    </row>
    <row r="8" spans="1:13" x14ac:dyDescent="0.35">
      <c r="A8" s="319"/>
      <c r="B8" s="148" t="s">
        <v>247</v>
      </c>
      <c r="C8" s="150">
        <f>(C7*[5]Strømmningshastighet!$B$5*[5]Strømmningshastighet!$B$9)/1000</f>
        <v>9.9175176000000018</v>
      </c>
      <c r="D8" s="150">
        <f>(D7*[5]Strømmningshastighet!$B$5*[5]Strømmningshastighet!$B$9)/1000</f>
        <v>14.8762764</v>
      </c>
      <c r="E8" s="150">
        <f>(E7*[5]Strømmningshastighet!$B$5*[5]Strømmningshastighet!$B$9)/1000</f>
        <v>4.7604084479999997</v>
      </c>
      <c r="F8" s="319"/>
      <c r="G8" s="319"/>
      <c r="H8" s="319"/>
      <c r="I8" s="319"/>
      <c r="J8" s="319"/>
      <c r="K8" s="319"/>
      <c r="L8" s="319"/>
      <c r="M8" s="319"/>
    </row>
    <row r="9" spans="1:13" x14ac:dyDescent="0.3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</row>
    <row r="10" spans="1:13" x14ac:dyDescent="0.3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 x14ac:dyDescent="0.3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13" x14ac:dyDescent="0.3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</row>
    <row r="13" spans="1:13" x14ac:dyDescent="0.35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</row>
    <row r="14" spans="1:13" x14ac:dyDescent="0.35">
      <c r="A14" s="319"/>
      <c r="B14" s="91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1:13" x14ac:dyDescent="0.35">
      <c r="A15" s="319"/>
      <c r="B15" s="91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</row>
    <row r="16" spans="1:13" x14ac:dyDescent="0.35">
      <c r="A16" s="319"/>
      <c r="B16" s="91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</row>
    <row r="17" spans="1:13" x14ac:dyDescent="0.35">
      <c r="A17" s="319" t="s">
        <v>248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</row>
    <row r="18" spans="1:13" x14ac:dyDescent="0.35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</row>
    <row r="19" spans="1:13" x14ac:dyDescent="0.35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</row>
    <row r="20" spans="1:13" x14ac:dyDescent="0.35">
      <c r="A20" s="336"/>
      <c r="B20" s="336"/>
      <c r="C20" s="336"/>
      <c r="D20" s="336"/>
      <c r="E20" s="331" t="s">
        <v>249</v>
      </c>
      <c r="F20" s="319"/>
      <c r="G20" s="319"/>
      <c r="H20" s="319"/>
      <c r="I20" s="319"/>
      <c r="J20" s="319"/>
      <c r="K20" s="319"/>
      <c r="L20" s="319"/>
      <c r="M20" s="319"/>
    </row>
    <row r="21" spans="1:13" x14ac:dyDescent="0.35">
      <c r="A21" s="228" t="s">
        <v>250</v>
      </c>
      <c r="B21" s="228"/>
      <c r="C21" s="228"/>
      <c r="D21" s="228"/>
      <c r="E21" s="148">
        <v>70</v>
      </c>
      <c r="F21" s="319"/>
      <c r="G21" s="319"/>
      <c r="H21" s="319"/>
      <c r="I21" s="319"/>
      <c r="J21" s="319"/>
      <c r="K21" s="319"/>
      <c r="L21" s="319"/>
      <c r="M21" s="319"/>
    </row>
    <row r="22" spans="1:13" x14ac:dyDescent="0.35">
      <c r="A22" s="228" t="s">
        <v>251</v>
      </c>
      <c r="B22" s="228"/>
      <c r="C22" s="228"/>
      <c r="D22" s="228"/>
      <c r="E22" s="148">
        <v>29</v>
      </c>
      <c r="F22" s="319"/>
      <c r="G22" s="319"/>
      <c r="H22" s="319"/>
      <c r="I22" s="319"/>
      <c r="J22" s="319"/>
      <c r="K22" s="319"/>
      <c r="L22" s="319"/>
      <c r="M22" s="319"/>
    </row>
    <row r="23" spans="1:13" x14ac:dyDescent="0.35">
      <c r="A23" s="336" t="s">
        <v>248</v>
      </c>
      <c r="B23" s="336"/>
      <c r="C23" s="336"/>
      <c r="D23" s="336"/>
      <c r="E23" s="337">
        <f>E22/E21</f>
        <v>0.41428571428571431</v>
      </c>
      <c r="F23" s="319"/>
      <c r="G23" s="319"/>
      <c r="H23" s="319"/>
      <c r="I23" s="319"/>
      <c r="J23" s="319"/>
      <c r="K23" s="319"/>
      <c r="L23" s="319"/>
      <c r="M23" s="319"/>
    </row>
    <row r="24" spans="1:13" x14ac:dyDescent="0.3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</row>
    <row r="25" spans="1:13" x14ac:dyDescent="0.35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</row>
    <row r="26" spans="1:13" x14ac:dyDescent="0.35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</row>
    <row r="27" spans="1:13" x14ac:dyDescent="0.35">
      <c r="A27" s="148" t="s">
        <v>233</v>
      </c>
      <c r="B27" s="148">
        <v>1</v>
      </c>
    </row>
    <row r="28" spans="1:13" x14ac:dyDescent="0.35">
      <c r="A28" s="148" t="s">
        <v>235</v>
      </c>
      <c r="B28" s="148">
        <f>B27/2</f>
        <v>0.5</v>
      </c>
    </row>
    <row r="29" spans="1:13" x14ac:dyDescent="0.35">
      <c r="A29" s="148" t="s">
        <v>237</v>
      </c>
      <c r="B29" s="155">
        <f>3.14*B28^2</f>
        <v>0.78500000000000003</v>
      </c>
    </row>
    <row r="30" spans="1:13" x14ac:dyDescent="0.35">
      <c r="A30" s="319"/>
      <c r="B30" s="319"/>
    </row>
  </sheetData>
  <mergeCells count="5">
    <mergeCell ref="C5:E5"/>
    <mergeCell ref="A20:D20"/>
    <mergeCell ref="A21:D21"/>
    <mergeCell ref="A22:D22"/>
    <mergeCell ref="A23:D2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2918-72BD-4A10-9DFB-5E40FFFE1AB0}">
  <dimension ref="A1:I31"/>
  <sheetViews>
    <sheetView workbookViewId="0">
      <selection activeCell="G34" sqref="G34"/>
    </sheetView>
  </sheetViews>
  <sheetFormatPr baseColWidth="10" defaultRowHeight="14.5" x14ac:dyDescent="0.35"/>
  <cols>
    <col min="1" max="1" width="45.1796875" customWidth="1"/>
    <col min="2" max="2" width="30.81640625" customWidth="1"/>
    <col min="3" max="3" width="40.26953125" customWidth="1"/>
  </cols>
  <sheetData>
    <row r="1" spans="1:9" x14ac:dyDescent="0.35">
      <c r="A1" s="338" t="s">
        <v>252</v>
      </c>
      <c r="B1" s="319"/>
      <c r="C1" s="319"/>
      <c r="D1" s="319"/>
      <c r="E1" s="319"/>
      <c r="F1" s="319"/>
      <c r="G1" s="319"/>
      <c r="H1" s="319"/>
      <c r="I1" s="319"/>
    </row>
    <row r="2" spans="1:9" x14ac:dyDescent="0.35">
      <c r="A2" s="338"/>
      <c r="B2" s="319"/>
      <c r="C2" s="319"/>
      <c r="D2" s="319"/>
      <c r="E2" s="319"/>
      <c r="F2" s="319"/>
      <c r="G2" s="319"/>
      <c r="H2" s="319"/>
      <c r="I2" s="319"/>
    </row>
    <row r="3" spans="1:9" x14ac:dyDescent="0.35">
      <c r="A3" s="319"/>
      <c r="B3" s="319"/>
      <c r="C3" s="319"/>
      <c r="D3" s="319"/>
      <c r="E3" s="319"/>
      <c r="F3" s="319"/>
      <c r="G3" s="319"/>
      <c r="H3" s="319"/>
      <c r="I3" s="319"/>
    </row>
    <row r="4" spans="1:9" x14ac:dyDescent="0.35">
      <c r="A4" s="339"/>
      <c r="B4" s="340" t="s">
        <v>253</v>
      </c>
      <c r="C4" s="319"/>
      <c r="D4" s="319"/>
      <c r="E4" s="319"/>
      <c r="F4" s="319"/>
      <c r="G4" s="319"/>
      <c r="H4" s="319"/>
      <c r="I4" s="319"/>
    </row>
    <row r="5" spans="1:9" x14ac:dyDescent="0.35">
      <c r="A5" s="187" t="s">
        <v>254</v>
      </c>
      <c r="B5" s="188">
        <v>9.81</v>
      </c>
      <c r="C5" s="319"/>
      <c r="D5" s="319"/>
      <c r="E5" s="319"/>
      <c r="F5" s="319"/>
      <c r="G5" s="319"/>
      <c r="H5" s="319"/>
      <c r="I5" s="319"/>
    </row>
    <row r="6" spans="1:9" x14ac:dyDescent="0.35">
      <c r="A6" s="187" t="s">
        <v>255</v>
      </c>
      <c r="B6" s="188">
        <v>2</v>
      </c>
      <c r="C6" s="319"/>
      <c r="D6" s="319"/>
      <c r="E6" s="319"/>
      <c r="F6" s="319"/>
      <c r="G6" s="319"/>
      <c r="H6" s="319"/>
      <c r="I6" s="319"/>
    </row>
    <row r="7" spans="1:9" x14ac:dyDescent="0.35">
      <c r="A7" s="341" t="s">
        <v>256</v>
      </c>
      <c r="B7" s="342">
        <v>1500</v>
      </c>
      <c r="C7" s="319"/>
      <c r="D7" s="319"/>
      <c r="E7" s="319"/>
      <c r="F7" s="319"/>
      <c r="G7" s="319"/>
      <c r="H7" s="319"/>
      <c r="I7" s="319"/>
    </row>
    <row r="8" spans="1:9" x14ac:dyDescent="0.35">
      <c r="A8" s="343"/>
      <c r="B8" s="344"/>
      <c r="C8" s="319"/>
      <c r="D8" s="319"/>
      <c r="E8" s="319"/>
      <c r="F8" s="319"/>
      <c r="G8" s="319"/>
      <c r="H8" s="319"/>
      <c r="I8" s="319"/>
    </row>
    <row r="9" spans="1:9" ht="43.5" x14ac:dyDescent="0.35">
      <c r="A9" s="345" t="s">
        <v>257</v>
      </c>
      <c r="B9" s="188">
        <v>1010.96</v>
      </c>
      <c r="C9" s="319"/>
      <c r="D9" s="319"/>
      <c r="E9" s="319"/>
      <c r="F9" s="319"/>
      <c r="G9" s="319"/>
      <c r="H9" s="319"/>
      <c r="I9" s="319"/>
    </row>
    <row r="10" spans="1:9" x14ac:dyDescent="0.35">
      <c r="A10" s="188" t="s">
        <v>258</v>
      </c>
      <c r="B10" s="346">
        <f>'[5]Trykktap ∆p og porøsitet'!E23</f>
        <v>0.41428571428571431</v>
      </c>
      <c r="C10" s="319"/>
      <c r="D10" s="319"/>
      <c r="E10" s="319"/>
      <c r="F10" s="319"/>
      <c r="G10" s="319"/>
      <c r="H10" s="319"/>
      <c r="I10" s="319"/>
    </row>
    <row r="11" spans="1:9" x14ac:dyDescent="0.35">
      <c r="A11" s="347" t="s">
        <v>259</v>
      </c>
      <c r="B11" s="348">
        <f>2.414*10^(-5)*10^((247.8/($B$20+273.15-140)))</f>
        <v>1.1736037589067268E-3</v>
      </c>
      <c r="C11" s="319"/>
      <c r="D11" s="319"/>
      <c r="E11" s="319"/>
      <c r="F11" s="319"/>
      <c r="G11" s="319"/>
      <c r="H11" s="319"/>
      <c r="I11" s="319"/>
    </row>
    <row r="12" spans="1:9" x14ac:dyDescent="0.35">
      <c r="A12" s="347"/>
      <c r="B12" s="349"/>
      <c r="C12" s="319"/>
      <c r="D12" s="319"/>
      <c r="E12" s="319"/>
      <c r="F12" s="319"/>
      <c r="G12" s="319"/>
      <c r="H12" s="319"/>
      <c r="I12" s="319"/>
    </row>
    <row r="13" spans="1:9" ht="29" x14ac:dyDescent="0.35">
      <c r="A13" s="345" t="s">
        <v>260</v>
      </c>
      <c r="B13" s="188">
        <v>0.26</v>
      </c>
      <c r="C13" s="319"/>
      <c r="D13" s="319"/>
      <c r="E13" s="319"/>
      <c r="F13" s="319"/>
      <c r="G13" s="319"/>
      <c r="H13" s="319"/>
      <c r="I13" s="319"/>
    </row>
    <row r="14" spans="1:9" x14ac:dyDescent="0.35">
      <c r="A14" s="347" t="s">
        <v>233</v>
      </c>
      <c r="B14" s="348">
        <f>0.002</f>
        <v>2E-3</v>
      </c>
      <c r="C14" s="319"/>
      <c r="D14" s="319"/>
      <c r="E14" s="319"/>
      <c r="F14" s="319"/>
      <c r="G14" s="319"/>
      <c r="H14" s="319"/>
      <c r="I14" s="319"/>
    </row>
    <row r="15" spans="1:9" x14ac:dyDescent="0.35">
      <c r="A15" s="347"/>
      <c r="B15" s="349"/>
      <c r="C15" s="319"/>
      <c r="D15" s="319"/>
      <c r="E15" s="319"/>
      <c r="F15" s="319"/>
      <c r="G15" s="319"/>
      <c r="H15" s="319"/>
      <c r="I15" s="319"/>
    </row>
    <row r="16" spans="1:9" x14ac:dyDescent="0.35">
      <c r="A16" s="350"/>
      <c r="B16" s="351"/>
      <c r="C16" s="319"/>
      <c r="D16" s="319"/>
      <c r="E16" s="319"/>
      <c r="F16" s="319"/>
      <c r="G16" s="319"/>
      <c r="H16" s="319"/>
      <c r="I16" s="319"/>
    </row>
    <row r="17" spans="1:9" x14ac:dyDescent="0.35">
      <c r="A17" s="339" t="s">
        <v>261</v>
      </c>
      <c r="B17" s="346">
        <f>((B5*(B7-B9)*B10^3*B14*B13)/(1.75*B9))^0.5*1000</f>
        <v>10.013186222741584</v>
      </c>
      <c r="C17" s="319"/>
      <c r="D17" s="319"/>
      <c r="E17" s="319"/>
      <c r="F17" s="319"/>
      <c r="G17" s="319"/>
      <c r="H17" s="319"/>
      <c r="I17" s="319"/>
    </row>
    <row r="18" spans="1:9" x14ac:dyDescent="0.35">
      <c r="A18" s="319"/>
      <c r="B18" s="319"/>
      <c r="C18" s="319"/>
      <c r="D18" s="319"/>
      <c r="E18" s="319"/>
      <c r="F18" s="319"/>
      <c r="G18" s="319"/>
      <c r="H18" s="319"/>
      <c r="I18" s="319"/>
    </row>
    <row r="19" spans="1:9" x14ac:dyDescent="0.35">
      <c r="A19" s="148" t="s">
        <v>262</v>
      </c>
      <c r="B19" s="148">
        <f>'[5]Overvåkning med fisk'!B4</f>
        <v>15</v>
      </c>
      <c r="C19" s="319"/>
      <c r="D19" s="319"/>
      <c r="E19" s="319"/>
      <c r="F19" s="319"/>
      <c r="G19" s="319"/>
      <c r="H19" s="319"/>
      <c r="I19" s="319"/>
    </row>
    <row r="20" spans="1:9" x14ac:dyDescent="0.35">
      <c r="A20" s="148" t="s">
        <v>263</v>
      </c>
      <c r="B20" s="150">
        <f>AVERAGE([5]Vannparametere!C7:C43)</f>
        <v>13.756756756756761</v>
      </c>
      <c r="C20" s="319"/>
      <c r="D20" s="319"/>
      <c r="E20" s="319"/>
      <c r="F20" s="319"/>
      <c r="G20" s="319"/>
      <c r="H20" s="319"/>
      <c r="I20" s="319"/>
    </row>
    <row r="21" spans="1:9" x14ac:dyDescent="0.35">
      <c r="A21" s="148" t="s">
        <v>264</v>
      </c>
      <c r="B21" s="148">
        <f>MIN([5]Vannparametere!F7:F43)*1.51</f>
        <v>224.99</v>
      </c>
      <c r="C21" s="319"/>
      <c r="D21" s="319"/>
      <c r="E21" s="319"/>
      <c r="F21" s="319"/>
      <c r="G21" s="319"/>
      <c r="H21" s="319"/>
      <c r="I21" s="319"/>
    </row>
    <row r="22" spans="1:9" x14ac:dyDescent="0.35">
      <c r="A22" s="148" t="s">
        <v>265</v>
      </c>
      <c r="B22" s="150">
        <f>B21*60/1000</f>
        <v>13.499400000000001</v>
      </c>
      <c r="C22" s="319"/>
      <c r="D22" s="319"/>
      <c r="E22" s="319"/>
      <c r="F22" s="319"/>
      <c r="G22" s="319"/>
      <c r="H22" s="319"/>
      <c r="I22" s="319"/>
    </row>
    <row r="23" spans="1:9" x14ac:dyDescent="0.35">
      <c r="A23" s="148" t="s">
        <v>266</v>
      </c>
      <c r="B23" s="150">
        <f>B22/'[5]Renoylds tall'!E5</f>
        <v>17.196687898089174</v>
      </c>
      <c r="C23" s="319"/>
      <c r="D23" s="319"/>
      <c r="E23" s="319"/>
      <c r="F23" s="319"/>
      <c r="G23" s="319"/>
      <c r="H23" s="319"/>
      <c r="I23" s="319"/>
    </row>
    <row r="24" spans="1:9" x14ac:dyDescent="0.35">
      <c r="A24" s="319"/>
      <c r="B24" s="319"/>
      <c r="C24" s="319"/>
      <c r="D24" s="319"/>
      <c r="E24" s="319"/>
      <c r="F24" s="319"/>
      <c r="G24" s="319"/>
      <c r="H24" s="319"/>
      <c r="I24" s="319"/>
    </row>
    <row r="25" spans="1:9" x14ac:dyDescent="0.35">
      <c r="A25" s="319"/>
      <c r="B25" s="319"/>
      <c r="C25" s="319"/>
      <c r="D25" s="319"/>
      <c r="E25" s="319"/>
      <c r="F25" s="319"/>
      <c r="G25" s="319"/>
      <c r="H25" s="319"/>
      <c r="I25" s="319"/>
    </row>
    <row r="26" spans="1:9" x14ac:dyDescent="0.35">
      <c r="A26" s="331"/>
      <c r="B26" s="340" t="s">
        <v>267</v>
      </c>
      <c r="C26" s="340" t="s">
        <v>268</v>
      </c>
      <c r="D26" s="319"/>
      <c r="E26" s="319"/>
      <c r="F26" s="319"/>
      <c r="G26" s="319"/>
      <c r="H26" s="319"/>
      <c r="I26" s="319"/>
    </row>
    <row r="27" spans="1:9" x14ac:dyDescent="0.35">
      <c r="A27" s="148" t="s">
        <v>269</v>
      </c>
      <c r="B27" s="148">
        <v>250</v>
      </c>
      <c r="C27" s="148"/>
      <c r="D27" s="319"/>
      <c r="E27" s="319"/>
      <c r="F27" s="319"/>
      <c r="G27" s="319"/>
      <c r="H27" s="319"/>
      <c r="I27" s="319"/>
    </row>
    <row r="28" spans="1:9" x14ac:dyDescent="0.35">
      <c r="A28" s="148" t="s">
        <v>270</v>
      </c>
      <c r="B28" s="148">
        <f>B27*60/1000</f>
        <v>15</v>
      </c>
      <c r="C28" s="148"/>
      <c r="D28" s="319"/>
      <c r="E28" s="319"/>
      <c r="F28" s="319"/>
      <c r="G28" s="319"/>
      <c r="H28" s="319"/>
      <c r="I28" s="319"/>
    </row>
    <row r="29" spans="1:9" x14ac:dyDescent="0.35">
      <c r="A29" s="148" t="s">
        <v>271</v>
      </c>
      <c r="B29" s="148"/>
      <c r="C29" s="150">
        <f>[5]Strømmningshastighet!B28/'[5]Renoylds tall'!E5</f>
        <v>19.108280254777068</v>
      </c>
      <c r="D29" s="319"/>
      <c r="E29" s="319"/>
      <c r="F29" s="319"/>
      <c r="G29" s="319"/>
      <c r="H29" s="319"/>
      <c r="I29" s="319"/>
    </row>
    <row r="30" spans="1:9" x14ac:dyDescent="0.35">
      <c r="A30" s="319"/>
      <c r="B30" s="319"/>
      <c r="C30" s="319"/>
      <c r="D30" s="319"/>
      <c r="E30" s="319"/>
      <c r="F30" s="319"/>
      <c r="G30" s="319"/>
      <c r="H30" s="319"/>
      <c r="I30" s="319"/>
    </row>
    <row r="31" spans="1:9" x14ac:dyDescent="0.35">
      <c r="A31" s="319"/>
      <c r="B31" s="319"/>
      <c r="C31" s="319"/>
      <c r="D31" s="319"/>
      <c r="E31" s="319"/>
      <c r="F31" s="319" t="s">
        <v>272</v>
      </c>
      <c r="G31" s="319"/>
      <c r="H31" s="319"/>
      <c r="I31" s="319"/>
    </row>
  </sheetData>
  <mergeCells count="7">
    <mergeCell ref="A1:A2"/>
    <mergeCell ref="A7:A8"/>
    <mergeCell ref="B7:B8"/>
    <mergeCell ref="A11:A12"/>
    <mergeCell ref="B11:B12"/>
    <mergeCell ref="A14:A15"/>
    <mergeCell ref="B14:B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0CFB-CBD9-4B74-AFF2-D12EEAA65288}">
  <dimension ref="A1:P19"/>
  <sheetViews>
    <sheetView zoomScale="90" zoomScaleNormal="90" workbookViewId="0">
      <selection activeCell="H21" sqref="H21"/>
    </sheetView>
  </sheetViews>
  <sheetFormatPr baseColWidth="10" defaultRowHeight="14.5" x14ac:dyDescent="0.35"/>
  <sheetData>
    <row r="1" spans="1:16" ht="15" thickBot="1" x14ac:dyDescent="0.4">
      <c r="A1" s="200" t="s">
        <v>17</v>
      </c>
      <c r="B1" s="202" t="s">
        <v>18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</row>
    <row r="2" spans="1:16" ht="15" thickBot="1" x14ac:dyDescent="0.4">
      <c r="A2" s="201"/>
      <c r="B2" s="175">
        <v>4</v>
      </c>
      <c r="C2" s="176">
        <v>5</v>
      </c>
      <c r="D2" s="176">
        <v>6</v>
      </c>
      <c r="E2" s="176">
        <v>7</v>
      </c>
      <c r="F2" s="176">
        <v>8</v>
      </c>
      <c r="G2" s="176">
        <v>9</v>
      </c>
      <c r="H2" s="176">
        <v>10</v>
      </c>
      <c r="I2" s="176">
        <v>11</v>
      </c>
      <c r="J2" s="176">
        <v>12</v>
      </c>
      <c r="K2" s="176">
        <v>13</v>
      </c>
      <c r="L2" s="176">
        <v>14</v>
      </c>
      <c r="M2" s="176">
        <v>15</v>
      </c>
      <c r="N2" s="176">
        <v>16</v>
      </c>
      <c r="O2" s="176">
        <v>17</v>
      </c>
      <c r="P2" s="177">
        <v>18</v>
      </c>
    </row>
    <row r="3" spans="1:16" x14ac:dyDescent="0.35">
      <c r="A3" s="175">
        <v>50</v>
      </c>
      <c r="B3" s="148">
        <v>0.67700000000000005</v>
      </c>
      <c r="C3" s="148">
        <v>0.90400000000000003</v>
      </c>
      <c r="D3" s="148">
        <v>1.1279999999999999</v>
      </c>
      <c r="E3" s="148">
        <v>1.3460000000000001</v>
      </c>
      <c r="F3" s="148">
        <v>1.5549999999999999</v>
      </c>
      <c r="G3" s="148">
        <v>1.752</v>
      </c>
      <c r="H3" s="148">
        <v>1.9339999999999999</v>
      </c>
      <c r="I3" s="148">
        <v>2.0990000000000002</v>
      </c>
      <c r="J3" s="148">
        <v>2.2440000000000002</v>
      </c>
      <c r="K3" s="148">
        <v>2.3650000000000002</v>
      </c>
      <c r="L3" s="148">
        <v>2.46</v>
      </c>
      <c r="M3" s="148">
        <v>2.5270000000000001</v>
      </c>
      <c r="N3" s="148">
        <v>2.5609999999999999</v>
      </c>
      <c r="O3" s="148">
        <v>2.5609999999999999</v>
      </c>
      <c r="P3" s="148">
        <v>2.524</v>
      </c>
    </row>
    <row r="4" spans="1:16" x14ac:dyDescent="0.35">
      <c r="A4" s="175">
        <v>100</v>
      </c>
      <c r="B4" s="148">
        <v>0.70399999999999996</v>
      </c>
      <c r="C4" s="148">
        <v>0.90100000000000002</v>
      </c>
      <c r="D4" s="148">
        <v>1.097</v>
      </c>
      <c r="E4" s="148">
        <v>1.2889999999999999</v>
      </c>
      <c r="F4" s="148">
        <v>1.474</v>
      </c>
      <c r="G4" s="148">
        <v>1.649</v>
      </c>
      <c r="H4" s="156">
        <v>1.8120000000000001</v>
      </c>
      <c r="I4" s="148">
        <v>1.9590000000000001</v>
      </c>
      <c r="J4" s="163">
        <v>2.0880000000000001</v>
      </c>
      <c r="K4" s="148">
        <v>2.1949999999999998</v>
      </c>
      <c r="L4" s="156">
        <v>2.2789999999999999</v>
      </c>
      <c r="M4" s="148">
        <v>2.335</v>
      </c>
      <c r="N4" s="148">
        <v>2.3620000000000001</v>
      </c>
      <c r="O4" s="148">
        <v>2.3570000000000002</v>
      </c>
      <c r="P4" s="148">
        <v>2.3159999999999998</v>
      </c>
    </row>
    <row r="5" spans="1:16" x14ac:dyDescent="0.35">
      <c r="A5" s="175">
        <v>200</v>
      </c>
      <c r="B5" s="148">
        <v>0.64200000000000002</v>
      </c>
      <c r="C5" s="155">
        <v>0.81</v>
      </c>
      <c r="D5" s="148">
        <v>0.97799999999999998</v>
      </c>
      <c r="E5" s="148">
        <v>1.1439999999999999</v>
      </c>
      <c r="F5" s="148">
        <v>1.3049999999999999</v>
      </c>
      <c r="G5" s="148">
        <v>1.458</v>
      </c>
      <c r="H5" s="180">
        <v>1.601</v>
      </c>
      <c r="I5" s="148">
        <v>1.73</v>
      </c>
      <c r="J5" s="163">
        <v>1.843</v>
      </c>
      <c r="K5" s="148">
        <v>1.9370000000000001</v>
      </c>
      <c r="L5" s="180">
        <v>2.0089999999999999</v>
      </c>
      <c r="M5" s="148">
        <v>2.056</v>
      </c>
      <c r="N5" s="148">
        <v>2.0750000000000002</v>
      </c>
      <c r="O5" s="148">
        <v>2.0640000000000001</v>
      </c>
      <c r="P5" s="148">
        <v>2.0190000000000001</v>
      </c>
    </row>
    <row r="6" spans="1:16" x14ac:dyDescent="0.35">
      <c r="A6" s="175">
        <v>300</v>
      </c>
      <c r="B6" s="148">
        <v>0.57899999999999996</v>
      </c>
      <c r="C6" s="148">
        <v>0.72899999999999998</v>
      </c>
      <c r="D6" s="148">
        <v>0.88100000000000001</v>
      </c>
      <c r="E6" s="148">
        <v>1.0309999999999999</v>
      </c>
      <c r="F6" s="148">
        <v>1.1779999999999999</v>
      </c>
      <c r="G6" s="148">
        <v>1.319</v>
      </c>
      <c r="H6" s="180">
        <v>1.45</v>
      </c>
      <c r="I6" s="148">
        <v>1.569</v>
      </c>
      <c r="J6" s="163">
        <v>1.673</v>
      </c>
      <c r="K6" s="148">
        <v>1.758</v>
      </c>
      <c r="L6" s="180">
        <v>1.823</v>
      </c>
      <c r="M6" s="148">
        <v>1.8640000000000001</v>
      </c>
      <c r="N6" s="148">
        <v>1.879</v>
      </c>
      <c r="O6" s="148">
        <v>1.865</v>
      </c>
      <c r="P6" s="148">
        <v>1.8180000000000001</v>
      </c>
    </row>
    <row r="7" spans="1:16" x14ac:dyDescent="0.35">
      <c r="A7" s="175">
        <v>400</v>
      </c>
      <c r="B7" s="148">
        <v>0.52600000000000002</v>
      </c>
      <c r="C7" s="148">
        <v>0.66300000000000003</v>
      </c>
      <c r="D7" s="148">
        <v>0.80300000000000005</v>
      </c>
      <c r="E7" s="148">
        <v>0.94299999999999995</v>
      </c>
      <c r="F7" s="148">
        <v>1.081</v>
      </c>
      <c r="G7" s="148">
        <v>1.212</v>
      </c>
      <c r="H7" s="180">
        <v>1.335</v>
      </c>
      <c r="I7" s="148">
        <v>1.446</v>
      </c>
      <c r="J7" s="163">
        <v>1.5429999999999999</v>
      </c>
      <c r="K7" s="148">
        <v>1.623</v>
      </c>
      <c r="L7" s="180">
        <v>1.6830000000000001</v>
      </c>
      <c r="M7" s="148">
        <v>1.7210000000000001</v>
      </c>
      <c r="N7" s="148">
        <v>1.732</v>
      </c>
      <c r="O7" s="148">
        <v>1.7150000000000001</v>
      </c>
      <c r="P7" s="148">
        <v>1.667</v>
      </c>
    </row>
    <row r="8" spans="1:16" x14ac:dyDescent="0.35">
      <c r="A8" s="175">
        <v>500</v>
      </c>
      <c r="B8" s="148">
        <v>0.48199999999999998</v>
      </c>
      <c r="C8" s="148">
        <v>0.60899999999999999</v>
      </c>
      <c r="D8" s="148">
        <v>0.74099999999999999</v>
      </c>
      <c r="E8" s="148">
        <v>0.872</v>
      </c>
      <c r="F8" s="148">
        <v>1.002</v>
      </c>
      <c r="G8" s="148">
        <v>1.1259999999999999</v>
      </c>
      <c r="H8" s="180">
        <v>1.2430000000000001</v>
      </c>
      <c r="I8" s="148">
        <v>1.3480000000000001</v>
      </c>
      <c r="J8" s="163">
        <v>1.44</v>
      </c>
      <c r="K8" s="148">
        <v>1.516</v>
      </c>
      <c r="L8" s="180">
        <v>1.5720000000000001</v>
      </c>
      <c r="M8" s="148">
        <v>1.6060000000000001</v>
      </c>
      <c r="N8" s="148">
        <v>1.615</v>
      </c>
      <c r="O8" s="148">
        <v>1.597</v>
      </c>
      <c r="P8" s="148">
        <v>1.5469999999999999</v>
      </c>
    </row>
    <row r="9" spans="1:16" x14ac:dyDescent="0.35">
      <c r="A9" s="175">
        <v>750</v>
      </c>
      <c r="B9" s="148">
        <v>0.39900000000000002</v>
      </c>
      <c r="C9" s="148">
        <v>0.50900000000000001</v>
      </c>
      <c r="D9" s="148">
        <v>0.624</v>
      </c>
      <c r="E9" s="148">
        <v>0.74</v>
      </c>
      <c r="F9" s="148">
        <v>0.85599999999999998</v>
      </c>
      <c r="G9" s="148">
        <v>0.96699999999999997</v>
      </c>
      <c r="H9" s="156">
        <v>1.0720000000000001</v>
      </c>
      <c r="I9" s="148">
        <v>1.167</v>
      </c>
      <c r="J9" s="156">
        <v>1.25</v>
      </c>
      <c r="K9" s="148">
        <v>1.3180000000000001</v>
      </c>
      <c r="L9" s="180">
        <v>1.367</v>
      </c>
      <c r="M9" s="148">
        <v>1.395</v>
      </c>
      <c r="N9" s="148">
        <v>1.4</v>
      </c>
      <c r="O9" s="148">
        <v>1.3779999999999999</v>
      </c>
      <c r="P9" s="148">
        <v>1.327</v>
      </c>
    </row>
    <row r="10" spans="1:16" x14ac:dyDescent="0.35">
      <c r="A10" s="175">
        <v>1000</v>
      </c>
      <c r="B10" s="148">
        <v>0.34100000000000003</v>
      </c>
      <c r="C10" s="148">
        <v>0.438</v>
      </c>
      <c r="D10" s="148">
        <v>0.54200000000000004</v>
      </c>
      <c r="E10" s="148">
        <v>0.64700000000000002</v>
      </c>
      <c r="F10" s="148">
        <v>0.753</v>
      </c>
      <c r="G10" s="148">
        <v>0.85599999999999998</v>
      </c>
      <c r="H10" s="148">
        <v>0.95199999999999996</v>
      </c>
      <c r="I10" s="148">
        <v>1.04</v>
      </c>
      <c r="J10" s="148">
        <v>1.1160000000000001</v>
      </c>
      <c r="K10" s="148">
        <v>1.1779999999999999</v>
      </c>
      <c r="L10" s="148">
        <v>1.222</v>
      </c>
      <c r="M10" s="148">
        <v>1.2470000000000001</v>
      </c>
      <c r="N10" s="148">
        <v>1.248</v>
      </c>
      <c r="O10" s="148">
        <v>1.224</v>
      </c>
      <c r="P10" s="148">
        <v>1.171</v>
      </c>
    </row>
    <row r="11" spans="1:16" x14ac:dyDescent="0.35">
      <c r="A11" s="175">
        <v>1250</v>
      </c>
      <c r="B11" s="148">
        <v>0.29799999999999999</v>
      </c>
      <c r="C11" s="148">
        <v>0.38600000000000001</v>
      </c>
      <c r="D11" s="148">
        <v>0.48</v>
      </c>
      <c r="E11" s="148">
        <v>0.57799999999999996</v>
      </c>
      <c r="F11" s="148">
        <v>0.67600000000000005</v>
      </c>
      <c r="G11" s="148">
        <v>0.77100000000000002</v>
      </c>
      <c r="H11" s="148">
        <v>0.86099999999999999</v>
      </c>
      <c r="I11" s="148">
        <v>0.94299999999999995</v>
      </c>
      <c r="J11" s="148">
        <v>1.014</v>
      </c>
      <c r="K11" s="148">
        <v>1.0720000000000001</v>
      </c>
      <c r="L11" s="148">
        <v>1.1120000000000001</v>
      </c>
      <c r="M11" s="148">
        <v>1.1339999999999999</v>
      </c>
      <c r="N11" s="148">
        <v>1.133</v>
      </c>
      <c r="O11" s="148">
        <v>1.107</v>
      </c>
      <c r="P11" s="148">
        <v>1.052</v>
      </c>
    </row>
    <row r="12" spans="1:16" x14ac:dyDescent="0.35">
      <c r="A12" s="175">
        <v>1500</v>
      </c>
      <c r="B12" s="148">
        <v>0.26500000000000001</v>
      </c>
      <c r="C12" s="148">
        <v>0.34499999999999997</v>
      </c>
      <c r="D12" s="148">
        <v>0.432</v>
      </c>
      <c r="E12" s="148">
        <v>0.52300000000000002</v>
      </c>
      <c r="F12" s="148">
        <v>0.61399999999999999</v>
      </c>
      <c r="G12" s="148">
        <v>0.70399999999999996</v>
      </c>
      <c r="H12" s="148">
        <v>0.78900000000000003</v>
      </c>
      <c r="I12" s="148">
        <v>0.86599999999999999</v>
      </c>
      <c r="J12" s="148">
        <v>0.93300000000000005</v>
      </c>
      <c r="K12" s="148">
        <v>0.98699999999999999</v>
      </c>
      <c r="L12" s="148">
        <v>1.0249999999999999</v>
      </c>
      <c r="M12" s="148">
        <v>1.044</v>
      </c>
      <c r="N12" s="148">
        <v>1.04</v>
      </c>
      <c r="O12" s="148">
        <v>1.0129999999999999</v>
      </c>
      <c r="P12" s="148">
        <v>0.95799999999999996</v>
      </c>
    </row>
    <row r="13" spans="1:16" x14ac:dyDescent="0.35">
      <c r="A13" s="175">
        <v>1750</v>
      </c>
      <c r="B13" s="148">
        <v>0.23899999999999999</v>
      </c>
      <c r="C13" s="148">
        <v>0.313</v>
      </c>
      <c r="D13" s="148">
        <v>0.39400000000000002</v>
      </c>
      <c r="E13" s="148">
        <v>0.47899999999999998</v>
      </c>
      <c r="F13" s="148">
        <v>0.56499999999999995</v>
      </c>
      <c r="G13" s="148">
        <v>0.65</v>
      </c>
      <c r="H13" s="148">
        <v>0.73</v>
      </c>
      <c r="I13" s="148">
        <v>0.80400000000000005</v>
      </c>
      <c r="J13" s="148">
        <v>0.86699999999999999</v>
      </c>
      <c r="K13" s="148">
        <v>0.91800000000000004</v>
      </c>
      <c r="L13" s="148">
        <v>0.95299999999999996</v>
      </c>
      <c r="M13" s="148">
        <v>0.96899999999999997</v>
      </c>
      <c r="N13" s="148">
        <v>0.96499999999999997</v>
      </c>
      <c r="O13" s="148">
        <v>0.93600000000000005</v>
      </c>
      <c r="P13" s="148">
        <v>0.88</v>
      </c>
    </row>
    <row r="14" spans="1:16" x14ac:dyDescent="0.35">
      <c r="A14" s="175">
        <v>2000</v>
      </c>
      <c r="B14" s="148">
        <v>0.219</v>
      </c>
      <c r="C14" s="148">
        <v>0.28699999999999998</v>
      </c>
      <c r="D14" s="148">
        <v>0.36199999999999999</v>
      </c>
      <c r="E14" s="148">
        <v>0.442</v>
      </c>
      <c r="F14" s="148">
        <v>0.52400000000000002</v>
      </c>
      <c r="G14" s="148">
        <v>0.60399999999999998</v>
      </c>
      <c r="H14" s="148">
        <v>0.68100000000000005</v>
      </c>
      <c r="I14" s="148">
        <v>0.751</v>
      </c>
      <c r="J14" s="148">
        <v>0.81100000000000005</v>
      </c>
      <c r="K14" s="148">
        <v>0.85899999999999999</v>
      </c>
      <c r="L14" s="148">
        <v>0.89200000000000002</v>
      </c>
      <c r="M14" s="148">
        <v>0.90700000000000003</v>
      </c>
      <c r="N14" s="148">
        <v>0.90100000000000002</v>
      </c>
      <c r="O14" s="148">
        <v>0.871</v>
      </c>
      <c r="P14" s="148">
        <v>0.81399999999999995</v>
      </c>
    </row>
    <row r="15" spans="1:16" x14ac:dyDescent="0.35">
      <c r="A15" s="175">
        <v>2500</v>
      </c>
      <c r="B15" s="148">
        <v>0.189</v>
      </c>
      <c r="C15" s="153">
        <v>0.247</v>
      </c>
      <c r="D15" s="148">
        <v>0.314</v>
      </c>
      <c r="E15" s="148">
        <v>0.38500000000000001</v>
      </c>
      <c r="F15" s="148">
        <v>0.45900000000000002</v>
      </c>
      <c r="G15" s="148">
        <v>0.53300000000000003</v>
      </c>
      <c r="H15" s="148">
        <v>0.60299999999999998</v>
      </c>
      <c r="I15" s="148">
        <v>0.66700000000000004</v>
      </c>
      <c r="J15" s="148">
        <v>0.72299999999999998</v>
      </c>
      <c r="K15" s="148">
        <v>0.76600000000000001</v>
      </c>
      <c r="L15" s="148">
        <v>0.79500000000000004</v>
      </c>
      <c r="M15" s="148">
        <v>0.80700000000000005</v>
      </c>
      <c r="N15" s="148">
        <v>0.79800000000000004</v>
      </c>
      <c r="O15" s="148">
        <v>0.76600000000000001</v>
      </c>
      <c r="P15" s="148">
        <v>0.70799999999999996</v>
      </c>
    </row>
    <row r="16" spans="1:16" x14ac:dyDescent="0.35">
      <c r="A16" s="175">
        <v>3000</v>
      </c>
      <c r="B16" s="155">
        <v>0.17</v>
      </c>
      <c r="C16" s="148">
        <v>0.22</v>
      </c>
      <c r="D16" s="148">
        <v>0.27900000000000003</v>
      </c>
      <c r="E16" s="148">
        <v>0.34399999999999997</v>
      </c>
      <c r="F16" s="148">
        <v>0.41099999999999998</v>
      </c>
      <c r="G16" s="148">
        <v>0.47899999999999998</v>
      </c>
      <c r="H16" s="148">
        <v>0.54400000000000004</v>
      </c>
      <c r="I16" s="148">
        <v>0.60399999999999998</v>
      </c>
      <c r="J16" s="148">
        <v>0.65500000000000003</v>
      </c>
      <c r="K16" s="148">
        <v>0.69499999999999995</v>
      </c>
      <c r="L16" s="148">
        <v>0.72099999999999997</v>
      </c>
      <c r="M16" s="148">
        <v>0.73</v>
      </c>
      <c r="N16" s="148">
        <v>0.71899999999999997</v>
      </c>
      <c r="O16" s="148">
        <v>0.68600000000000005</v>
      </c>
      <c r="P16" s="148">
        <v>0.627</v>
      </c>
    </row>
    <row r="17" spans="1:16" x14ac:dyDescent="0.35">
      <c r="A17" s="175">
        <v>4000</v>
      </c>
      <c r="B17" s="148">
        <v>0.14899999999999999</v>
      </c>
      <c r="C17" s="148">
        <v>0.187</v>
      </c>
      <c r="D17" s="148">
        <v>0.23400000000000001</v>
      </c>
      <c r="E17" s="148">
        <v>0.28799999999999998</v>
      </c>
      <c r="F17" s="148">
        <v>0.34599999999999997</v>
      </c>
      <c r="G17" s="148">
        <v>0.40400000000000003</v>
      </c>
      <c r="H17" s="148">
        <v>0.46100000000000002</v>
      </c>
      <c r="I17" s="148">
        <v>0.51300000000000001</v>
      </c>
      <c r="J17" s="148">
        <v>0.55800000000000005</v>
      </c>
      <c r="K17" s="148">
        <v>0.59199999999999997</v>
      </c>
      <c r="L17" s="148">
        <v>0.61299999999999999</v>
      </c>
      <c r="M17" s="148">
        <v>0.61799999999999999</v>
      </c>
      <c r="N17" s="148">
        <v>0.60399999999999998</v>
      </c>
      <c r="O17" s="148">
        <v>0.56899999999999995</v>
      </c>
      <c r="P17" s="148">
        <v>0.50800000000000001</v>
      </c>
    </row>
    <row r="18" spans="1:16" x14ac:dyDescent="0.35">
      <c r="A18" s="175">
        <v>5000</v>
      </c>
      <c r="B18" s="148">
        <v>0.14299999999999999</v>
      </c>
      <c r="C18" s="148">
        <v>0.17100000000000001</v>
      </c>
      <c r="D18" s="148">
        <v>0.20899999999999999</v>
      </c>
      <c r="E18" s="148">
        <v>0.255</v>
      </c>
      <c r="F18" s="148">
        <v>0.505</v>
      </c>
      <c r="G18" s="148">
        <v>0.35599999999999998</v>
      </c>
      <c r="H18" s="148">
        <v>0.40699999999999997</v>
      </c>
      <c r="I18" s="148">
        <v>0.45300000000000001</v>
      </c>
      <c r="J18" s="148">
        <v>0.49299999999999999</v>
      </c>
      <c r="K18" s="148">
        <v>0.52300000000000002</v>
      </c>
      <c r="L18" s="148">
        <v>0.54</v>
      </c>
      <c r="M18" s="148">
        <v>0.54200000000000004</v>
      </c>
      <c r="N18" s="148">
        <v>0.52500000000000002</v>
      </c>
      <c r="O18" s="148">
        <v>0.48799999999999999</v>
      </c>
      <c r="P18" s="148">
        <v>0.42599999999999999</v>
      </c>
    </row>
    <row r="19" spans="1:16" ht="15" thickBot="1" x14ac:dyDescent="0.4">
      <c r="A19" s="154">
        <v>6000</v>
      </c>
      <c r="B19" s="148">
        <v>0.14499999999999999</v>
      </c>
      <c r="C19" s="148">
        <v>0.16500000000000001</v>
      </c>
      <c r="D19" s="148">
        <v>0.19600000000000001</v>
      </c>
      <c r="E19" s="148">
        <v>0.23499999999999999</v>
      </c>
      <c r="F19" s="148">
        <v>0.27800000000000002</v>
      </c>
      <c r="G19" s="148">
        <v>0.32400000000000001</v>
      </c>
      <c r="H19" s="148">
        <v>0.37</v>
      </c>
      <c r="I19" s="148">
        <v>0.41099999999999998</v>
      </c>
      <c r="J19" s="148">
        <v>0.44700000000000001</v>
      </c>
      <c r="K19" s="148">
        <v>0.47299999999999998</v>
      </c>
      <c r="L19" s="148">
        <v>0.48699999999999999</v>
      </c>
      <c r="M19" s="148">
        <v>0.48599999999999999</v>
      </c>
      <c r="N19" s="148">
        <v>0.46800000000000003</v>
      </c>
      <c r="O19" s="148">
        <v>0.42899999999999999</v>
      </c>
      <c r="P19" s="148">
        <v>0.36699999999999999</v>
      </c>
    </row>
  </sheetData>
  <mergeCells count="2">
    <mergeCell ref="A1:A2"/>
    <mergeCell ref="B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3A72-CB1D-4ABB-A8B1-70F585866C79}">
  <dimension ref="A1:N68"/>
  <sheetViews>
    <sheetView workbookViewId="0">
      <selection activeCell="N1" sqref="N1:N1048576"/>
    </sheetView>
  </sheetViews>
  <sheetFormatPr baseColWidth="10" defaultRowHeight="14.5" x14ac:dyDescent="0.35"/>
  <cols>
    <col min="13" max="13" width="11.90625" hidden="1" customWidth="1"/>
    <col min="14" max="14" width="13.26953125" hidden="1" customWidth="1"/>
  </cols>
  <sheetData>
    <row r="1" spans="1:14" x14ac:dyDescent="0.35">
      <c r="A1" s="2" t="s">
        <v>211</v>
      </c>
      <c r="B1" s="2"/>
      <c r="C1" s="2"/>
      <c r="D1" s="2"/>
    </row>
    <row r="3" spans="1:14" x14ac:dyDescent="0.35">
      <c r="A3" s="3" t="s">
        <v>19</v>
      </c>
      <c r="B3" s="4">
        <v>749</v>
      </c>
      <c r="C3" s="4"/>
      <c r="D3" s="4"/>
      <c r="E3" s="3" t="s">
        <v>20</v>
      </c>
      <c r="F3" s="3"/>
      <c r="G3" s="5">
        <v>7</v>
      </c>
      <c r="H3" s="5"/>
      <c r="I3" s="5"/>
    </row>
    <row r="4" spans="1:14" ht="15" thickBot="1" x14ac:dyDescent="0.4"/>
    <row r="5" spans="1:14" ht="29" x14ac:dyDescent="0.35">
      <c r="A5" s="6" t="s">
        <v>21</v>
      </c>
      <c r="B5" s="7" t="s">
        <v>22</v>
      </c>
      <c r="C5" s="7" t="s">
        <v>23</v>
      </c>
      <c r="D5" s="7" t="s">
        <v>24</v>
      </c>
      <c r="E5" s="8" t="s">
        <v>25</v>
      </c>
      <c r="F5" s="7" t="s">
        <v>26</v>
      </c>
      <c r="G5" s="8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9" t="s">
        <v>34</v>
      </c>
    </row>
    <row r="6" spans="1:14" x14ac:dyDescent="0.35">
      <c r="A6" s="10">
        <v>1</v>
      </c>
      <c r="B6" s="11">
        <v>264</v>
      </c>
      <c r="C6" s="12">
        <v>1.601</v>
      </c>
      <c r="D6" s="12">
        <v>1</v>
      </c>
      <c r="E6" s="13">
        <v>2.06E-2</v>
      </c>
      <c r="F6" s="14"/>
      <c r="G6" s="15">
        <f>B6*E6*B$3/1000</f>
        <v>4.0733616000000001</v>
      </c>
      <c r="H6" s="16">
        <v>5.0000000000000001E-4</v>
      </c>
      <c r="I6" s="17">
        <v>749</v>
      </c>
      <c r="J6" s="11">
        <f>B6*I6/1000</f>
        <v>197.73599999999999</v>
      </c>
      <c r="K6" s="11"/>
      <c r="L6" s="18">
        <f t="shared" ref="L6:L68" si="0">J6/G$3</f>
        <v>28.247999999999998</v>
      </c>
      <c r="M6" s="19">
        <f>PRODUCT(G6*300/(24*60))</f>
        <v>0.84861699999999995</v>
      </c>
      <c r="N6" s="11">
        <f>M6*60*24</f>
        <v>1222.00848</v>
      </c>
    </row>
    <row r="7" spans="1:14" x14ac:dyDescent="0.35">
      <c r="A7" s="10">
        <v>2</v>
      </c>
      <c r="B7" s="11">
        <f>B6*(1+(C6/100))</f>
        <v>268.22664000000003</v>
      </c>
      <c r="C7" s="12">
        <v>1.601</v>
      </c>
      <c r="D7" s="12">
        <v>1</v>
      </c>
      <c r="E7" s="13">
        <v>2.06E-2</v>
      </c>
      <c r="F7" s="20">
        <f>K7*D7</f>
        <v>3.0653024833200391</v>
      </c>
      <c r="G7" s="15">
        <f t="shared" ref="G7:G68" si="1">B7*E7*B$3/1000</f>
        <v>4.1385761192160011</v>
      </c>
      <c r="H7" s="16">
        <v>5.0000000000000001E-4</v>
      </c>
      <c r="I7" s="17">
        <f>I6-(I6*H6)</f>
        <v>748.62549999999999</v>
      </c>
      <c r="J7" s="11">
        <f t="shared" ref="J7:J68" si="2">B7*I7/1000</f>
        <v>200.80130248332003</v>
      </c>
      <c r="K7" s="11">
        <f>J7-J6</f>
        <v>3.0653024833200391</v>
      </c>
      <c r="L7" s="18">
        <f t="shared" si="0"/>
        <v>28.685900354760005</v>
      </c>
      <c r="M7" s="19">
        <f>PRODUCT(F7*300/(24*60))</f>
        <v>0.63860468402500814</v>
      </c>
      <c r="N7" s="11">
        <f t="shared" ref="N7:N68" si="3">M7*60*24</f>
        <v>919.59074499601172</v>
      </c>
    </row>
    <row r="8" spans="1:14" x14ac:dyDescent="0.35">
      <c r="A8" s="10">
        <v>3</v>
      </c>
      <c r="B8" s="11">
        <f t="shared" ref="B8:B68" si="4">B7*(1+(C7/100))</f>
        <v>272.52094850640003</v>
      </c>
      <c r="C8" s="12">
        <v>1.601</v>
      </c>
      <c r="D8" s="12">
        <v>1</v>
      </c>
      <c r="E8" s="13">
        <v>2.06E-2</v>
      </c>
      <c r="F8" s="20">
        <f t="shared" ref="F8:F68" si="5">K8*D8</f>
        <v>3.1128207870899018</v>
      </c>
      <c r="G8" s="15">
        <f t="shared" si="1"/>
        <v>4.204834722884649</v>
      </c>
      <c r="H8" s="16">
        <v>5.0000000000000001E-4</v>
      </c>
      <c r="I8" s="17">
        <f t="shared" ref="I8:I68" si="6">I7-(I7*H7)</f>
        <v>748.25118725000004</v>
      </c>
      <c r="J8" s="11">
        <f t="shared" si="2"/>
        <v>203.91412327040993</v>
      </c>
      <c r="K8" s="11">
        <f t="shared" ref="K8:K68" si="7">J8-J7</f>
        <v>3.1128207870899018</v>
      </c>
      <c r="L8" s="18">
        <f t="shared" si="0"/>
        <v>29.130589038629989</v>
      </c>
      <c r="M8" s="19">
        <f t="shared" ref="M8:M68" si="8">PRODUCT(F8*300/(24*60))</f>
        <v>0.64850433064372959</v>
      </c>
      <c r="N8" s="11">
        <f t="shared" si="3"/>
        <v>933.84623612697055</v>
      </c>
    </row>
    <row r="9" spans="1:14" x14ac:dyDescent="0.35">
      <c r="A9" s="10">
        <v>4</v>
      </c>
      <c r="B9" s="11">
        <f t="shared" si="4"/>
        <v>276.88400889198749</v>
      </c>
      <c r="C9" s="12">
        <v>1.601</v>
      </c>
      <c r="D9" s="12">
        <v>1</v>
      </c>
      <c r="E9" s="13">
        <v>2.06E-2</v>
      </c>
      <c r="F9" s="20">
        <f t="shared" si="5"/>
        <v>3.161075719367318</v>
      </c>
      <c r="G9" s="15">
        <f t="shared" si="1"/>
        <v>4.2721541267980321</v>
      </c>
      <c r="H9" s="16">
        <v>5.0000000000000001E-4</v>
      </c>
      <c r="I9" s="17">
        <f t="shared" si="6"/>
        <v>747.87706165637508</v>
      </c>
      <c r="J9" s="11">
        <f t="shared" si="2"/>
        <v>207.07519898977725</v>
      </c>
      <c r="K9" s="11">
        <f t="shared" si="7"/>
        <v>3.161075719367318</v>
      </c>
      <c r="L9" s="18">
        <f t="shared" si="0"/>
        <v>29.582171284253892</v>
      </c>
      <c r="M9" s="19">
        <f t="shared" si="8"/>
        <v>0.65855744153485796</v>
      </c>
      <c r="N9" s="11">
        <f t="shared" si="3"/>
        <v>948.3227158101954</v>
      </c>
    </row>
    <row r="10" spans="1:14" x14ac:dyDescent="0.35">
      <c r="A10" s="10">
        <v>5</v>
      </c>
      <c r="B10" s="11">
        <f t="shared" si="4"/>
        <v>281.31692187434822</v>
      </c>
      <c r="C10" s="12">
        <v>1.601</v>
      </c>
      <c r="D10" s="12">
        <v>1</v>
      </c>
      <c r="E10" s="13">
        <v>2.06E-2</v>
      </c>
      <c r="F10" s="20">
        <f t="shared" si="5"/>
        <v>3.2100786993634927</v>
      </c>
      <c r="G10" s="15">
        <f t="shared" si="1"/>
        <v>4.340551314368069</v>
      </c>
      <c r="H10" s="16">
        <v>5.0000000000000001E-4</v>
      </c>
      <c r="I10" s="17">
        <f t="shared" si="6"/>
        <v>747.50312312554684</v>
      </c>
      <c r="J10" s="11">
        <f t="shared" si="2"/>
        <v>210.28527768914074</v>
      </c>
      <c r="K10" s="11">
        <f t="shared" si="7"/>
        <v>3.2100786993634927</v>
      </c>
      <c r="L10" s="18">
        <f t="shared" si="0"/>
        <v>30.040753955591533</v>
      </c>
      <c r="M10" s="19">
        <f t="shared" si="8"/>
        <v>0.6687663957007276</v>
      </c>
      <c r="N10" s="11">
        <f t="shared" si="3"/>
        <v>963.0236098090478</v>
      </c>
    </row>
    <row r="11" spans="1:14" x14ac:dyDescent="0.35">
      <c r="A11" s="10">
        <v>6</v>
      </c>
      <c r="B11" s="11">
        <f t="shared" si="4"/>
        <v>285.82080579355659</v>
      </c>
      <c r="C11" s="12">
        <v>1.601</v>
      </c>
      <c r="D11" s="12">
        <v>1</v>
      </c>
      <c r="E11" s="13">
        <v>2.06E-2</v>
      </c>
      <c r="F11" s="20">
        <f t="shared" si="5"/>
        <v>3.2598413233107237</v>
      </c>
      <c r="G11" s="15">
        <f t="shared" si="1"/>
        <v>4.4100435409111016</v>
      </c>
      <c r="H11" s="16">
        <v>5.0000000000000001E-4</v>
      </c>
      <c r="I11" s="17">
        <f t="shared" si="6"/>
        <v>747.12937156398402</v>
      </c>
      <c r="J11" s="11">
        <f t="shared" si="2"/>
        <v>213.54511901245147</v>
      </c>
      <c r="K11" s="11">
        <f t="shared" si="7"/>
        <v>3.2598413233107237</v>
      </c>
      <c r="L11" s="18">
        <f t="shared" si="0"/>
        <v>30.506445573207351</v>
      </c>
      <c r="M11" s="19">
        <f t="shared" si="8"/>
        <v>0.67913360902306741</v>
      </c>
      <c r="N11" s="11">
        <f t="shared" si="3"/>
        <v>977.95239699321712</v>
      </c>
    </row>
    <row r="12" spans="1:14" x14ac:dyDescent="0.35">
      <c r="A12" s="10">
        <v>7</v>
      </c>
      <c r="B12" s="11">
        <f t="shared" si="4"/>
        <v>290.39679689431148</v>
      </c>
      <c r="C12" s="12">
        <v>1.601</v>
      </c>
      <c r="D12" s="12">
        <v>1</v>
      </c>
      <c r="E12" s="13">
        <v>2.06E-2</v>
      </c>
      <c r="F12" s="20">
        <f t="shared" si="5"/>
        <v>3.3103753672054665</v>
      </c>
      <c r="G12" s="15">
        <f t="shared" si="1"/>
        <v>4.4806483380010897</v>
      </c>
      <c r="H12" s="16">
        <v>5.0000000000000001E-4</v>
      </c>
      <c r="I12" s="17">
        <f t="shared" si="6"/>
        <v>746.75580687820207</v>
      </c>
      <c r="J12" s="11">
        <f t="shared" si="2"/>
        <v>216.85549437965693</v>
      </c>
      <c r="K12" s="11">
        <f t="shared" si="7"/>
        <v>3.3103753672054665</v>
      </c>
      <c r="L12" s="18">
        <f t="shared" si="0"/>
        <v>30.979356339950989</v>
      </c>
      <c r="M12" s="19">
        <f t="shared" si="8"/>
        <v>0.68966153483447223</v>
      </c>
      <c r="N12" s="11">
        <f t="shared" si="3"/>
        <v>993.11261016163996</v>
      </c>
    </row>
    <row r="13" spans="1:14" x14ac:dyDescent="0.35">
      <c r="A13" s="10">
        <v>8</v>
      </c>
      <c r="B13" s="11">
        <f t="shared" si="4"/>
        <v>295.04604961258946</v>
      </c>
      <c r="C13" s="12">
        <v>1.601</v>
      </c>
      <c r="D13" s="12">
        <v>1</v>
      </c>
      <c r="E13" s="13">
        <v>2.06E-2</v>
      </c>
      <c r="F13" s="20">
        <f t="shared" si="5"/>
        <v>3.3616927895960202</v>
      </c>
      <c r="G13" s="15">
        <f t="shared" si="1"/>
        <v>4.552383517892487</v>
      </c>
      <c r="H13" s="16">
        <v>5.0000000000000001E-4</v>
      </c>
      <c r="I13" s="17">
        <f t="shared" si="6"/>
        <v>746.382428974763</v>
      </c>
      <c r="J13" s="11">
        <f t="shared" si="2"/>
        <v>220.21718716925295</v>
      </c>
      <c r="K13" s="11">
        <f t="shared" si="7"/>
        <v>3.3616927895960202</v>
      </c>
      <c r="L13" s="18">
        <f t="shared" si="0"/>
        <v>31.459598167036138</v>
      </c>
      <c r="M13" s="19">
        <f t="shared" si="8"/>
        <v>0.70035266449917088</v>
      </c>
      <c r="N13" s="11">
        <f t="shared" si="3"/>
        <v>1008.5078368788061</v>
      </c>
    </row>
    <row r="14" spans="1:14" x14ac:dyDescent="0.35">
      <c r="A14" s="10">
        <v>9</v>
      </c>
      <c r="B14" s="11">
        <f t="shared" si="4"/>
        <v>299.76973686688706</v>
      </c>
      <c r="C14" s="12">
        <v>1.601</v>
      </c>
      <c r="D14" s="12">
        <v>1</v>
      </c>
      <c r="E14" s="13">
        <v>2.06E-2</v>
      </c>
      <c r="F14" s="20">
        <f t="shared" si="5"/>
        <v>3.4138057344118522</v>
      </c>
      <c r="G14" s="15">
        <f t="shared" si="1"/>
        <v>4.6252671780139476</v>
      </c>
      <c r="H14" s="16">
        <v>5.0000000000000001E-4</v>
      </c>
      <c r="I14" s="17">
        <f t="shared" si="6"/>
        <v>746.0092377602756</v>
      </c>
      <c r="J14" s="11">
        <f t="shared" si="2"/>
        <v>223.6309929036648</v>
      </c>
      <c r="K14" s="11">
        <f t="shared" si="7"/>
        <v>3.4138057344118522</v>
      </c>
      <c r="L14" s="18">
        <f t="shared" si="0"/>
        <v>31.947284700523543</v>
      </c>
      <c r="M14" s="19">
        <f t="shared" si="8"/>
        <v>0.71120952800246917</v>
      </c>
      <c r="N14" s="11">
        <f t="shared" si="3"/>
        <v>1024.1417203235555</v>
      </c>
    </row>
    <row r="15" spans="1:14" x14ac:dyDescent="0.35">
      <c r="A15" s="10">
        <v>10</v>
      </c>
      <c r="B15" s="11">
        <f t="shared" si="4"/>
        <v>304.56905035412592</v>
      </c>
      <c r="C15" s="12">
        <v>1.45</v>
      </c>
      <c r="D15" s="12">
        <v>1</v>
      </c>
      <c r="E15" s="13">
        <v>1.9E-2</v>
      </c>
      <c r="F15" s="20">
        <f t="shared" si="5"/>
        <v>3.4667265338376296</v>
      </c>
      <c r="G15" s="15">
        <f t="shared" si="1"/>
        <v>4.3343221555895663</v>
      </c>
      <c r="H15" s="16">
        <v>5.0000000000000001E-4</v>
      </c>
      <c r="I15" s="17">
        <f t="shared" si="6"/>
        <v>745.63623314139545</v>
      </c>
      <c r="J15" s="11">
        <f t="shared" si="2"/>
        <v>227.09771943750243</v>
      </c>
      <c r="K15" s="11">
        <f t="shared" si="7"/>
        <v>3.4667265338376296</v>
      </c>
      <c r="L15" s="18">
        <f t="shared" si="0"/>
        <v>32.442531348214636</v>
      </c>
      <c r="M15" s="19">
        <f t="shared" si="8"/>
        <v>0.72223469454950617</v>
      </c>
      <c r="N15" s="11">
        <f t="shared" si="3"/>
        <v>1040.0179601512889</v>
      </c>
    </row>
    <row r="16" spans="1:14" x14ac:dyDescent="0.35">
      <c r="A16" s="10">
        <v>11</v>
      </c>
      <c r="B16" s="11">
        <f t="shared" si="4"/>
        <v>308.98530158426075</v>
      </c>
      <c r="C16" s="12">
        <v>1.45</v>
      </c>
      <c r="D16" s="12">
        <v>1</v>
      </c>
      <c r="E16" s="13">
        <v>1.9E-2</v>
      </c>
      <c r="F16" s="20">
        <f t="shared" si="5"/>
        <v>3.1777216136591449</v>
      </c>
      <c r="G16" s="15">
        <f t="shared" si="1"/>
        <v>4.397169826845615</v>
      </c>
      <c r="H16" s="16">
        <v>5.0000000000000001E-4</v>
      </c>
      <c r="I16" s="17">
        <f t="shared" si="6"/>
        <v>745.26341502482478</v>
      </c>
      <c r="J16" s="11">
        <f t="shared" si="2"/>
        <v>230.27544105116158</v>
      </c>
      <c r="K16" s="11">
        <f t="shared" si="7"/>
        <v>3.1777216136591449</v>
      </c>
      <c r="L16" s="18">
        <f t="shared" si="0"/>
        <v>32.896491578737368</v>
      </c>
      <c r="M16" s="19">
        <f t="shared" si="8"/>
        <v>0.66202533617898851</v>
      </c>
      <c r="N16" s="11">
        <f t="shared" si="3"/>
        <v>953.31648409774346</v>
      </c>
    </row>
    <row r="17" spans="1:14" x14ac:dyDescent="0.35">
      <c r="A17" s="10">
        <v>12</v>
      </c>
      <c r="B17" s="11">
        <f t="shared" si="4"/>
        <v>313.46558845723251</v>
      </c>
      <c r="C17" s="12">
        <v>1.45</v>
      </c>
      <c r="D17" s="12">
        <v>1</v>
      </c>
      <c r="E17" s="13">
        <v>1.9E-2</v>
      </c>
      <c r="F17" s="20">
        <f t="shared" si="5"/>
        <v>3.222186677768633</v>
      </c>
      <c r="G17" s="15">
        <f t="shared" si="1"/>
        <v>4.4609287893348757</v>
      </c>
      <c r="H17" s="16">
        <v>5.0000000000000001E-4</v>
      </c>
      <c r="I17" s="17">
        <f t="shared" si="6"/>
        <v>744.89078331731241</v>
      </c>
      <c r="J17" s="11">
        <f t="shared" si="2"/>
        <v>233.49762772893021</v>
      </c>
      <c r="K17" s="11">
        <f t="shared" si="7"/>
        <v>3.222186677768633</v>
      </c>
      <c r="L17" s="18">
        <f t="shared" si="0"/>
        <v>33.356803961275745</v>
      </c>
      <c r="M17" s="19">
        <f t="shared" si="8"/>
        <v>0.67128889120179858</v>
      </c>
      <c r="N17" s="11">
        <f t="shared" si="3"/>
        <v>966.6560033305899</v>
      </c>
    </row>
    <row r="18" spans="1:14" x14ac:dyDescent="0.35">
      <c r="A18" s="10">
        <v>13</v>
      </c>
      <c r="B18" s="11">
        <f t="shared" si="4"/>
        <v>318.01083948986235</v>
      </c>
      <c r="C18" s="12">
        <v>1.45</v>
      </c>
      <c r="D18" s="12">
        <v>1</v>
      </c>
      <c r="E18" s="13">
        <v>1.9E-2</v>
      </c>
      <c r="F18" s="20">
        <f t="shared" si="5"/>
        <v>3.2672739304039737</v>
      </c>
      <c r="G18" s="15">
        <f t="shared" si="1"/>
        <v>4.5256122567802315</v>
      </c>
      <c r="H18" s="16">
        <v>5.0000000000000001E-4</v>
      </c>
      <c r="I18" s="17">
        <f t="shared" si="6"/>
        <v>744.51833792565378</v>
      </c>
      <c r="J18" s="11">
        <f t="shared" si="2"/>
        <v>236.76490165933419</v>
      </c>
      <c r="K18" s="11">
        <f t="shared" si="7"/>
        <v>3.2672739304039737</v>
      </c>
      <c r="L18" s="18">
        <f t="shared" si="0"/>
        <v>33.823557379904884</v>
      </c>
      <c r="M18" s="19">
        <f t="shared" si="8"/>
        <v>0.68068206883416116</v>
      </c>
      <c r="N18" s="11">
        <f t="shared" si="3"/>
        <v>980.18217912119212</v>
      </c>
    </row>
    <row r="19" spans="1:14" x14ac:dyDescent="0.35">
      <c r="A19" s="10">
        <v>14</v>
      </c>
      <c r="B19" s="11">
        <f t="shared" si="4"/>
        <v>322.62199666246534</v>
      </c>
      <c r="C19" s="12">
        <v>1.45</v>
      </c>
      <c r="D19" s="12">
        <v>1</v>
      </c>
      <c r="E19" s="13">
        <v>1.9E-2</v>
      </c>
      <c r="F19" s="20">
        <f t="shared" si="5"/>
        <v>3.3129920776936217</v>
      </c>
      <c r="G19" s="15">
        <f t="shared" si="1"/>
        <v>4.5912336345035438</v>
      </c>
      <c r="H19" s="16">
        <v>5.0000000000000001E-4</v>
      </c>
      <c r="I19" s="17">
        <f t="shared" si="6"/>
        <v>744.14607875669094</v>
      </c>
      <c r="J19" s="11">
        <f t="shared" si="2"/>
        <v>240.07789373702781</v>
      </c>
      <c r="K19" s="11">
        <f t="shared" si="7"/>
        <v>3.3129920776936217</v>
      </c>
      <c r="L19" s="18">
        <f t="shared" si="0"/>
        <v>34.296841962432545</v>
      </c>
      <c r="M19" s="19">
        <f t="shared" si="8"/>
        <v>0.69020668285283782</v>
      </c>
      <c r="N19" s="11">
        <f t="shared" si="3"/>
        <v>993.89762330808651</v>
      </c>
    </row>
    <row r="20" spans="1:14" x14ac:dyDescent="0.35">
      <c r="A20" s="10">
        <v>15</v>
      </c>
      <c r="B20" s="11">
        <f t="shared" si="4"/>
        <v>327.30001561407107</v>
      </c>
      <c r="C20" s="12">
        <v>1.45</v>
      </c>
      <c r="D20" s="12">
        <v>1</v>
      </c>
      <c r="E20" s="13">
        <v>1.9E-2</v>
      </c>
      <c r="F20" s="20">
        <f t="shared" si="5"/>
        <v>3.3593499475887825</v>
      </c>
      <c r="G20" s="15">
        <f t="shared" si="1"/>
        <v>4.6578065222038454</v>
      </c>
      <c r="H20" s="16">
        <v>5.0000000000000001E-4</v>
      </c>
      <c r="I20" s="17">
        <f t="shared" si="6"/>
        <v>743.77400571731255</v>
      </c>
      <c r="J20" s="11">
        <f t="shared" si="2"/>
        <v>243.43724368461659</v>
      </c>
      <c r="K20" s="11">
        <f t="shared" si="7"/>
        <v>3.3593499475887825</v>
      </c>
      <c r="L20" s="18">
        <f t="shared" si="0"/>
        <v>34.776749097802373</v>
      </c>
      <c r="M20" s="19">
        <f t="shared" si="8"/>
        <v>0.69986457241432964</v>
      </c>
      <c r="N20" s="11">
        <f t="shared" si="3"/>
        <v>1007.8049842766347</v>
      </c>
    </row>
    <row r="21" spans="1:14" x14ac:dyDescent="0.35">
      <c r="A21" s="10">
        <v>16</v>
      </c>
      <c r="B21" s="11">
        <f t="shared" si="4"/>
        <v>332.04586584047507</v>
      </c>
      <c r="C21" s="12">
        <v>1.45</v>
      </c>
      <c r="D21" s="12">
        <v>1</v>
      </c>
      <c r="E21" s="13">
        <v>1.9E-2</v>
      </c>
      <c r="F21" s="20">
        <f t="shared" si="5"/>
        <v>3.406356491567891</v>
      </c>
      <c r="G21" s="15">
        <f t="shared" si="1"/>
        <v>4.7253447167758003</v>
      </c>
      <c r="H21" s="16">
        <v>5.0000000000000001E-4</v>
      </c>
      <c r="I21" s="17">
        <f t="shared" si="6"/>
        <v>743.40211871445388</v>
      </c>
      <c r="J21" s="11">
        <f t="shared" si="2"/>
        <v>246.84360017618448</v>
      </c>
      <c r="K21" s="11">
        <f t="shared" si="7"/>
        <v>3.406356491567891</v>
      </c>
      <c r="L21" s="18">
        <f t="shared" si="0"/>
        <v>35.263371453740639</v>
      </c>
      <c r="M21" s="19">
        <f t="shared" si="8"/>
        <v>0.70965760240997733</v>
      </c>
      <c r="N21" s="11">
        <f t="shared" si="3"/>
        <v>1021.9069474703673</v>
      </c>
    </row>
    <row r="22" spans="1:14" x14ac:dyDescent="0.35">
      <c r="A22" s="10">
        <v>17</v>
      </c>
      <c r="B22" s="11">
        <f t="shared" si="4"/>
        <v>336.86053089516196</v>
      </c>
      <c r="C22" s="12">
        <v>1.45</v>
      </c>
      <c r="D22" s="12">
        <v>1</v>
      </c>
      <c r="E22" s="13">
        <v>1.9E-2</v>
      </c>
      <c r="F22" s="20">
        <f t="shared" si="5"/>
        <v>3.4540207863653052</v>
      </c>
      <c r="G22" s="15">
        <f t="shared" si="1"/>
        <v>4.7938622151690495</v>
      </c>
      <c r="H22" s="16">
        <v>5.0000000000000001E-4</v>
      </c>
      <c r="I22" s="17">
        <f t="shared" si="6"/>
        <v>743.0304176550967</v>
      </c>
      <c r="J22" s="11">
        <f t="shared" si="2"/>
        <v>250.29762096254979</v>
      </c>
      <c r="K22" s="11">
        <f t="shared" si="7"/>
        <v>3.4540207863653052</v>
      </c>
      <c r="L22" s="18">
        <f t="shared" si="0"/>
        <v>35.756802994649966</v>
      </c>
      <c r="M22" s="19">
        <f t="shared" si="8"/>
        <v>0.71958766382610528</v>
      </c>
      <c r="N22" s="11">
        <f t="shared" si="3"/>
        <v>1036.2062359095917</v>
      </c>
    </row>
    <row r="23" spans="1:14" x14ac:dyDescent="0.35">
      <c r="A23" s="10">
        <v>18</v>
      </c>
      <c r="B23" s="11">
        <f t="shared" si="4"/>
        <v>341.74500859314179</v>
      </c>
      <c r="C23" s="12">
        <v>1.45</v>
      </c>
      <c r="D23" s="12">
        <v>1</v>
      </c>
      <c r="E23" s="13">
        <v>1.9E-2</v>
      </c>
      <c r="F23" s="20">
        <f t="shared" si="5"/>
        <v>3.5023520357237032</v>
      </c>
      <c r="G23" s="15">
        <f t="shared" si="1"/>
        <v>4.8633732172890003</v>
      </c>
      <c r="H23" s="16">
        <v>5.0000000000000001E-4</v>
      </c>
      <c r="I23" s="17">
        <f t="shared" si="6"/>
        <v>742.65890244626917</v>
      </c>
      <c r="J23" s="11">
        <f t="shared" si="2"/>
        <v>253.79997299827349</v>
      </c>
      <c r="K23" s="11">
        <f t="shared" si="7"/>
        <v>3.5023520357237032</v>
      </c>
      <c r="L23" s="18">
        <f t="shared" si="0"/>
        <v>36.257138999753359</v>
      </c>
      <c r="M23" s="19">
        <f t="shared" si="8"/>
        <v>0.72965667410910495</v>
      </c>
      <c r="N23" s="11">
        <f t="shared" si="3"/>
        <v>1050.7056107171111</v>
      </c>
    </row>
    <row r="24" spans="1:14" x14ac:dyDescent="0.35">
      <c r="A24" s="10">
        <v>19</v>
      </c>
      <c r="B24" s="11">
        <f t="shared" si="4"/>
        <v>346.70031121774235</v>
      </c>
      <c r="C24" s="12">
        <v>1.45</v>
      </c>
      <c r="D24" s="12">
        <v>1</v>
      </c>
      <c r="E24" s="13">
        <v>1.9E-2</v>
      </c>
      <c r="F24" s="20">
        <f t="shared" si="5"/>
        <v>3.5513595721716058</v>
      </c>
      <c r="G24" s="15">
        <f t="shared" si="1"/>
        <v>4.9338921289396911</v>
      </c>
      <c r="H24" s="16">
        <v>5.0000000000000001E-4</v>
      </c>
      <c r="I24" s="17">
        <f t="shared" si="6"/>
        <v>742.28757299504605</v>
      </c>
      <c r="J24" s="11">
        <f t="shared" si="2"/>
        <v>257.35133257044509</v>
      </c>
      <c r="K24" s="11">
        <f t="shared" si="7"/>
        <v>3.5513595721716058</v>
      </c>
      <c r="L24" s="18">
        <f t="shared" si="0"/>
        <v>36.764476081492155</v>
      </c>
      <c r="M24" s="19">
        <f t="shared" si="8"/>
        <v>0.73986657753575125</v>
      </c>
      <c r="N24" s="11">
        <f t="shared" si="3"/>
        <v>1065.4078716514819</v>
      </c>
    </row>
    <row r="25" spans="1:14" x14ac:dyDescent="0.35">
      <c r="A25" s="10">
        <v>20</v>
      </c>
      <c r="B25" s="11">
        <f t="shared" si="4"/>
        <v>351.72746573039962</v>
      </c>
      <c r="C25" s="12">
        <v>1.45</v>
      </c>
      <c r="D25" s="12">
        <v>1</v>
      </c>
      <c r="E25" s="13">
        <v>1.9E-2</v>
      </c>
      <c r="F25" s="20">
        <f t="shared" si="5"/>
        <v>3.601052858825085</v>
      </c>
      <c r="G25" s="15">
        <f t="shared" si="1"/>
        <v>5.0054335648093176</v>
      </c>
      <c r="H25" s="16">
        <v>5.0000000000000001E-4</v>
      </c>
      <c r="I25" s="17">
        <f t="shared" si="6"/>
        <v>741.91642920854849</v>
      </c>
      <c r="J25" s="11">
        <f t="shared" si="2"/>
        <v>260.95238542927018</v>
      </c>
      <c r="K25" s="11">
        <f t="shared" si="7"/>
        <v>3.601052858825085</v>
      </c>
      <c r="L25" s="18">
        <f t="shared" si="0"/>
        <v>37.278912204181452</v>
      </c>
      <c r="M25" s="19">
        <f t="shared" si="8"/>
        <v>0.75021934558855941</v>
      </c>
      <c r="N25" s="11">
        <f t="shared" si="3"/>
        <v>1080.3158576475255</v>
      </c>
    </row>
    <row r="26" spans="1:14" x14ac:dyDescent="0.35">
      <c r="A26" s="10">
        <v>21</v>
      </c>
      <c r="B26" s="11">
        <f t="shared" si="4"/>
        <v>356.82751398349041</v>
      </c>
      <c r="C26" s="12">
        <v>1.45</v>
      </c>
      <c r="D26" s="12">
        <v>1</v>
      </c>
      <c r="E26" s="13">
        <v>1.9E-2</v>
      </c>
      <c r="F26" s="20">
        <f t="shared" si="5"/>
        <v>3.6514414912154507</v>
      </c>
      <c r="G26" s="15">
        <f t="shared" si="1"/>
        <v>5.0780123514990523</v>
      </c>
      <c r="H26" s="16">
        <v>5.0000000000000001E-4</v>
      </c>
      <c r="I26" s="17">
        <f t="shared" si="6"/>
        <v>741.54547099394426</v>
      </c>
      <c r="J26" s="11">
        <f t="shared" si="2"/>
        <v>264.60382692048563</v>
      </c>
      <c r="K26" s="11">
        <f t="shared" si="7"/>
        <v>3.6514414912154507</v>
      </c>
      <c r="L26" s="18">
        <f t="shared" si="0"/>
        <v>37.800546702926518</v>
      </c>
      <c r="M26" s="19">
        <f t="shared" si="8"/>
        <v>0.76071697733655219</v>
      </c>
      <c r="N26" s="11">
        <f t="shared" si="3"/>
        <v>1095.4324473646352</v>
      </c>
    </row>
    <row r="27" spans="1:14" x14ac:dyDescent="0.35">
      <c r="A27" s="10">
        <v>22</v>
      </c>
      <c r="B27" s="11">
        <f t="shared" si="4"/>
        <v>362.001512936251</v>
      </c>
      <c r="C27" s="12">
        <v>1.45</v>
      </c>
      <c r="D27" s="12">
        <v>1</v>
      </c>
      <c r="E27" s="13">
        <v>1.9E-2</v>
      </c>
      <c r="F27" s="20">
        <f t="shared" si="5"/>
        <v>3.7025351991416073</v>
      </c>
      <c r="G27" s="15">
        <f t="shared" si="1"/>
        <v>5.1516435305957877</v>
      </c>
      <c r="H27" s="16">
        <v>5.0000000000000001E-4</v>
      </c>
      <c r="I27" s="17">
        <f t="shared" si="6"/>
        <v>741.17469825844728</v>
      </c>
      <c r="J27" s="11">
        <f t="shared" si="2"/>
        <v>268.30636211962724</v>
      </c>
      <c r="K27" s="11">
        <f t="shared" si="7"/>
        <v>3.7025351991416073</v>
      </c>
      <c r="L27" s="18">
        <f t="shared" si="0"/>
        <v>38.329480302803894</v>
      </c>
      <c r="M27" s="19">
        <f t="shared" si="8"/>
        <v>0.7713614998211682</v>
      </c>
      <c r="N27" s="11">
        <f t="shared" si="3"/>
        <v>1110.7605597424822</v>
      </c>
    </row>
    <row r="28" spans="1:14" x14ac:dyDescent="0.35">
      <c r="A28" s="10">
        <v>23</v>
      </c>
      <c r="B28" s="11">
        <f t="shared" si="4"/>
        <v>367.25053487382661</v>
      </c>
      <c r="C28" s="12">
        <v>1.45</v>
      </c>
      <c r="D28" s="12">
        <v>1</v>
      </c>
      <c r="E28" s="13">
        <v>1.9E-2</v>
      </c>
      <c r="F28" s="20">
        <f t="shared" si="5"/>
        <v>3.7543438485494107</v>
      </c>
      <c r="G28" s="15">
        <f t="shared" si="1"/>
        <v>5.2263423617894267</v>
      </c>
      <c r="H28" s="16">
        <v>5.0000000000000001E-4</v>
      </c>
      <c r="I28" s="17">
        <f t="shared" si="6"/>
        <v>740.80411090931807</v>
      </c>
      <c r="J28" s="11">
        <f t="shared" si="2"/>
        <v>272.06070596817665</v>
      </c>
      <c r="K28" s="11">
        <f t="shared" si="7"/>
        <v>3.7543438485494107</v>
      </c>
      <c r="L28" s="18">
        <f t="shared" si="0"/>
        <v>38.86581513831095</v>
      </c>
      <c r="M28" s="19">
        <f t="shared" si="8"/>
        <v>0.78215496844779386</v>
      </c>
      <c r="N28" s="11">
        <f t="shared" si="3"/>
        <v>1126.3031545648232</v>
      </c>
    </row>
    <row r="29" spans="1:14" x14ac:dyDescent="0.35">
      <c r="A29" s="10">
        <v>24</v>
      </c>
      <c r="B29" s="11">
        <f t="shared" si="4"/>
        <v>372.5756676294971</v>
      </c>
      <c r="C29" s="12">
        <v>1.45</v>
      </c>
      <c r="D29" s="12">
        <v>1</v>
      </c>
      <c r="E29" s="13">
        <v>1.9E-2</v>
      </c>
      <c r="F29" s="20">
        <f t="shared" si="5"/>
        <v>3.8068774434361785</v>
      </c>
      <c r="G29" s="15">
        <f t="shared" si="1"/>
        <v>5.302124326035373</v>
      </c>
      <c r="H29" s="16">
        <v>5.0000000000000001E-4</v>
      </c>
      <c r="I29" s="17">
        <f t="shared" si="6"/>
        <v>740.43370885386344</v>
      </c>
      <c r="J29" s="11">
        <f t="shared" si="2"/>
        <v>275.86758341161283</v>
      </c>
      <c r="K29" s="11">
        <f t="shared" si="7"/>
        <v>3.8068774434361785</v>
      </c>
      <c r="L29" s="18">
        <f t="shared" si="0"/>
        <v>39.409654773087546</v>
      </c>
      <c r="M29" s="19">
        <f t="shared" si="8"/>
        <v>0.79309946738253723</v>
      </c>
      <c r="N29" s="11">
        <f t="shared" si="3"/>
        <v>1142.0632330308536</v>
      </c>
    </row>
    <row r="30" spans="1:14" x14ac:dyDescent="0.35">
      <c r="A30" s="10">
        <v>25</v>
      </c>
      <c r="B30" s="11">
        <f t="shared" si="4"/>
        <v>377.97801481012482</v>
      </c>
      <c r="C30" s="12">
        <v>1.45</v>
      </c>
      <c r="D30" s="12">
        <v>1</v>
      </c>
      <c r="E30" s="13">
        <v>1.9E-2</v>
      </c>
      <c r="F30" s="20">
        <f t="shared" si="5"/>
        <v>3.8601461277828548</v>
      </c>
      <c r="G30" s="15">
        <f t="shared" si="1"/>
        <v>5.3790051287628859</v>
      </c>
      <c r="H30" s="16">
        <v>5.0000000000000001E-4</v>
      </c>
      <c r="I30" s="17">
        <f t="shared" si="6"/>
        <v>740.06349199943645</v>
      </c>
      <c r="J30" s="11">
        <f t="shared" si="2"/>
        <v>279.72772953939568</v>
      </c>
      <c r="K30" s="11">
        <f t="shared" si="7"/>
        <v>3.8601461277828548</v>
      </c>
      <c r="L30" s="18">
        <f t="shared" si="0"/>
        <v>39.961104219913672</v>
      </c>
      <c r="M30" s="19">
        <f t="shared" si="8"/>
        <v>0.80419710995476146</v>
      </c>
      <c r="N30" s="11">
        <f t="shared" si="3"/>
        <v>1158.0438383348564</v>
      </c>
    </row>
    <row r="31" spans="1:14" x14ac:dyDescent="0.35">
      <c r="A31" s="10">
        <v>26</v>
      </c>
      <c r="B31" s="11">
        <f t="shared" si="4"/>
        <v>383.45869602487159</v>
      </c>
      <c r="C31" s="12">
        <v>1.45</v>
      </c>
      <c r="D31" s="12">
        <v>1</v>
      </c>
      <c r="E31" s="13">
        <v>1.9E-2</v>
      </c>
      <c r="F31" s="20">
        <f t="shared" si="5"/>
        <v>3.9141601875123229</v>
      </c>
      <c r="G31" s="15">
        <f t="shared" si="1"/>
        <v>5.457000703129947</v>
      </c>
      <c r="H31" s="16">
        <v>5.0000000000000001E-4</v>
      </c>
      <c r="I31" s="17">
        <f t="shared" si="6"/>
        <v>739.69346025343668</v>
      </c>
      <c r="J31" s="11">
        <f t="shared" si="2"/>
        <v>283.641889726908</v>
      </c>
      <c r="K31" s="11">
        <f t="shared" si="7"/>
        <v>3.9141601875123229</v>
      </c>
      <c r="L31" s="18">
        <f t="shared" si="0"/>
        <v>40.520269960986859</v>
      </c>
      <c r="M31" s="19">
        <f t="shared" si="8"/>
        <v>0.8154500390650673</v>
      </c>
      <c r="N31" s="11">
        <f t="shared" si="3"/>
        <v>1174.2480562536969</v>
      </c>
    </row>
    <row r="32" spans="1:14" x14ac:dyDescent="0.35">
      <c r="A32" s="10">
        <v>27</v>
      </c>
      <c r="B32" s="11">
        <f t="shared" si="4"/>
        <v>389.01884711723221</v>
      </c>
      <c r="C32" s="12">
        <v>1.45</v>
      </c>
      <c r="D32" s="12">
        <v>1</v>
      </c>
      <c r="E32" s="13">
        <v>1.9E-2</v>
      </c>
      <c r="F32" s="20">
        <f t="shared" si="5"/>
        <v>3.9689300524761961</v>
      </c>
      <c r="G32" s="15">
        <f t="shared" si="1"/>
        <v>5.5361272133253312</v>
      </c>
      <c r="H32" s="16">
        <v>5.0000000000000001E-4</v>
      </c>
      <c r="I32" s="17">
        <f t="shared" si="6"/>
        <v>739.32361352330997</v>
      </c>
      <c r="J32" s="11">
        <f t="shared" si="2"/>
        <v>287.6108197793842</v>
      </c>
      <c r="K32" s="11">
        <f t="shared" si="7"/>
        <v>3.9689300524761961</v>
      </c>
      <c r="L32" s="18">
        <f t="shared" si="0"/>
        <v>41.087259968483458</v>
      </c>
      <c r="M32" s="19">
        <f t="shared" si="8"/>
        <v>0.82686042759920753</v>
      </c>
      <c r="N32" s="11">
        <f t="shared" si="3"/>
        <v>1190.6790157428588</v>
      </c>
    </row>
    <row r="33" spans="1:14" x14ac:dyDescent="0.35">
      <c r="A33" s="10">
        <v>28</v>
      </c>
      <c r="B33" s="11">
        <f t="shared" si="4"/>
        <v>394.65962040043206</v>
      </c>
      <c r="C33" s="12">
        <v>1.45</v>
      </c>
      <c r="D33" s="12">
        <v>1</v>
      </c>
      <c r="E33" s="13">
        <v>1.9E-2</v>
      </c>
      <c r="F33" s="20">
        <f t="shared" si="5"/>
        <v>4.0244662984679849</v>
      </c>
      <c r="G33" s="15">
        <f t="shared" si="1"/>
        <v>5.6164010579185488</v>
      </c>
      <c r="H33" s="16">
        <v>5.0000000000000001E-4</v>
      </c>
      <c r="I33" s="17">
        <f t="shared" si="6"/>
        <v>738.95395171654832</v>
      </c>
      <c r="J33" s="11">
        <f t="shared" si="2"/>
        <v>291.63528607785219</v>
      </c>
      <c r="K33" s="11">
        <f t="shared" si="7"/>
        <v>4.0244662984679849</v>
      </c>
      <c r="L33" s="18">
        <f t="shared" si="0"/>
        <v>41.662183725407452</v>
      </c>
      <c r="M33" s="19">
        <f t="shared" si="8"/>
        <v>0.83843047884749689</v>
      </c>
      <c r="N33" s="11">
        <f t="shared" si="3"/>
        <v>1207.3398895403955</v>
      </c>
    </row>
    <row r="34" spans="1:14" x14ac:dyDescent="0.35">
      <c r="A34" s="10">
        <v>29</v>
      </c>
      <c r="B34" s="11">
        <f t="shared" si="4"/>
        <v>400.3821848962383</v>
      </c>
      <c r="C34" s="12">
        <v>1.335</v>
      </c>
      <c r="D34" s="12">
        <v>1</v>
      </c>
      <c r="E34" s="13">
        <v>1.9E-2</v>
      </c>
      <c r="F34" s="20">
        <f t="shared" si="5"/>
        <v>4.0807796492658781</v>
      </c>
      <c r="G34" s="15">
        <f t="shared" si="1"/>
        <v>5.6978388732583669</v>
      </c>
      <c r="H34" s="16">
        <v>5.0000000000000001E-4</v>
      </c>
      <c r="I34" s="17">
        <f t="shared" si="6"/>
        <v>738.5844747406901</v>
      </c>
      <c r="J34" s="11">
        <f t="shared" si="2"/>
        <v>295.71606572711806</v>
      </c>
      <c r="K34" s="11">
        <f t="shared" si="7"/>
        <v>4.0807796492658781</v>
      </c>
      <c r="L34" s="18">
        <f t="shared" si="0"/>
        <v>42.245152246731152</v>
      </c>
      <c r="M34" s="19">
        <f t="shared" si="8"/>
        <v>0.85016242693039124</v>
      </c>
      <c r="N34" s="11">
        <f t="shared" si="3"/>
        <v>1224.2338947797634</v>
      </c>
    </row>
    <row r="35" spans="1:14" x14ac:dyDescent="0.35">
      <c r="A35" s="10">
        <v>30</v>
      </c>
      <c r="B35" s="11">
        <f t="shared" si="4"/>
        <v>405.72728706460305</v>
      </c>
      <c r="C35" s="12">
        <v>1.335</v>
      </c>
      <c r="D35" s="12">
        <v>1</v>
      </c>
      <c r="E35" s="13">
        <v>1.9E-2</v>
      </c>
      <c r="F35" s="20">
        <f t="shared" si="5"/>
        <v>3.7979775398546849</v>
      </c>
      <c r="G35" s="15">
        <f t="shared" si="1"/>
        <v>5.7739050222163657</v>
      </c>
      <c r="H35" s="16">
        <v>5.0000000000000001E-4</v>
      </c>
      <c r="I35" s="17">
        <f t="shared" si="6"/>
        <v>738.21518250331974</v>
      </c>
      <c r="J35" s="11">
        <f t="shared" si="2"/>
        <v>299.51404326697275</v>
      </c>
      <c r="K35" s="11">
        <f t="shared" si="7"/>
        <v>3.7979775398546849</v>
      </c>
      <c r="L35" s="18">
        <f t="shared" si="0"/>
        <v>42.78772046671039</v>
      </c>
      <c r="M35" s="19">
        <f t="shared" si="8"/>
        <v>0.79124532080305932</v>
      </c>
      <c r="N35" s="11">
        <f t="shared" si="3"/>
        <v>1139.3932619564055</v>
      </c>
    </row>
    <row r="36" spans="1:14" x14ac:dyDescent="0.35">
      <c r="A36" s="10">
        <v>31</v>
      </c>
      <c r="B36" s="11">
        <f t="shared" si="4"/>
        <v>411.14374634691546</v>
      </c>
      <c r="C36" s="12">
        <v>1.335</v>
      </c>
      <c r="D36" s="12">
        <v>1</v>
      </c>
      <c r="E36" s="13">
        <v>1.9E-2</v>
      </c>
      <c r="F36" s="20">
        <f t="shared" si="5"/>
        <v>3.8467561997417192</v>
      </c>
      <c r="G36" s="15">
        <f t="shared" si="1"/>
        <v>5.8509866542629529</v>
      </c>
      <c r="H36" s="16">
        <v>5.0000000000000001E-4</v>
      </c>
      <c r="I36" s="17">
        <f t="shared" si="6"/>
        <v>737.84607491206805</v>
      </c>
      <c r="J36" s="11">
        <f t="shared" si="2"/>
        <v>303.36079946671447</v>
      </c>
      <c r="K36" s="11">
        <f t="shared" si="7"/>
        <v>3.8467561997417192</v>
      </c>
      <c r="L36" s="18">
        <f t="shared" si="0"/>
        <v>43.337257066673494</v>
      </c>
      <c r="M36" s="19">
        <f t="shared" si="8"/>
        <v>0.80140754161285821</v>
      </c>
      <c r="N36" s="11">
        <f t="shared" si="3"/>
        <v>1154.0268599225158</v>
      </c>
    </row>
    <row r="37" spans="1:14" x14ac:dyDescent="0.35">
      <c r="A37" s="10">
        <v>32</v>
      </c>
      <c r="B37" s="11">
        <f t="shared" si="4"/>
        <v>416.63251536064678</v>
      </c>
      <c r="C37" s="12">
        <v>1.335</v>
      </c>
      <c r="D37" s="12">
        <v>1</v>
      </c>
      <c r="E37" s="13">
        <v>1.7299999999999999E-2</v>
      </c>
      <c r="F37" s="20">
        <f t="shared" si="5"/>
        <v>3.896161339810817</v>
      </c>
      <c r="G37" s="15">
        <f t="shared" si="1"/>
        <v>5.3985991442886521</v>
      </c>
      <c r="H37" s="16">
        <v>5.0000000000000001E-4</v>
      </c>
      <c r="I37" s="17">
        <f t="shared" si="6"/>
        <v>737.47715187461199</v>
      </c>
      <c r="J37" s="11">
        <f t="shared" si="2"/>
        <v>307.25696080652529</v>
      </c>
      <c r="K37" s="11">
        <f t="shared" si="7"/>
        <v>3.896161339810817</v>
      </c>
      <c r="L37" s="18">
        <f t="shared" si="0"/>
        <v>43.893851543789324</v>
      </c>
      <c r="M37" s="19">
        <f t="shared" si="8"/>
        <v>0.81170027912725351</v>
      </c>
      <c r="N37" s="11">
        <f t="shared" si="3"/>
        <v>1168.8484019432451</v>
      </c>
    </row>
    <row r="38" spans="1:14" x14ac:dyDescent="0.35">
      <c r="A38" s="10">
        <v>33</v>
      </c>
      <c r="B38" s="11">
        <f t="shared" si="4"/>
        <v>422.19455944071137</v>
      </c>
      <c r="C38" s="12">
        <v>1.335</v>
      </c>
      <c r="D38" s="12">
        <v>1</v>
      </c>
      <c r="E38" s="13">
        <v>1.7299999999999999E-2</v>
      </c>
      <c r="F38" s="20">
        <f t="shared" si="5"/>
        <v>3.9462010061504884</v>
      </c>
      <c r="G38" s="15">
        <f t="shared" si="1"/>
        <v>5.4706704428649058</v>
      </c>
      <c r="H38" s="16">
        <v>5.0000000000000001E-4</v>
      </c>
      <c r="I38" s="17">
        <f t="shared" si="6"/>
        <v>737.10841329867469</v>
      </c>
      <c r="J38" s="11">
        <f t="shared" si="2"/>
        <v>311.20316181267577</v>
      </c>
      <c r="K38" s="11">
        <f t="shared" si="7"/>
        <v>3.9462010061504884</v>
      </c>
      <c r="L38" s="18">
        <f t="shared" si="0"/>
        <v>44.45759454466797</v>
      </c>
      <c r="M38" s="19">
        <f t="shared" si="8"/>
        <v>0.82212520961468505</v>
      </c>
      <c r="N38" s="11">
        <f t="shared" si="3"/>
        <v>1183.8603018451465</v>
      </c>
    </row>
    <row r="39" spans="1:14" x14ac:dyDescent="0.35">
      <c r="A39" s="10">
        <v>34</v>
      </c>
      <c r="B39" s="11">
        <f t="shared" si="4"/>
        <v>427.83085680924484</v>
      </c>
      <c r="C39" s="12">
        <v>1.335</v>
      </c>
      <c r="D39" s="12">
        <v>1</v>
      </c>
      <c r="E39" s="13">
        <v>1.7299999999999999E-2</v>
      </c>
      <c r="F39" s="20">
        <f t="shared" si="5"/>
        <v>3.9968833481877368</v>
      </c>
      <c r="G39" s="15">
        <f t="shared" si="1"/>
        <v>5.5437038932771507</v>
      </c>
      <c r="H39" s="16">
        <v>5.0000000000000001E-4</v>
      </c>
      <c r="I39" s="17">
        <f t="shared" si="6"/>
        <v>736.73985909202531</v>
      </c>
      <c r="J39" s="11">
        <f t="shared" si="2"/>
        <v>315.20004516086351</v>
      </c>
      <c r="K39" s="11">
        <f t="shared" si="7"/>
        <v>3.9968833481877368</v>
      </c>
      <c r="L39" s="18">
        <f t="shared" si="0"/>
        <v>45.028577880123358</v>
      </c>
      <c r="M39" s="19">
        <f t="shared" si="8"/>
        <v>0.83268403087244514</v>
      </c>
      <c r="N39" s="11">
        <f t="shared" si="3"/>
        <v>1199.065004456321</v>
      </c>
    </row>
    <row r="40" spans="1:14" x14ac:dyDescent="0.35">
      <c r="A40" s="10">
        <v>35</v>
      </c>
      <c r="B40" s="11">
        <f t="shared" si="4"/>
        <v>433.54239874764824</v>
      </c>
      <c r="C40" s="12">
        <v>1.335</v>
      </c>
      <c r="D40" s="12">
        <v>1</v>
      </c>
      <c r="E40" s="13">
        <v>1.7299999999999999E-2</v>
      </c>
      <c r="F40" s="20">
        <f t="shared" si="5"/>
        <v>4.0482166200155802</v>
      </c>
      <c r="G40" s="15">
        <f t="shared" si="1"/>
        <v>5.6177123402524014</v>
      </c>
      <c r="H40" s="16">
        <v>5.0000000000000001E-4</v>
      </c>
      <c r="I40" s="17">
        <f t="shared" si="6"/>
        <v>736.37148916247929</v>
      </c>
      <c r="J40" s="11">
        <f t="shared" si="2"/>
        <v>319.24826178087909</v>
      </c>
      <c r="K40" s="11">
        <f t="shared" si="7"/>
        <v>4.0482166200155802</v>
      </c>
      <c r="L40" s="18">
        <f t="shared" si="0"/>
        <v>45.606894540125587</v>
      </c>
      <c r="M40" s="19">
        <f t="shared" si="8"/>
        <v>0.84337846250324588</v>
      </c>
      <c r="N40" s="11">
        <f t="shared" si="3"/>
        <v>1214.4649860046741</v>
      </c>
    </row>
    <row r="41" spans="1:14" x14ac:dyDescent="0.35">
      <c r="A41" s="10">
        <v>36</v>
      </c>
      <c r="B41" s="11">
        <f t="shared" si="4"/>
        <v>439.33018977092934</v>
      </c>
      <c r="C41" s="12">
        <v>1.335</v>
      </c>
      <c r="D41" s="12">
        <v>1</v>
      </c>
      <c r="E41" s="13">
        <v>1.7299999999999999E-2</v>
      </c>
      <c r="F41" s="20">
        <f t="shared" si="5"/>
        <v>4.1002091817369433</v>
      </c>
      <c r="G41" s="15">
        <f t="shared" si="1"/>
        <v>5.6927087999947705</v>
      </c>
      <c r="H41" s="16">
        <v>5.0000000000000001E-4</v>
      </c>
      <c r="I41" s="17">
        <f t="shared" si="6"/>
        <v>736.00330341789811</v>
      </c>
      <c r="J41" s="11">
        <f t="shared" si="2"/>
        <v>323.34847096261603</v>
      </c>
      <c r="K41" s="11">
        <f t="shared" si="7"/>
        <v>4.1002091817369433</v>
      </c>
      <c r="L41" s="18">
        <f t="shared" si="0"/>
        <v>46.192638708945147</v>
      </c>
      <c r="M41" s="19">
        <f t="shared" si="8"/>
        <v>0.85421024619519648</v>
      </c>
      <c r="N41" s="11">
        <f t="shared" si="3"/>
        <v>1230.062754521083</v>
      </c>
    </row>
    <row r="42" spans="1:14" x14ac:dyDescent="0.35">
      <c r="A42" s="10">
        <v>37</v>
      </c>
      <c r="B42" s="11">
        <f t="shared" si="4"/>
        <v>445.19524780437121</v>
      </c>
      <c r="C42" s="12">
        <v>1.335</v>
      </c>
      <c r="D42" s="12">
        <v>1</v>
      </c>
      <c r="E42" s="13">
        <v>1.7299999999999999E-2</v>
      </c>
      <c r="F42" s="20">
        <f t="shared" si="5"/>
        <v>4.1528695008259433</v>
      </c>
      <c r="G42" s="15">
        <f t="shared" si="1"/>
        <v>5.7687064624747002</v>
      </c>
      <c r="H42" s="16">
        <v>5.0000000000000001E-4</v>
      </c>
      <c r="I42" s="17">
        <f t="shared" si="6"/>
        <v>735.63530176618917</v>
      </c>
      <c r="J42" s="11">
        <f t="shared" si="2"/>
        <v>327.50134046344198</v>
      </c>
      <c r="K42" s="11">
        <f t="shared" si="7"/>
        <v>4.1528695008259433</v>
      </c>
      <c r="L42" s="18">
        <f t="shared" si="0"/>
        <v>46.78590578049171</v>
      </c>
      <c r="M42" s="19">
        <f t="shared" si="8"/>
        <v>0.86518114600540486</v>
      </c>
      <c r="N42" s="11">
        <f t="shared" si="3"/>
        <v>1245.860850247783</v>
      </c>
    </row>
    <row r="43" spans="1:14" x14ac:dyDescent="0.35">
      <c r="A43" s="10">
        <v>38</v>
      </c>
      <c r="B43" s="11">
        <f t="shared" si="4"/>
        <v>451.13860436255953</v>
      </c>
      <c r="C43" s="12">
        <v>1.335</v>
      </c>
      <c r="D43" s="12">
        <v>1</v>
      </c>
      <c r="E43" s="13">
        <v>1.7299999999999999E-2</v>
      </c>
      <c r="F43" s="20">
        <f t="shared" si="5"/>
        <v>4.2062061535076509</v>
      </c>
      <c r="G43" s="15">
        <f t="shared" si="1"/>
        <v>5.8457186937487373</v>
      </c>
      <c r="H43" s="16">
        <v>5.0000000000000001E-4</v>
      </c>
      <c r="I43" s="17">
        <f t="shared" si="6"/>
        <v>735.26748411530605</v>
      </c>
      <c r="J43" s="11">
        <f t="shared" si="2"/>
        <v>331.70754661694963</v>
      </c>
      <c r="K43" s="11">
        <f t="shared" si="7"/>
        <v>4.2062061535076509</v>
      </c>
      <c r="L43" s="18">
        <f t="shared" si="0"/>
        <v>47.38679237384995</v>
      </c>
      <c r="M43" s="19">
        <f t="shared" si="8"/>
        <v>0.87629294864742724</v>
      </c>
      <c r="N43" s="11">
        <f t="shared" si="3"/>
        <v>1261.8618460522953</v>
      </c>
    </row>
    <row r="44" spans="1:14" x14ac:dyDescent="0.35">
      <c r="A44" s="10">
        <v>39</v>
      </c>
      <c r="B44" s="11">
        <f t="shared" si="4"/>
        <v>457.16130473079971</v>
      </c>
      <c r="C44" s="12">
        <v>1.335</v>
      </c>
      <c r="D44" s="12">
        <v>1</v>
      </c>
      <c r="E44" s="13">
        <v>1.7299999999999999E-2</v>
      </c>
      <c r="F44" s="20">
        <f t="shared" si="5"/>
        <v>4.2602278261540505</v>
      </c>
      <c r="G44" s="15">
        <f t="shared" si="1"/>
        <v>5.9237590383102834</v>
      </c>
      <c r="H44" s="16">
        <v>5.0000000000000001E-4</v>
      </c>
      <c r="I44" s="17">
        <f t="shared" si="6"/>
        <v>734.89985037324834</v>
      </c>
      <c r="J44" s="11">
        <f t="shared" si="2"/>
        <v>335.96777444310368</v>
      </c>
      <c r="K44" s="11">
        <f t="shared" si="7"/>
        <v>4.2602278261540505</v>
      </c>
      <c r="L44" s="18">
        <f t="shared" si="0"/>
        <v>47.995396349014811</v>
      </c>
      <c r="M44" s="19">
        <f t="shared" si="8"/>
        <v>0.88754746378209382</v>
      </c>
      <c r="N44" s="11">
        <f t="shared" si="3"/>
        <v>1278.0683478462151</v>
      </c>
    </row>
    <row r="45" spans="1:14" x14ac:dyDescent="0.35">
      <c r="A45" s="10">
        <v>40</v>
      </c>
      <c r="B45" s="11">
        <f t="shared" si="4"/>
        <v>463.26440814895585</v>
      </c>
      <c r="C45" s="12">
        <v>1.335</v>
      </c>
      <c r="D45" s="12">
        <v>1</v>
      </c>
      <c r="E45" s="13">
        <v>1.7299999999999999E-2</v>
      </c>
      <c r="F45" s="20">
        <f t="shared" si="5"/>
        <v>4.3149433166994413</v>
      </c>
      <c r="G45" s="15">
        <f t="shared" si="1"/>
        <v>6.0028412214717246</v>
      </c>
      <c r="H45" s="16">
        <v>5.0000000000000001E-4</v>
      </c>
      <c r="I45" s="17">
        <f t="shared" si="6"/>
        <v>734.53240044806171</v>
      </c>
      <c r="J45" s="11">
        <f t="shared" si="2"/>
        <v>340.28271775980312</v>
      </c>
      <c r="K45" s="11">
        <f t="shared" si="7"/>
        <v>4.3149433166994413</v>
      </c>
      <c r="L45" s="18">
        <f t="shared" si="0"/>
        <v>48.61181682282902</v>
      </c>
      <c r="M45" s="19">
        <f t="shared" si="8"/>
        <v>0.89894652431238364</v>
      </c>
      <c r="N45" s="11">
        <f t="shared" si="3"/>
        <v>1294.4829950098324</v>
      </c>
    </row>
    <row r="46" spans="1:14" x14ac:dyDescent="0.35">
      <c r="A46" s="10">
        <v>41</v>
      </c>
      <c r="B46" s="11">
        <f t="shared" si="4"/>
        <v>469.44898799774438</v>
      </c>
      <c r="C46" s="12">
        <v>1.335</v>
      </c>
      <c r="D46" s="12">
        <v>1</v>
      </c>
      <c r="E46" s="13">
        <v>1.7299999999999999E-2</v>
      </c>
      <c r="F46" s="20">
        <f t="shared" si="5"/>
        <v>4.370361536072437</v>
      </c>
      <c r="G46" s="15">
        <f t="shared" si="1"/>
        <v>6.082979151778372</v>
      </c>
      <c r="H46" s="16">
        <v>5.0000000000000001E-4</v>
      </c>
      <c r="I46" s="17">
        <f t="shared" si="6"/>
        <v>734.16513424783773</v>
      </c>
      <c r="J46" s="11">
        <f t="shared" si="2"/>
        <v>344.65307929587556</v>
      </c>
      <c r="K46" s="11">
        <f t="shared" si="7"/>
        <v>4.370361536072437</v>
      </c>
      <c r="L46" s="18">
        <f t="shared" si="0"/>
        <v>49.236154185125081</v>
      </c>
      <c r="M46" s="19">
        <f t="shared" si="8"/>
        <v>0.91049198668175768</v>
      </c>
      <c r="N46" s="11">
        <f t="shared" si="3"/>
        <v>1311.1084608217311</v>
      </c>
    </row>
    <row r="47" spans="1:14" x14ac:dyDescent="0.35">
      <c r="A47" s="10">
        <v>42</v>
      </c>
      <c r="B47" s="11">
        <f t="shared" si="4"/>
        <v>475.71613198751425</v>
      </c>
      <c r="C47" s="12">
        <v>1.335</v>
      </c>
      <c r="D47" s="12">
        <v>1</v>
      </c>
      <c r="E47" s="13">
        <v>1.7299999999999999E-2</v>
      </c>
      <c r="F47" s="20">
        <f t="shared" si="5"/>
        <v>4.4264915096476898</v>
      </c>
      <c r="G47" s="15">
        <f t="shared" si="1"/>
        <v>6.1641869234546141</v>
      </c>
      <c r="H47" s="16">
        <v>5.0000000000000001E-4</v>
      </c>
      <c r="I47" s="17">
        <f t="shared" si="6"/>
        <v>733.7980516807138</v>
      </c>
      <c r="J47" s="11">
        <f t="shared" si="2"/>
        <v>349.07957080552325</v>
      </c>
      <c r="K47" s="11">
        <f t="shared" si="7"/>
        <v>4.4264915096476898</v>
      </c>
      <c r="L47" s="18">
        <f t="shared" si="0"/>
        <v>49.868510115074749</v>
      </c>
      <c r="M47" s="19">
        <f t="shared" si="8"/>
        <v>0.92218573117660207</v>
      </c>
      <c r="N47" s="11">
        <f t="shared" si="3"/>
        <v>1327.9474528943069</v>
      </c>
    </row>
    <row r="48" spans="1:14" x14ac:dyDescent="0.35">
      <c r="A48" s="10">
        <v>43</v>
      </c>
      <c r="B48" s="11">
        <f t="shared" si="4"/>
        <v>482.06694234954756</v>
      </c>
      <c r="C48" s="12">
        <v>1.335</v>
      </c>
      <c r="D48" s="12">
        <v>1</v>
      </c>
      <c r="E48" s="13">
        <v>1.7299999999999999E-2</v>
      </c>
      <c r="F48" s="20">
        <f t="shared" si="5"/>
        <v>4.4833423787158608</v>
      </c>
      <c r="G48" s="15">
        <f t="shared" si="1"/>
        <v>6.246478818882732</v>
      </c>
      <c r="H48" s="16">
        <v>5.0000000000000001E-4</v>
      </c>
      <c r="I48" s="17">
        <f t="shared" si="6"/>
        <v>733.43115265487347</v>
      </c>
      <c r="J48" s="11">
        <f t="shared" si="2"/>
        <v>353.56291318423911</v>
      </c>
      <c r="K48" s="11">
        <f t="shared" si="7"/>
        <v>4.4833423787158608</v>
      </c>
      <c r="L48" s="18">
        <f t="shared" si="0"/>
        <v>50.508987597748444</v>
      </c>
      <c r="M48" s="19">
        <f t="shared" si="8"/>
        <v>0.93402966223247097</v>
      </c>
      <c r="N48" s="11">
        <f t="shared" si="3"/>
        <v>1345.0027136147582</v>
      </c>
    </row>
    <row r="49" spans="1:14" x14ac:dyDescent="0.35">
      <c r="A49" s="10">
        <v>44</v>
      </c>
      <c r="B49" s="11">
        <f t="shared" si="4"/>
        <v>488.50253602991398</v>
      </c>
      <c r="C49" s="12">
        <v>1.335</v>
      </c>
      <c r="D49" s="12">
        <v>1</v>
      </c>
      <c r="E49" s="13">
        <v>1.7299999999999999E-2</v>
      </c>
      <c r="F49" s="20">
        <f t="shared" si="5"/>
        <v>4.540923401971952</v>
      </c>
      <c r="G49" s="15">
        <f t="shared" si="1"/>
        <v>6.3298693111148161</v>
      </c>
      <c r="H49" s="16">
        <v>5.0000000000000001E-4</v>
      </c>
      <c r="I49" s="17">
        <f t="shared" si="6"/>
        <v>733.06443707854601</v>
      </c>
      <c r="J49" s="11">
        <f t="shared" si="2"/>
        <v>358.10383658621106</v>
      </c>
      <c r="K49" s="11">
        <f t="shared" si="7"/>
        <v>4.540923401971952</v>
      </c>
      <c r="L49" s="18">
        <f t="shared" si="0"/>
        <v>51.157690940887292</v>
      </c>
      <c r="M49" s="19">
        <f t="shared" si="8"/>
        <v>0.9460257087441567</v>
      </c>
      <c r="N49" s="11">
        <f t="shared" si="3"/>
        <v>1362.2770205915856</v>
      </c>
    </row>
    <row r="50" spans="1:14" x14ac:dyDescent="0.35">
      <c r="A50" s="10">
        <v>45</v>
      </c>
      <c r="B50" s="11">
        <f t="shared" si="4"/>
        <v>495.02404488591333</v>
      </c>
      <c r="C50" s="12">
        <v>1.335</v>
      </c>
      <c r="D50" s="12">
        <v>1</v>
      </c>
      <c r="E50" s="13">
        <v>1.7299999999999999E-2</v>
      </c>
      <c r="F50" s="20">
        <f t="shared" si="5"/>
        <v>4.5992439570235319</v>
      </c>
      <c r="G50" s="15">
        <f t="shared" si="1"/>
        <v>6.4143730664181984</v>
      </c>
      <c r="H50" s="16">
        <v>5.0000000000000001E-4</v>
      </c>
      <c r="I50" s="17">
        <f t="shared" si="6"/>
        <v>732.6979048600067</v>
      </c>
      <c r="J50" s="11">
        <f t="shared" si="2"/>
        <v>362.70308054323459</v>
      </c>
      <c r="K50" s="11">
        <f t="shared" si="7"/>
        <v>4.5992439570235319</v>
      </c>
      <c r="L50" s="18">
        <f t="shared" si="0"/>
        <v>51.814725791890659</v>
      </c>
      <c r="M50" s="19">
        <f t="shared" si="8"/>
        <v>0.95817582437990245</v>
      </c>
      <c r="N50" s="11">
        <f t="shared" si="3"/>
        <v>1379.7731871070596</v>
      </c>
    </row>
    <row r="51" spans="1:14" x14ac:dyDescent="0.35">
      <c r="A51" s="10">
        <v>46</v>
      </c>
      <c r="B51" s="11">
        <f t="shared" si="4"/>
        <v>501.63261588514024</v>
      </c>
      <c r="C51" s="21">
        <v>1.2430000000000001</v>
      </c>
      <c r="D51" s="12">
        <v>1</v>
      </c>
      <c r="E51" s="13">
        <v>1.7299999999999999E-2</v>
      </c>
      <c r="F51" s="20">
        <f t="shared" si="5"/>
        <v>4.6583135419179484</v>
      </c>
      <c r="G51" s="15">
        <f t="shared" si="1"/>
        <v>6.5000049468548813</v>
      </c>
      <c r="H51" s="16">
        <v>5.0000000000000001E-4</v>
      </c>
      <c r="I51" s="17">
        <f t="shared" si="6"/>
        <v>732.33155590757667</v>
      </c>
      <c r="J51" s="11">
        <f t="shared" si="2"/>
        <v>367.36139408515254</v>
      </c>
      <c r="K51" s="11">
        <f t="shared" si="7"/>
        <v>4.6583135419179484</v>
      </c>
      <c r="L51" s="18">
        <f t="shared" si="0"/>
        <v>52.480199155021793</v>
      </c>
      <c r="M51" s="19">
        <f t="shared" si="8"/>
        <v>0.97048198789957263</v>
      </c>
      <c r="N51" s="11">
        <f t="shared" si="3"/>
        <v>1397.4940625753845</v>
      </c>
    </row>
    <row r="52" spans="1:14" x14ac:dyDescent="0.35">
      <c r="A52" s="10">
        <v>47</v>
      </c>
      <c r="B52" s="11">
        <f t="shared" si="4"/>
        <v>507.86790930059249</v>
      </c>
      <c r="C52" s="21">
        <v>1.2430000000000001</v>
      </c>
      <c r="D52" s="12">
        <v>1</v>
      </c>
      <c r="E52" s="13">
        <v>1.7299999999999999E-2</v>
      </c>
      <c r="F52" s="20">
        <f t="shared" si="5"/>
        <v>4.3803382803715749</v>
      </c>
      <c r="G52" s="15">
        <f t="shared" si="1"/>
        <v>6.580800008344287</v>
      </c>
      <c r="H52" s="16">
        <v>5.0000000000000001E-4</v>
      </c>
      <c r="I52" s="17">
        <f t="shared" si="6"/>
        <v>731.96539012962285</v>
      </c>
      <c r="J52" s="11">
        <f t="shared" si="2"/>
        <v>371.74173236552411</v>
      </c>
      <c r="K52" s="11">
        <f t="shared" si="7"/>
        <v>4.3803382803715749</v>
      </c>
      <c r="L52" s="18">
        <f t="shared" si="0"/>
        <v>53.105961766503448</v>
      </c>
      <c r="M52" s="19">
        <f t="shared" si="8"/>
        <v>0.9125704750774114</v>
      </c>
      <c r="N52" s="11">
        <f t="shared" si="3"/>
        <v>1314.1014841114725</v>
      </c>
    </row>
    <row r="53" spans="1:14" x14ac:dyDescent="0.35">
      <c r="A53" s="10">
        <v>48</v>
      </c>
      <c r="B53" s="11">
        <f t="shared" si="4"/>
        <v>514.18070741319877</v>
      </c>
      <c r="C53" s="21">
        <v>1.2430000000000001</v>
      </c>
      <c r="D53" s="12">
        <v>1</v>
      </c>
      <c r="E53" s="13">
        <v>1.6E-2</v>
      </c>
      <c r="F53" s="20">
        <f t="shared" si="5"/>
        <v>4.4325684922540063</v>
      </c>
      <c r="G53" s="15">
        <f t="shared" si="1"/>
        <v>6.1619415976397738</v>
      </c>
      <c r="H53" s="16">
        <v>5.0000000000000001E-4</v>
      </c>
      <c r="I53" s="17">
        <f t="shared" si="6"/>
        <v>731.59940743455809</v>
      </c>
      <c r="J53" s="11">
        <f t="shared" si="2"/>
        <v>376.17430085777812</v>
      </c>
      <c r="K53" s="11">
        <f t="shared" si="7"/>
        <v>4.4325684922540063</v>
      </c>
      <c r="L53" s="18">
        <f t="shared" si="0"/>
        <v>53.739185836825449</v>
      </c>
      <c r="M53" s="19">
        <f t="shared" si="8"/>
        <v>0.92345176921958461</v>
      </c>
      <c r="N53" s="11">
        <f t="shared" si="3"/>
        <v>1329.7705476762019</v>
      </c>
    </row>
    <row r="54" spans="1:14" x14ac:dyDescent="0.35">
      <c r="A54" s="10">
        <v>49</v>
      </c>
      <c r="B54" s="11">
        <f t="shared" si="4"/>
        <v>520.57197360634484</v>
      </c>
      <c r="C54" s="21">
        <v>1.2430000000000001</v>
      </c>
      <c r="D54" s="12">
        <v>1</v>
      </c>
      <c r="E54" s="13">
        <v>1.6E-2</v>
      </c>
      <c r="F54" s="20">
        <f t="shared" si="5"/>
        <v>4.4854214859535091</v>
      </c>
      <c r="G54" s="15">
        <f t="shared" si="1"/>
        <v>6.2385345316984369</v>
      </c>
      <c r="H54" s="16">
        <v>5.0000000000000001E-4</v>
      </c>
      <c r="I54" s="17">
        <f t="shared" si="6"/>
        <v>731.23360773084084</v>
      </c>
      <c r="J54" s="11">
        <f t="shared" si="2"/>
        <v>380.65972234373163</v>
      </c>
      <c r="K54" s="11">
        <f t="shared" si="7"/>
        <v>4.4854214859535091</v>
      </c>
      <c r="L54" s="18">
        <f t="shared" si="0"/>
        <v>54.379960334818804</v>
      </c>
      <c r="M54" s="19">
        <f t="shared" si="8"/>
        <v>0.93446280957364769</v>
      </c>
      <c r="N54" s="11">
        <f t="shared" si="3"/>
        <v>1345.6264457860527</v>
      </c>
    </row>
    <row r="55" spans="1:14" x14ac:dyDescent="0.35">
      <c r="A55" s="10">
        <v>50</v>
      </c>
      <c r="B55" s="11">
        <f t="shared" si="4"/>
        <v>527.04268323827171</v>
      </c>
      <c r="C55" s="21">
        <v>1.2430000000000001</v>
      </c>
      <c r="D55" s="12">
        <v>1</v>
      </c>
      <c r="E55" s="13">
        <v>1.6E-2</v>
      </c>
      <c r="F55" s="20">
        <f t="shared" si="5"/>
        <v>4.538904687386264</v>
      </c>
      <c r="G55" s="15">
        <f t="shared" si="1"/>
        <v>6.3160795159274485</v>
      </c>
      <c r="H55" s="16">
        <v>5.0000000000000001E-4</v>
      </c>
      <c r="I55" s="17">
        <f t="shared" si="6"/>
        <v>730.86799092697538</v>
      </c>
      <c r="J55" s="11">
        <f t="shared" si="2"/>
        <v>385.19862703111789</v>
      </c>
      <c r="K55" s="11">
        <f t="shared" si="7"/>
        <v>4.538904687386264</v>
      </c>
      <c r="L55" s="18">
        <f t="shared" si="0"/>
        <v>55.028375290159701</v>
      </c>
      <c r="M55" s="19">
        <f t="shared" si="8"/>
        <v>0.94560514320547162</v>
      </c>
      <c r="N55" s="11">
        <f t="shared" si="3"/>
        <v>1361.6714062158792</v>
      </c>
    </row>
    <row r="56" spans="1:14" x14ac:dyDescent="0.35">
      <c r="A56" s="10">
        <v>51</v>
      </c>
      <c r="B56" s="11">
        <f t="shared" si="4"/>
        <v>533.59382379092335</v>
      </c>
      <c r="C56" s="21">
        <v>1.2430000000000001</v>
      </c>
      <c r="D56" s="12">
        <v>1</v>
      </c>
      <c r="E56" s="13">
        <v>1.6E-2</v>
      </c>
      <c r="F56" s="20">
        <f t="shared" si="5"/>
        <v>4.5930256110142409</v>
      </c>
      <c r="G56" s="15">
        <f t="shared" si="1"/>
        <v>6.3945883843104259</v>
      </c>
      <c r="H56" s="16">
        <v>5.0000000000000001E-4</v>
      </c>
      <c r="I56" s="17">
        <f t="shared" si="6"/>
        <v>730.50255693151189</v>
      </c>
      <c r="J56" s="11">
        <f t="shared" si="2"/>
        <v>389.79165264213214</v>
      </c>
      <c r="K56" s="11">
        <f t="shared" si="7"/>
        <v>4.5930256110142409</v>
      </c>
      <c r="L56" s="18">
        <f t="shared" si="0"/>
        <v>55.684521806018878</v>
      </c>
      <c r="M56" s="19">
        <f t="shared" si="8"/>
        <v>0.95688033562796682</v>
      </c>
      <c r="N56" s="11">
        <f t="shared" si="3"/>
        <v>1377.9076833042723</v>
      </c>
    </row>
    <row r="57" spans="1:14" x14ac:dyDescent="0.35">
      <c r="A57" s="10">
        <v>52</v>
      </c>
      <c r="B57" s="11">
        <f t="shared" si="4"/>
        <v>540.22639502064453</v>
      </c>
      <c r="C57" s="21">
        <v>1.2430000000000001</v>
      </c>
      <c r="D57" s="12">
        <v>1</v>
      </c>
      <c r="E57" s="13">
        <v>1.6E-2</v>
      </c>
      <c r="F57" s="20">
        <f t="shared" si="5"/>
        <v>4.6477918608994742</v>
      </c>
      <c r="G57" s="15">
        <f t="shared" si="1"/>
        <v>6.4740731179274036</v>
      </c>
      <c r="H57" s="16">
        <v>5.0000000000000001E-4</v>
      </c>
      <c r="I57" s="17">
        <f t="shared" si="6"/>
        <v>730.13730565304616</v>
      </c>
      <c r="J57" s="11">
        <f t="shared" si="2"/>
        <v>394.43944450303161</v>
      </c>
      <c r="K57" s="11">
        <f t="shared" si="7"/>
        <v>4.6477918608994742</v>
      </c>
      <c r="L57" s="18">
        <f t="shared" si="0"/>
        <v>56.348492071861656</v>
      </c>
      <c r="M57" s="19">
        <f t="shared" si="8"/>
        <v>0.96828997102072378</v>
      </c>
      <c r="N57" s="11">
        <f t="shared" si="3"/>
        <v>1394.3375582698422</v>
      </c>
    </row>
    <row r="58" spans="1:14" x14ac:dyDescent="0.35">
      <c r="A58" s="10">
        <v>53</v>
      </c>
      <c r="B58" s="11">
        <f t="shared" si="4"/>
        <v>546.94140911075112</v>
      </c>
      <c r="C58" s="21">
        <v>1.2430000000000001</v>
      </c>
      <c r="D58" s="12">
        <v>1</v>
      </c>
      <c r="E58" s="13">
        <v>1.6E-2</v>
      </c>
      <c r="F58" s="20">
        <f t="shared" si="5"/>
        <v>4.7032111317735712</v>
      </c>
      <c r="G58" s="15">
        <f t="shared" si="1"/>
        <v>6.5545458467832427</v>
      </c>
      <c r="H58" s="16">
        <v>5.0000000000000001E-4</v>
      </c>
      <c r="I58" s="17">
        <f t="shared" si="6"/>
        <v>729.77223700021966</v>
      </c>
      <c r="J58" s="11">
        <f t="shared" si="2"/>
        <v>399.14265563480518</v>
      </c>
      <c r="K58" s="11">
        <f t="shared" si="7"/>
        <v>4.7032111317735712</v>
      </c>
      <c r="L58" s="18">
        <f t="shared" si="0"/>
        <v>57.02037937640074</v>
      </c>
      <c r="M58" s="19">
        <f t="shared" si="8"/>
        <v>0.97983565245282733</v>
      </c>
      <c r="N58" s="11">
        <f t="shared" si="3"/>
        <v>1410.9633395320714</v>
      </c>
    </row>
    <row r="59" spans="1:14" x14ac:dyDescent="0.35">
      <c r="A59" s="10">
        <v>54</v>
      </c>
      <c r="B59" s="11">
        <f t="shared" si="4"/>
        <v>553.73989082599769</v>
      </c>
      <c r="C59" s="21">
        <v>1.2430000000000001</v>
      </c>
      <c r="D59" s="12">
        <v>1</v>
      </c>
      <c r="E59" s="13">
        <v>1.6E-2</v>
      </c>
      <c r="F59" s="20">
        <f t="shared" si="5"/>
        <v>4.7592912101184197</v>
      </c>
      <c r="G59" s="15">
        <f t="shared" si="1"/>
        <v>6.6360188516587568</v>
      </c>
      <c r="H59" s="16">
        <v>5.0000000000000001E-4</v>
      </c>
      <c r="I59" s="17">
        <f t="shared" si="6"/>
        <v>729.40735088171959</v>
      </c>
      <c r="J59" s="11">
        <f t="shared" si="2"/>
        <v>403.9019468449236</v>
      </c>
      <c r="K59" s="11">
        <f t="shared" si="7"/>
        <v>4.7592912101184197</v>
      </c>
      <c r="L59" s="18">
        <f t="shared" si="0"/>
        <v>57.700278120703373</v>
      </c>
      <c r="M59" s="19">
        <f t="shared" si="8"/>
        <v>0.99151900210800414</v>
      </c>
      <c r="N59" s="11">
        <f t="shared" si="3"/>
        <v>1427.7873630355259</v>
      </c>
    </row>
    <row r="60" spans="1:14" x14ac:dyDescent="0.35">
      <c r="A60" s="10">
        <v>55</v>
      </c>
      <c r="B60" s="11">
        <f t="shared" si="4"/>
        <v>560.62287766896486</v>
      </c>
      <c r="C60" s="21">
        <v>1.2430000000000001</v>
      </c>
      <c r="D60" s="12">
        <v>1</v>
      </c>
      <c r="E60" s="13">
        <v>1.6E-2</v>
      </c>
      <c r="F60" s="20">
        <f t="shared" si="5"/>
        <v>4.8160399752603098</v>
      </c>
      <c r="G60" s="15">
        <f t="shared" si="1"/>
        <v>6.7185045659848752</v>
      </c>
      <c r="H60" s="16">
        <v>5.0000000000000001E-4</v>
      </c>
      <c r="I60" s="17">
        <f t="shared" si="6"/>
        <v>729.04264720627873</v>
      </c>
      <c r="J60" s="11">
        <f t="shared" si="2"/>
        <v>408.71798682018391</v>
      </c>
      <c r="K60" s="11">
        <f t="shared" si="7"/>
        <v>4.8160399752603098</v>
      </c>
      <c r="L60" s="18">
        <f t="shared" si="0"/>
        <v>58.388283831454842</v>
      </c>
      <c r="M60" s="19">
        <f t="shared" si="8"/>
        <v>1.0033416615125645</v>
      </c>
      <c r="N60" s="11">
        <f t="shared" si="3"/>
        <v>1444.8119925780929</v>
      </c>
    </row>
    <row r="61" spans="1:14" x14ac:dyDescent="0.35">
      <c r="A61" s="10">
        <v>56</v>
      </c>
      <c r="B61" s="11">
        <f t="shared" si="4"/>
        <v>567.59142003839008</v>
      </c>
      <c r="C61" s="21">
        <v>1.2430000000000001</v>
      </c>
      <c r="D61" s="12">
        <v>1</v>
      </c>
      <c r="E61" s="13">
        <v>1.6E-2</v>
      </c>
      <c r="F61" s="20">
        <f t="shared" si="5"/>
        <v>4.8734654004766753</v>
      </c>
      <c r="G61" s="15">
        <f t="shared" si="1"/>
        <v>6.8020155777400682</v>
      </c>
      <c r="H61" s="16">
        <v>5.0000000000000001E-4</v>
      </c>
      <c r="I61" s="17">
        <f t="shared" si="6"/>
        <v>728.67812588267554</v>
      </c>
      <c r="J61" s="11">
        <f t="shared" si="2"/>
        <v>413.59145222066059</v>
      </c>
      <c r="K61" s="11">
        <f t="shared" si="7"/>
        <v>4.8734654004766753</v>
      </c>
      <c r="L61" s="18">
        <f t="shared" si="0"/>
        <v>59.084493174380086</v>
      </c>
      <c r="M61" s="19">
        <f t="shared" si="8"/>
        <v>1.0153052917659739</v>
      </c>
      <c r="N61" s="11">
        <f t="shared" si="3"/>
        <v>1462.0396201430024</v>
      </c>
    </row>
    <row r="62" spans="1:14" x14ac:dyDescent="0.35">
      <c r="A62" s="10">
        <v>57</v>
      </c>
      <c r="B62" s="11">
        <f t="shared" si="4"/>
        <v>574.6465813894672</v>
      </c>
      <c r="C62" s="21">
        <v>1.2430000000000001</v>
      </c>
      <c r="D62" s="12">
        <v>1</v>
      </c>
      <c r="E62" s="13">
        <v>1.6E-2</v>
      </c>
      <c r="F62" s="20">
        <f t="shared" si="5"/>
        <v>4.9315755541168755</v>
      </c>
      <c r="G62" s="15">
        <f t="shared" si="1"/>
        <v>6.8865646313713746</v>
      </c>
      <c r="H62" s="16">
        <v>5.0000000000000001E-4</v>
      </c>
      <c r="I62" s="17">
        <f t="shared" si="6"/>
        <v>728.31378681973422</v>
      </c>
      <c r="J62" s="11">
        <f t="shared" si="2"/>
        <v>418.52302777477746</v>
      </c>
      <c r="K62" s="11">
        <f t="shared" si="7"/>
        <v>4.9315755541168755</v>
      </c>
      <c r="L62" s="18">
        <f t="shared" si="0"/>
        <v>59.789003967825352</v>
      </c>
      <c r="M62" s="19">
        <f t="shared" si="8"/>
        <v>1.027411573774349</v>
      </c>
      <c r="N62" s="11">
        <f t="shared" si="3"/>
        <v>1479.4726662350624</v>
      </c>
    </row>
    <row r="63" spans="1:14" x14ac:dyDescent="0.35">
      <c r="A63" s="10">
        <v>58</v>
      </c>
      <c r="B63" s="11">
        <f t="shared" si="4"/>
        <v>581.78943839613828</v>
      </c>
      <c r="C63" s="21">
        <v>1.2430000000000001</v>
      </c>
      <c r="D63" s="12">
        <v>1</v>
      </c>
      <c r="E63" s="13">
        <v>1.6E-2</v>
      </c>
      <c r="F63" s="20">
        <f t="shared" si="5"/>
        <v>4.9903786007354825</v>
      </c>
      <c r="G63" s="15">
        <f t="shared" si="1"/>
        <v>6.9721646297393205</v>
      </c>
      <c r="H63" s="16">
        <v>5.0000000000000001E-4</v>
      </c>
      <c r="I63" s="17">
        <f t="shared" si="6"/>
        <v>727.94962992632441</v>
      </c>
      <c r="J63" s="11">
        <f t="shared" si="2"/>
        <v>423.51340637551294</v>
      </c>
      <c r="K63" s="11">
        <f t="shared" si="7"/>
        <v>4.9903786007354825</v>
      </c>
      <c r="L63" s="18">
        <f t="shared" si="0"/>
        <v>60.501915196501848</v>
      </c>
      <c r="M63" s="19">
        <f t="shared" si="8"/>
        <v>1.0396622084865588</v>
      </c>
      <c r="N63" s="11">
        <f t="shared" si="3"/>
        <v>1497.1135802206445</v>
      </c>
    </row>
    <row r="64" spans="1:14" x14ac:dyDescent="0.35">
      <c r="A64" s="10">
        <v>59</v>
      </c>
      <c r="B64" s="11">
        <f t="shared" si="4"/>
        <v>589.02108111540224</v>
      </c>
      <c r="C64" s="21">
        <v>1.2430000000000001</v>
      </c>
      <c r="D64" s="12">
        <v>1</v>
      </c>
      <c r="E64" s="13">
        <v>1.6E-2</v>
      </c>
      <c r="F64" s="20">
        <f t="shared" si="5"/>
        <v>5.0498828022392104</v>
      </c>
      <c r="G64" s="15">
        <f t="shared" si="1"/>
        <v>7.0588286360869814</v>
      </c>
      <c r="H64" s="16">
        <v>5.0000000000000001E-4</v>
      </c>
      <c r="I64" s="17">
        <f t="shared" si="6"/>
        <v>727.58565511136123</v>
      </c>
      <c r="J64" s="11">
        <f t="shared" si="2"/>
        <v>428.56328917775215</v>
      </c>
      <c r="K64" s="11">
        <f t="shared" si="7"/>
        <v>5.0498828022392104</v>
      </c>
      <c r="L64" s="18">
        <f t="shared" si="0"/>
        <v>61.223327025393168</v>
      </c>
      <c r="M64" s="19">
        <f t="shared" si="8"/>
        <v>1.0520589171331689</v>
      </c>
      <c r="N64" s="11">
        <f t="shared" si="3"/>
        <v>1514.9648406717633</v>
      </c>
    </row>
    <row r="65" spans="1:14" x14ac:dyDescent="0.35">
      <c r="A65" s="10">
        <v>60</v>
      </c>
      <c r="B65" s="11">
        <f t="shared" si="4"/>
        <v>596.34261315366666</v>
      </c>
      <c r="C65" s="21">
        <v>1.2430000000000001</v>
      </c>
      <c r="D65" s="12">
        <v>1</v>
      </c>
      <c r="E65" s="13">
        <v>1.6E-2</v>
      </c>
      <c r="F65" s="20">
        <f t="shared" si="5"/>
        <v>5.1100965190483407</v>
      </c>
      <c r="G65" s="15">
        <f t="shared" si="1"/>
        <v>7.1465698760335412</v>
      </c>
      <c r="H65" s="16">
        <v>5.0000000000000001E-4</v>
      </c>
      <c r="I65" s="17">
        <f t="shared" si="6"/>
        <v>727.22186228380554</v>
      </c>
      <c r="J65" s="11">
        <f t="shared" si="2"/>
        <v>433.67338569680049</v>
      </c>
      <c r="K65" s="11">
        <f t="shared" si="7"/>
        <v>5.1100965190483407</v>
      </c>
      <c r="L65" s="18">
        <f t="shared" si="0"/>
        <v>61.953340813828639</v>
      </c>
      <c r="M65" s="19">
        <f t="shared" si="8"/>
        <v>1.0646034414684042</v>
      </c>
      <c r="N65" s="11">
        <f t="shared" si="3"/>
        <v>1533.028955714502</v>
      </c>
    </row>
    <row r="66" spans="1:14" x14ac:dyDescent="0.35">
      <c r="A66" s="10">
        <v>61</v>
      </c>
      <c r="B66" s="11">
        <f t="shared" si="4"/>
        <v>603.75515183516666</v>
      </c>
      <c r="C66" s="21">
        <v>1.2430000000000001</v>
      </c>
      <c r="D66" s="12">
        <v>1</v>
      </c>
      <c r="E66" s="13">
        <v>1.6E-2</v>
      </c>
      <c r="F66" s="20">
        <f t="shared" si="5"/>
        <v>5.1710282112707091</v>
      </c>
      <c r="G66" s="15">
        <f t="shared" si="1"/>
        <v>7.2354017395926373</v>
      </c>
      <c r="H66" s="16">
        <v>5.0000000000000001E-4</v>
      </c>
      <c r="I66" s="17">
        <f t="shared" si="6"/>
        <v>726.85825135266361</v>
      </c>
      <c r="J66" s="11">
        <f t="shared" si="2"/>
        <v>438.8444139080712</v>
      </c>
      <c r="K66" s="11">
        <f t="shared" si="7"/>
        <v>5.1710282112707091</v>
      </c>
      <c r="L66" s="18">
        <f t="shared" si="0"/>
        <v>62.692059129724456</v>
      </c>
      <c r="M66" s="19">
        <f t="shared" si="8"/>
        <v>1.077297544014731</v>
      </c>
      <c r="N66" s="11">
        <f t="shared" si="3"/>
        <v>1551.3084633812127</v>
      </c>
    </row>
    <row r="67" spans="1:14" x14ac:dyDescent="0.35">
      <c r="A67" s="10">
        <v>62</v>
      </c>
      <c r="B67" s="11">
        <f t="shared" si="4"/>
        <v>611.25982837247773</v>
      </c>
      <c r="C67" s="21">
        <v>1.2430000000000001</v>
      </c>
      <c r="D67" s="12">
        <v>1</v>
      </c>
      <c r="E67" s="13">
        <v>1.52E-2</v>
      </c>
      <c r="F67" s="20">
        <f t="shared" si="5"/>
        <v>5.232686439890756</v>
      </c>
      <c r="G67" s="15">
        <f t="shared" si="1"/>
        <v>6.9590708940549852</v>
      </c>
      <c r="H67" s="16">
        <v>5.0000000000000001E-4</v>
      </c>
      <c r="I67" s="17">
        <f t="shared" si="6"/>
        <v>726.49482222698725</v>
      </c>
      <c r="J67" s="11">
        <f t="shared" si="2"/>
        <v>444.07710034796196</v>
      </c>
      <c r="K67" s="11">
        <f t="shared" si="7"/>
        <v>5.232686439890756</v>
      </c>
      <c r="L67" s="18">
        <f t="shared" si="0"/>
        <v>63.439585763994565</v>
      </c>
      <c r="M67" s="19">
        <f t="shared" si="8"/>
        <v>1.0901430083105741</v>
      </c>
      <c r="N67" s="11">
        <f t="shared" si="3"/>
        <v>1569.8059319672268</v>
      </c>
    </row>
    <row r="68" spans="1:14" x14ac:dyDescent="0.35">
      <c r="A68" s="10">
        <v>63</v>
      </c>
      <c r="B68" s="11">
        <f t="shared" si="4"/>
        <v>618.85778803914764</v>
      </c>
      <c r="C68" s="21">
        <v>1.2430000000000001</v>
      </c>
      <c r="D68" s="12">
        <v>1</v>
      </c>
      <c r="E68" s="13">
        <v>1.52E-2</v>
      </c>
      <c r="F68" s="20">
        <f t="shared" si="5"/>
        <v>5.295079867972504</v>
      </c>
      <c r="G68" s="15">
        <f t="shared" si="1"/>
        <v>7.0455721452680882</v>
      </c>
      <c r="H68" s="16">
        <v>5.0000000000000001E-4</v>
      </c>
      <c r="I68" s="17">
        <f t="shared" si="6"/>
        <v>726.13157481587371</v>
      </c>
      <c r="J68" s="11">
        <f t="shared" si="2"/>
        <v>449.37218021593446</v>
      </c>
      <c r="K68" s="11">
        <f t="shared" si="7"/>
        <v>5.295079867972504</v>
      </c>
      <c r="L68" s="18">
        <f t="shared" si="0"/>
        <v>64.196025745133497</v>
      </c>
      <c r="M68" s="19">
        <f t="shared" si="8"/>
        <v>1.1031416391609383</v>
      </c>
      <c r="N68" s="11">
        <f t="shared" si="3"/>
        <v>1588.5239603917512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789C-4E33-4CAB-B808-46DEFCE2D990}">
  <dimension ref="A1:N68"/>
  <sheetViews>
    <sheetView zoomScale="70" zoomScaleNormal="70" workbookViewId="0">
      <selection activeCell="N1" sqref="N1:N1048576"/>
    </sheetView>
  </sheetViews>
  <sheetFormatPr baseColWidth="10" defaultRowHeight="14.5" x14ac:dyDescent="0.35"/>
  <cols>
    <col min="11" max="11" width="13.90625" customWidth="1"/>
    <col min="13" max="14" width="0" hidden="1" customWidth="1"/>
  </cols>
  <sheetData>
    <row r="1" spans="1:14" x14ac:dyDescent="0.35">
      <c r="A1" s="2" t="s">
        <v>212</v>
      </c>
      <c r="B1" s="2"/>
      <c r="C1" s="2"/>
      <c r="D1" s="2"/>
    </row>
    <row r="3" spans="1:14" x14ac:dyDescent="0.35">
      <c r="A3" s="22" t="s">
        <v>19</v>
      </c>
      <c r="B3" s="23">
        <v>749</v>
      </c>
      <c r="C3" s="23"/>
      <c r="D3" s="23"/>
      <c r="E3" s="22" t="s">
        <v>20</v>
      </c>
      <c r="F3" s="22"/>
      <c r="G3" s="24">
        <v>7</v>
      </c>
      <c r="H3" s="24"/>
      <c r="I3" s="25" t="s">
        <v>35</v>
      </c>
      <c r="J3" s="22"/>
      <c r="K3" s="26">
        <v>300</v>
      </c>
    </row>
    <row r="4" spans="1:14" ht="15" thickBot="1" x14ac:dyDescent="0.4"/>
    <row r="5" spans="1:14" ht="29" x14ac:dyDescent="0.35">
      <c r="A5" s="27" t="s">
        <v>21</v>
      </c>
      <c r="B5" s="28" t="s">
        <v>36</v>
      </c>
      <c r="C5" s="28" t="s">
        <v>23</v>
      </c>
      <c r="D5" s="28" t="s">
        <v>24</v>
      </c>
      <c r="E5" s="29" t="s">
        <v>25</v>
      </c>
      <c r="F5" s="28" t="s">
        <v>37</v>
      </c>
      <c r="G5" s="29" t="s">
        <v>38</v>
      </c>
      <c r="H5" s="28" t="s">
        <v>28</v>
      </c>
      <c r="I5" s="28" t="s">
        <v>29</v>
      </c>
      <c r="J5" s="28" t="s">
        <v>30</v>
      </c>
      <c r="K5" s="28" t="s">
        <v>39</v>
      </c>
      <c r="L5" s="28" t="s">
        <v>32</v>
      </c>
      <c r="M5" s="30" t="s">
        <v>33</v>
      </c>
      <c r="N5" s="31" t="s">
        <v>40</v>
      </c>
    </row>
    <row r="6" spans="1:14" x14ac:dyDescent="0.35">
      <c r="A6" s="10">
        <v>1</v>
      </c>
      <c r="B6" s="11">
        <v>264</v>
      </c>
      <c r="C6" s="32">
        <v>1.843</v>
      </c>
      <c r="D6" s="18">
        <v>1.2</v>
      </c>
      <c r="E6" s="33">
        <v>2.06E-2</v>
      </c>
      <c r="F6" s="16"/>
      <c r="G6" s="34">
        <f t="shared" ref="G6:G68" si="0">B6*E6*B$3/1000</f>
        <v>4.0733616000000001</v>
      </c>
      <c r="H6" s="16">
        <v>5.0000000000000001E-4</v>
      </c>
      <c r="I6" s="17">
        <v>749</v>
      </c>
      <c r="J6" s="11">
        <f t="shared" ref="J6:J68" si="1">B6*I6/1000</f>
        <v>197.73599999999999</v>
      </c>
      <c r="K6" s="11"/>
      <c r="L6" s="18">
        <f t="shared" ref="L6:L68" si="2">J6/G$3</f>
        <v>28.247999999999998</v>
      </c>
      <c r="M6" s="19">
        <f>PRODUCT(G6*$K$3/(24*60))</f>
        <v>0.84861699999999995</v>
      </c>
      <c r="N6" s="11">
        <f>M6*60*24</f>
        <v>1222.00848</v>
      </c>
    </row>
    <row r="7" spans="1:14" x14ac:dyDescent="0.35">
      <c r="A7" s="10">
        <v>2</v>
      </c>
      <c r="B7" s="11">
        <f>B6*(1+(C6/100))</f>
        <v>268.86552</v>
      </c>
      <c r="C7" s="32">
        <v>1.843</v>
      </c>
      <c r="D7" s="18">
        <v>1</v>
      </c>
      <c r="E7" s="33">
        <v>2.06E-2</v>
      </c>
      <c r="F7" s="17">
        <f t="shared" ref="F7:F68" si="3">K7*D7</f>
        <v>3.5435843427600275</v>
      </c>
      <c r="G7" s="34">
        <f t="shared" si="0"/>
        <v>4.1484336542880005</v>
      </c>
      <c r="H7" s="16">
        <v>5.0000000000000001E-4</v>
      </c>
      <c r="I7" s="17">
        <f>I6-(I6*H6)</f>
        <v>748.62549999999999</v>
      </c>
      <c r="J7" s="11">
        <f t="shared" si="1"/>
        <v>201.27958434276002</v>
      </c>
      <c r="K7" s="11">
        <f>J7-J6</f>
        <v>3.5435843427600275</v>
      </c>
      <c r="L7" s="18">
        <f t="shared" si="2"/>
        <v>28.754226334680002</v>
      </c>
      <c r="M7" s="19">
        <f t="shared" ref="M7:M68" si="4">PRODUCT(G7*$K$3/(24*60))</f>
        <v>0.8642570113100001</v>
      </c>
      <c r="N7" s="11">
        <f t="shared" ref="N7:N68" si="5">M7*60*24</f>
        <v>1244.5300962864001</v>
      </c>
    </row>
    <row r="8" spans="1:14" x14ac:dyDescent="0.35">
      <c r="A8" s="10">
        <v>3</v>
      </c>
      <c r="B8" s="11">
        <f t="shared" ref="B8:B68" si="6">B7*(1+(C7/100))</f>
        <v>273.82071153359999</v>
      </c>
      <c r="C8" s="32">
        <v>1.843</v>
      </c>
      <c r="D8" s="18">
        <v>1</v>
      </c>
      <c r="E8" s="33">
        <v>2.06E-2</v>
      </c>
      <c r="F8" s="17">
        <f t="shared" si="3"/>
        <v>3.6070881558959513</v>
      </c>
      <c r="G8" s="34">
        <f t="shared" si="0"/>
        <v>4.224889286536528</v>
      </c>
      <c r="H8" s="16">
        <v>5.0000000000000001E-4</v>
      </c>
      <c r="I8" s="17">
        <f t="shared" ref="I8:I68" si="7">I7-(I7*H7)</f>
        <v>748.25118725000004</v>
      </c>
      <c r="J8" s="11">
        <f t="shared" si="1"/>
        <v>204.88667249865597</v>
      </c>
      <c r="K8" s="11">
        <f t="shared" ref="K8:K68" si="8">J8-J7</f>
        <v>3.6070881558959513</v>
      </c>
      <c r="L8" s="18">
        <f t="shared" si="2"/>
        <v>29.269524642665139</v>
      </c>
      <c r="M8" s="19">
        <f t="shared" si="4"/>
        <v>0.88018526802844321</v>
      </c>
      <c r="N8" s="11">
        <f t="shared" si="5"/>
        <v>1267.4667859609583</v>
      </c>
    </row>
    <row r="9" spans="1:14" x14ac:dyDescent="0.35">
      <c r="A9" s="10">
        <v>4</v>
      </c>
      <c r="B9" s="11">
        <f t="shared" si="6"/>
        <v>278.86722724716424</v>
      </c>
      <c r="C9" s="32">
        <v>1.843</v>
      </c>
      <c r="D9" s="18">
        <v>1</v>
      </c>
      <c r="E9" s="33">
        <v>2.06E-2</v>
      </c>
      <c r="F9" s="17">
        <f t="shared" si="3"/>
        <v>3.6717300072138244</v>
      </c>
      <c r="G9" s="34">
        <f t="shared" si="0"/>
        <v>4.3027539960873957</v>
      </c>
      <c r="H9" s="16">
        <v>5.0000000000000001E-4</v>
      </c>
      <c r="I9" s="17">
        <f t="shared" si="7"/>
        <v>747.87706165637508</v>
      </c>
      <c r="J9" s="11">
        <f t="shared" si="1"/>
        <v>208.55840250586979</v>
      </c>
      <c r="K9" s="11">
        <f t="shared" si="8"/>
        <v>3.6717300072138244</v>
      </c>
      <c r="L9" s="18">
        <f t="shared" si="2"/>
        <v>29.794057500838541</v>
      </c>
      <c r="M9" s="19">
        <f t="shared" si="4"/>
        <v>0.89640708251820733</v>
      </c>
      <c r="N9" s="11">
        <f t="shared" si="5"/>
        <v>1290.8261988262186</v>
      </c>
    </row>
    <row r="10" spans="1:14" x14ac:dyDescent="0.35">
      <c r="A10" s="10">
        <v>5</v>
      </c>
      <c r="B10" s="11">
        <f t="shared" si="6"/>
        <v>284.00675024532944</v>
      </c>
      <c r="C10" s="32">
        <v>1.843</v>
      </c>
      <c r="D10" s="18">
        <v>1</v>
      </c>
      <c r="E10" s="33">
        <v>2.06E-2</v>
      </c>
      <c r="F10" s="17">
        <f t="shared" si="3"/>
        <v>3.7375302912511188</v>
      </c>
      <c r="G10" s="34">
        <f t="shared" si="0"/>
        <v>4.3820537522352865</v>
      </c>
      <c r="H10" s="16">
        <v>5.0000000000000001E-4</v>
      </c>
      <c r="I10" s="17">
        <f t="shared" si="7"/>
        <v>747.50312312554684</v>
      </c>
      <c r="J10" s="11">
        <f t="shared" si="1"/>
        <v>212.29593279712091</v>
      </c>
      <c r="K10" s="11">
        <f t="shared" si="8"/>
        <v>3.7375302912511188</v>
      </c>
      <c r="L10" s="18">
        <f t="shared" si="2"/>
        <v>30.327990399588703</v>
      </c>
      <c r="M10" s="19">
        <f t="shared" si="4"/>
        <v>0.91292786504901802</v>
      </c>
      <c r="N10" s="11">
        <f t="shared" si="5"/>
        <v>1314.6161256705859</v>
      </c>
    </row>
    <row r="11" spans="1:14" x14ac:dyDescent="0.35">
      <c r="A11" s="10">
        <v>6</v>
      </c>
      <c r="B11" s="11">
        <f t="shared" si="6"/>
        <v>289.24099465235082</v>
      </c>
      <c r="C11" s="32">
        <v>1.843</v>
      </c>
      <c r="D11" s="18">
        <v>1</v>
      </c>
      <c r="E11" s="33">
        <v>2.06E-2</v>
      </c>
      <c r="F11" s="17">
        <f t="shared" si="3"/>
        <v>3.804509768031636</v>
      </c>
      <c r="G11" s="34">
        <f t="shared" si="0"/>
        <v>4.4628150028889824</v>
      </c>
      <c r="H11" s="16">
        <v>5.0000000000000001E-4</v>
      </c>
      <c r="I11" s="17">
        <f t="shared" si="7"/>
        <v>747.12937156398402</v>
      </c>
      <c r="J11" s="11">
        <f t="shared" si="1"/>
        <v>216.10044256515255</v>
      </c>
      <c r="K11" s="11">
        <f t="shared" si="8"/>
        <v>3.804509768031636</v>
      </c>
      <c r="L11" s="18">
        <f t="shared" si="2"/>
        <v>30.871491795021793</v>
      </c>
      <c r="M11" s="19">
        <f t="shared" si="4"/>
        <v>0.92975312560187129</v>
      </c>
      <c r="N11" s="11">
        <f t="shared" si="5"/>
        <v>1338.8445008666945</v>
      </c>
    </row>
    <row r="12" spans="1:14" x14ac:dyDescent="0.35">
      <c r="A12" s="10">
        <v>7</v>
      </c>
      <c r="B12" s="11">
        <f t="shared" si="6"/>
        <v>294.57170618379365</v>
      </c>
      <c r="C12" s="32">
        <v>1.843</v>
      </c>
      <c r="D12" s="18">
        <v>1</v>
      </c>
      <c r="E12" s="33">
        <v>2.06E-2</v>
      </c>
      <c r="F12" s="17">
        <f t="shared" si="3"/>
        <v>3.8726895696149199</v>
      </c>
      <c r="G12" s="34">
        <f t="shared" si="0"/>
        <v>4.5450646833922255</v>
      </c>
      <c r="H12" s="16">
        <v>5.0000000000000001E-4</v>
      </c>
      <c r="I12" s="17">
        <f t="shared" si="7"/>
        <v>746.75580687820207</v>
      </c>
      <c r="J12" s="11">
        <f t="shared" si="1"/>
        <v>219.97313213476747</v>
      </c>
      <c r="K12" s="11">
        <f t="shared" si="8"/>
        <v>3.8726895696149199</v>
      </c>
      <c r="L12" s="18">
        <f t="shared" si="2"/>
        <v>31.424733162109639</v>
      </c>
      <c r="M12" s="19">
        <f t="shared" si="4"/>
        <v>0.94688847570671364</v>
      </c>
      <c r="N12" s="11">
        <f t="shared" si="5"/>
        <v>1363.5194050176676</v>
      </c>
    </row>
    <row r="13" spans="1:14" x14ac:dyDescent="0.35">
      <c r="A13" s="10">
        <v>8</v>
      </c>
      <c r="B13" s="11">
        <f t="shared" si="6"/>
        <v>300.00066272876097</v>
      </c>
      <c r="C13" s="32">
        <v>1.673</v>
      </c>
      <c r="D13" s="18">
        <v>1</v>
      </c>
      <c r="E13" s="33">
        <v>2.06E-2</v>
      </c>
      <c r="F13" s="17">
        <f t="shared" si="3"/>
        <v>3.9420912067637914</v>
      </c>
      <c r="G13" s="34">
        <f t="shared" si="0"/>
        <v>4.6288302255071443</v>
      </c>
      <c r="H13" s="16">
        <v>5.0000000000000001E-4</v>
      </c>
      <c r="I13" s="17">
        <f t="shared" si="7"/>
        <v>746.382428974763</v>
      </c>
      <c r="J13" s="11">
        <f t="shared" si="1"/>
        <v>223.91522334153126</v>
      </c>
      <c r="K13" s="11">
        <f t="shared" si="8"/>
        <v>3.9420912067637914</v>
      </c>
      <c r="L13" s="18">
        <f t="shared" si="2"/>
        <v>31.98788904879018</v>
      </c>
      <c r="M13" s="19">
        <f t="shared" si="4"/>
        <v>0.96433963031398839</v>
      </c>
      <c r="N13" s="11">
        <f t="shared" si="5"/>
        <v>1388.6490676521432</v>
      </c>
    </row>
    <row r="14" spans="1:14" x14ac:dyDescent="0.35">
      <c r="A14" s="10">
        <v>9</v>
      </c>
      <c r="B14" s="11">
        <f t="shared" si="6"/>
        <v>305.01967381621313</v>
      </c>
      <c r="C14" s="32">
        <v>1.673</v>
      </c>
      <c r="D14" s="18">
        <v>1</v>
      </c>
      <c r="E14" s="33">
        <v>2.06E-2</v>
      </c>
      <c r="F14" s="17">
        <f t="shared" si="3"/>
        <v>3.6322710239897731</v>
      </c>
      <c r="G14" s="34">
        <f t="shared" si="0"/>
        <v>4.7062705551798789</v>
      </c>
      <c r="H14" s="16">
        <v>5.0000000000000001E-4</v>
      </c>
      <c r="I14" s="17">
        <f t="shared" si="7"/>
        <v>746.0092377602756</v>
      </c>
      <c r="J14" s="11">
        <f t="shared" si="1"/>
        <v>227.54749436552103</v>
      </c>
      <c r="K14" s="11">
        <f t="shared" si="8"/>
        <v>3.6322710239897731</v>
      </c>
      <c r="L14" s="18">
        <f t="shared" si="2"/>
        <v>32.50678490936015</v>
      </c>
      <c r="M14" s="19">
        <f t="shared" si="4"/>
        <v>0.9804730323291414</v>
      </c>
      <c r="N14" s="11">
        <f t="shared" si="5"/>
        <v>1411.8811665539636</v>
      </c>
    </row>
    <row r="15" spans="1:14" x14ac:dyDescent="0.35">
      <c r="A15" s="10">
        <v>10</v>
      </c>
      <c r="B15" s="11">
        <f t="shared" si="6"/>
        <v>310.12265295915836</v>
      </c>
      <c r="C15" s="32">
        <v>1.673</v>
      </c>
      <c r="D15" s="18">
        <v>1</v>
      </c>
      <c r="E15" s="33">
        <v>1.9E-2</v>
      </c>
      <c r="F15" s="17">
        <f t="shared" si="3"/>
        <v>3.6911923987620412</v>
      </c>
      <c r="G15" s="34">
        <f t="shared" si="0"/>
        <v>4.4133554742617829</v>
      </c>
      <c r="H15" s="16">
        <v>5.0000000000000001E-4</v>
      </c>
      <c r="I15" s="17">
        <f t="shared" si="7"/>
        <v>745.63623314139545</v>
      </c>
      <c r="J15" s="11">
        <f t="shared" si="1"/>
        <v>231.23868676428307</v>
      </c>
      <c r="K15" s="11">
        <f t="shared" si="8"/>
        <v>3.6911923987620412</v>
      </c>
      <c r="L15" s="18">
        <f t="shared" si="2"/>
        <v>33.034098109183297</v>
      </c>
      <c r="M15" s="19">
        <f t="shared" si="4"/>
        <v>0.9194490571378714</v>
      </c>
      <c r="N15" s="11">
        <f t="shared" si="5"/>
        <v>1324.0066422785349</v>
      </c>
    </row>
    <row r="16" spans="1:14" x14ac:dyDescent="0.35">
      <c r="A16" s="10">
        <v>11</v>
      </c>
      <c r="B16" s="11">
        <f t="shared" si="6"/>
        <v>315.31100494316507</v>
      </c>
      <c r="C16" s="32">
        <v>1.673</v>
      </c>
      <c r="D16" s="18">
        <v>1</v>
      </c>
      <c r="E16" s="33">
        <v>1.9E-2</v>
      </c>
      <c r="F16" s="17">
        <f t="shared" si="3"/>
        <v>3.7510695745695273</v>
      </c>
      <c r="G16" s="34">
        <f t="shared" si="0"/>
        <v>4.4871909113461816</v>
      </c>
      <c r="H16" s="16">
        <v>5.0000000000000001E-4</v>
      </c>
      <c r="I16" s="17">
        <f t="shared" si="7"/>
        <v>745.26341502482478</v>
      </c>
      <c r="J16" s="11">
        <f t="shared" si="1"/>
        <v>234.9897563388526</v>
      </c>
      <c r="K16" s="11">
        <f t="shared" si="8"/>
        <v>3.7510695745695273</v>
      </c>
      <c r="L16" s="18">
        <f t="shared" si="2"/>
        <v>33.569965191264657</v>
      </c>
      <c r="M16" s="19">
        <f t="shared" si="4"/>
        <v>0.93483143986378792</v>
      </c>
      <c r="N16" s="11">
        <f t="shared" si="5"/>
        <v>1346.1572734038546</v>
      </c>
    </row>
    <row r="17" spans="1:14" x14ac:dyDescent="0.35">
      <c r="A17" s="10">
        <v>12</v>
      </c>
      <c r="B17" s="11">
        <f t="shared" si="6"/>
        <v>320.58615805586419</v>
      </c>
      <c r="C17" s="32">
        <v>1.673</v>
      </c>
      <c r="D17" s="18">
        <v>1</v>
      </c>
      <c r="E17" s="33">
        <v>1.9E-2</v>
      </c>
      <c r="F17" s="17">
        <f t="shared" si="3"/>
        <v>3.8119180560678103</v>
      </c>
      <c r="G17" s="34">
        <f t="shared" si="0"/>
        <v>4.5622616152930036</v>
      </c>
      <c r="H17" s="16">
        <v>5.0000000000000001E-4</v>
      </c>
      <c r="I17" s="17">
        <f t="shared" si="7"/>
        <v>744.89078331731241</v>
      </c>
      <c r="J17" s="11">
        <f t="shared" si="1"/>
        <v>238.80167439492041</v>
      </c>
      <c r="K17" s="11">
        <f t="shared" si="8"/>
        <v>3.8119180560678103</v>
      </c>
      <c r="L17" s="18">
        <f t="shared" si="2"/>
        <v>34.114524913560061</v>
      </c>
      <c r="M17" s="19">
        <f t="shared" si="4"/>
        <v>0.95047116985270907</v>
      </c>
      <c r="N17" s="11">
        <f t="shared" si="5"/>
        <v>1368.678484587901</v>
      </c>
    </row>
    <row r="18" spans="1:14" x14ac:dyDescent="0.35">
      <c r="A18" s="10">
        <v>13</v>
      </c>
      <c r="B18" s="11">
        <f t="shared" si="6"/>
        <v>325.94956448013875</v>
      </c>
      <c r="C18" s="32">
        <v>1.673</v>
      </c>
      <c r="D18" s="18">
        <v>1</v>
      </c>
      <c r="E18" s="33">
        <v>1.9E-2</v>
      </c>
      <c r="F18" s="17">
        <f t="shared" si="3"/>
        <v>3.8737535994232246</v>
      </c>
      <c r="G18" s="34">
        <f t="shared" si="0"/>
        <v>4.638588252116854</v>
      </c>
      <c r="H18" s="16">
        <v>5.0000000000000001E-4</v>
      </c>
      <c r="I18" s="17">
        <f t="shared" si="7"/>
        <v>744.51833792565378</v>
      </c>
      <c r="J18" s="11">
        <f t="shared" si="1"/>
        <v>242.67542799434364</v>
      </c>
      <c r="K18" s="11">
        <f t="shared" si="8"/>
        <v>3.8737535994232246</v>
      </c>
      <c r="L18" s="18">
        <f t="shared" si="2"/>
        <v>34.667918284906236</v>
      </c>
      <c r="M18" s="19">
        <f t="shared" si="4"/>
        <v>0.96637255252434451</v>
      </c>
      <c r="N18" s="11">
        <f t="shared" si="5"/>
        <v>1391.5764756350561</v>
      </c>
    </row>
    <row r="19" spans="1:14" x14ac:dyDescent="0.35">
      <c r="A19" s="10">
        <v>14</v>
      </c>
      <c r="B19" s="11">
        <f t="shared" si="6"/>
        <v>331.40270069389146</v>
      </c>
      <c r="C19" s="32">
        <v>1.673</v>
      </c>
      <c r="D19" s="18">
        <v>1</v>
      </c>
      <c r="E19" s="33">
        <v>1.9E-2</v>
      </c>
      <c r="F19" s="17">
        <f t="shared" si="3"/>
        <v>3.9365922163929952</v>
      </c>
      <c r="G19" s="34">
        <f t="shared" si="0"/>
        <v>4.7161918335747686</v>
      </c>
      <c r="H19" s="16">
        <v>5.0000000000000001E-4</v>
      </c>
      <c r="I19" s="17">
        <f t="shared" si="7"/>
        <v>744.14607875669094</v>
      </c>
      <c r="J19" s="11">
        <f t="shared" si="1"/>
        <v>246.61202021073663</v>
      </c>
      <c r="K19" s="11">
        <f t="shared" si="8"/>
        <v>3.9365922163929952</v>
      </c>
      <c r="L19" s="18">
        <f t="shared" si="2"/>
        <v>35.230288601533807</v>
      </c>
      <c r="M19" s="19">
        <f t="shared" si="4"/>
        <v>0.98253996532807675</v>
      </c>
      <c r="N19" s="11">
        <f t="shared" si="5"/>
        <v>1414.8575500724305</v>
      </c>
    </row>
    <row r="20" spans="1:14" x14ac:dyDescent="0.35">
      <c r="A20" s="10">
        <v>15</v>
      </c>
      <c r="B20" s="11">
        <f t="shared" si="6"/>
        <v>336.94706787650023</v>
      </c>
      <c r="C20" s="32">
        <v>1.673</v>
      </c>
      <c r="D20" s="18">
        <v>1</v>
      </c>
      <c r="E20" s="33">
        <v>1.9E-2</v>
      </c>
      <c r="F20" s="17">
        <f t="shared" si="3"/>
        <v>4.0004501784711408</v>
      </c>
      <c r="G20" s="34">
        <f t="shared" si="0"/>
        <v>4.7950937229504742</v>
      </c>
      <c r="H20" s="16">
        <v>5.0000000000000001E-4</v>
      </c>
      <c r="I20" s="17">
        <f t="shared" si="7"/>
        <v>743.77400571731255</v>
      </c>
      <c r="J20" s="11">
        <f t="shared" si="1"/>
        <v>250.61247038920777</v>
      </c>
      <c r="K20" s="11">
        <f t="shared" si="8"/>
        <v>4.0004501784711408</v>
      </c>
      <c r="L20" s="18">
        <f t="shared" si="2"/>
        <v>35.801781484172537</v>
      </c>
      <c r="M20" s="19">
        <f t="shared" si="4"/>
        <v>0.9989778589480155</v>
      </c>
      <c r="N20" s="11">
        <f t="shared" si="5"/>
        <v>1438.5281168851425</v>
      </c>
    </row>
    <row r="21" spans="1:14" x14ac:dyDescent="0.35">
      <c r="A21" s="10">
        <v>16</v>
      </c>
      <c r="B21" s="11">
        <f t="shared" si="6"/>
        <v>342.58419232207405</v>
      </c>
      <c r="C21" s="32">
        <v>1.673</v>
      </c>
      <c r="D21" s="18">
        <v>1</v>
      </c>
      <c r="E21" s="33">
        <v>1.9E-2</v>
      </c>
      <c r="F21" s="17">
        <f t="shared" si="3"/>
        <v>4.0653440211020211</v>
      </c>
      <c r="G21" s="34">
        <f t="shared" si="0"/>
        <v>4.875315640935435</v>
      </c>
      <c r="H21" s="16">
        <v>5.0000000000000001E-4</v>
      </c>
      <c r="I21" s="17">
        <f t="shared" si="7"/>
        <v>743.40211871445388</v>
      </c>
      <c r="J21" s="11">
        <f t="shared" si="1"/>
        <v>254.67781441030979</v>
      </c>
      <c r="K21" s="11">
        <f t="shared" si="8"/>
        <v>4.0653440211020211</v>
      </c>
      <c r="L21" s="18">
        <f t="shared" si="2"/>
        <v>36.382544915758544</v>
      </c>
      <c r="M21" s="19">
        <f t="shared" si="4"/>
        <v>1.0156907585282156</v>
      </c>
      <c r="N21" s="11">
        <f t="shared" si="5"/>
        <v>1462.5946922806304</v>
      </c>
    </row>
    <row r="22" spans="1:14" x14ac:dyDescent="0.35">
      <c r="A22" s="10">
        <v>17</v>
      </c>
      <c r="B22" s="11">
        <f t="shared" si="6"/>
        <v>348.31562585962229</v>
      </c>
      <c r="C22" s="32">
        <v>1.673</v>
      </c>
      <c r="D22" s="18">
        <v>1</v>
      </c>
      <c r="E22" s="33">
        <v>1.9E-2</v>
      </c>
      <c r="F22" s="17">
        <f t="shared" si="3"/>
        <v>4.1312905479617825</v>
      </c>
      <c r="G22" s="34">
        <f t="shared" si="0"/>
        <v>4.9568796716082844</v>
      </c>
      <c r="H22" s="16">
        <v>5.0000000000000001E-4</v>
      </c>
      <c r="I22" s="17">
        <f t="shared" si="7"/>
        <v>743.0304176550967</v>
      </c>
      <c r="J22" s="11">
        <f t="shared" si="1"/>
        <v>258.80910495827158</v>
      </c>
      <c r="K22" s="11">
        <f t="shared" si="8"/>
        <v>4.1312905479617825</v>
      </c>
      <c r="L22" s="18">
        <f t="shared" si="2"/>
        <v>36.972729279753082</v>
      </c>
      <c r="M22" s="19">
        <f t="shared" si="4"/>
        <v>1.0326832649183926</v>
      </c>
      <c r="N22" s="11">
        <f t="shared" si="5"/>
        <v>1487.0639014824851</v>
      </c>
    </row>
    <row r="23" spans="1:14" x14ac:dyDescent="0.35">
      <c r="A23" s="10">
        <v>18</v>
      </c>
      <c r="B23" s="11">
        <f t="shared" si="6"/>
        <v>354.14294628025374</v>
      </c>
      <c r="C23" s="32">
        <v>1.673</v>
      </c>
      <c r="D23" s="18">
        <v>1</v>
      </c>
      <c r="E23" s="33">
        <v>1.9E-2</v>
      </c>
      <c r="F23" s="17">
        <f t="shared" si="3"/>
        <v>4.1983068353097792</v>
      </c>
      <c r="G23" s="34">
        <f t="shared" si="0"/>
        <v>5.0398082685142906</v>
      </c>
      <c r="H23" s="16">
        <v>5.0000000000000001E-4</v>
      </c>
      <c r="I23" s="17">
        <f t="shared" si="7"/>
        <v>742.65890244626917</v>
      </c>
      <c r="J23" s="11">
        <f t="shared" si="1"/>
        <v>263.00741179358135</v>
      </c>
      <c r="K23" s="11">
        <f t="shared" si="8"/>
        <v>4.1983068353097792</v>
      </c>
      <c r="L23" s="18">
        <f t="shared" si="2"/>
        <v>37.572487399083052</v>
      </c>
      <c r="M23" s="19">
        <f t="shared" si="4"/>
        <v>1.0499600559404771</v>
      </c>
      <c r="N23" s="11">
        <f t="shared" si="5"/>
        <v>1511.9424805542872</v>
      </c>
    </row>
    <row r="24" spans="1:14" x14ac:dyDescent="0.35">
      <c r="A24" s="10">
        <v>19</v>
      </c>
      <c r="B24" s="11">
        <f t="shared" si="6"/>
        <v>360.06775777152234</v>
      </c>
      <c r="C24" s="32">
        <v>1.673</v>
      </c>
      <c r="D24" s="18">
        <v>1</v>
      </c>
      <c r="E24" s="33">
        <v>1.9E-2</v>
      </c>
      <c r="F24" s="17">
        <f t="shared" si="3"/>
        <v>4.2664102364100813</v>
      </c>
      <c r="G24" s="34">
        <f t="shared" si="0"/>
        <v>5.1241242608465338</v>
      </c>
      <c r="H24" s="16">
        <v>5.0000000000000001E-4</v>
      </c>
      <c r="I24" s="17">
        <f t="shared" si="7"/>
        <v>742.28757299504605</v>
      </c>
      <c r="J24" s="11">
        <f t="shared" si="1"/>
        <v>267.27382202999144</v>
      </c>
      <c r="K24" s="11">
        <f t="shared" si="8"/>
        <v>4.2664102364100813</v>
      </c>
      <c r="L24" s="18">
        <f t="shared" si="2"/>
        <v>38.181974575713063</v>
      </c>
      <c r="M24" s="19">
        <f t="shared" si="4"/>
        <v>1.0675258876763611</v>
      </c>
      <c r="N24" s="11">
        <f t="shared" si="5"/>
        <v>1537.2372782539601</v>
      </c>
    </row>
    <row r="25" spans="1:14" x14ac:dyDescent="0.35">
      <c r="A25" s="10">
        <v>20</v>
      </c>
      <c r="B25" s="11">
        <f t="shared" si="6"/>
        <v>366.09169135903988</v>
      </c>
      <c r="C25" s="32">
        <v>1.673</v>
      </c>
      <c r="D25" s="18">
        <v>1</v>
      </c>
      <c r="E25" s="33">
        <v>1.9E-2</v>
      </c>
      <c r="F25" s="17">
        <f t="shared" si="3"/>
        <v>4.3356183860254873</v>
      </c>
      <c r="G25" s="34">
        <f t="shared" si="0"/>
        <v>5.209850859730496</v>
      </c>
      <c r="H25" s="16">
        <v>5.0000000000000001E-4</v>
      </c>
      <c r="I25" s="17">
        <f t="shared" si="7"/>
        <v>741.91642920854849</v>
      </c>
      <c r="J25" s="11">
        <f t="shared" si="1"/>
        <v>271.60944041601692</v>
      </c>
      <c r="K25" s="11">
        <f t="shared" si="8"/>
        <v>4.3356183860254873</v>
      </c>
      <c r="L25" s="18">
        <f t="shared" si="2"/>
        <v>38.801348630859557</v>
      </c>
      <c r="M25" s="19">
        <f t="shared" si="4"/>
        <v>1.0853855957771867</v>
      </c>
      <c r="N25" s="11">
        <f t="shared" si="5"/>
        <v>1562.9552579191491</v>
      </c>
    </row>
    <row r="26" spans="1:14" x14ac:dyDescent="0.35">
      <c r="A26" s="10">
        <v>21</v>
      </c>
      <c r="B26" s="11">
        <f t="shared" si="6"/>
        <v>372.21640535547658</v>
      </c>
      <c r="C26" s="32">
        <v>1.673</v>
      </c>
      <c r="D26" s="18">
        <v>1</v>
      </c>
      <c r="E26" s="33">
        <v>1.9E-2</v>
      </c>
      <c r="F26" s="17">
        <f t="shared" si="3"/>
        <v>4.4059492049828464</v>
      </c>
      <c r="G26" s="34">
        <f t="shared" si="0"/>
        <v>5.2970116646137866</v>
      </c>
      <c r="H26" s="16">
        <v>5.0000000000000001E-4</v>
      </c>
      <c r="I26" s="17">
        <f t="shared" si="7"/>
        <v>741.54547099394426</v>
      </c>
      <c r="J26" s="11">
        <f t="shared" si="1"/>
        <v>276.01538962099977</v>
      </c>
      <c r="K26" s="11">
        <f t="shared" si="8"/>
        <v>4.4059492049828464</v>
      </c>
      <c r="L26" s="18">
        <f t="shared" si="2"/>
        <v>39.430769945857108</v>
      </c>
      <c r="M26" s="19">
        <f t="shared" si="4"/>
        <v>1.1035440967945389</v>
      </c>
      <c r="N26" s="11">
        <f t="shared" si="5"/>
        <v>1589.1034993841358</v>
      </c>
    </row>
    <row r="27" spans="1:14" x14ac:dyDescent="0.35">
      <c r="A27" s="10">
        <v>22</v>
      </c>
      <c r="B27" s="11">
        <f t="shared" si="6"/>
        <v>378.44358581707365</v>
      </c>
      <c r="C27" s="32">
        <v>1.673</v>
      </c>
      <c r="D27" s="18">
        <v>1</v>
      </c>
      <c r="E27" s="33">
        <v>1.9E-2</v>
      </c>
      <c r="F27" s="17">
        <f t="shared" si="3"/>
        <v>4.4774209048146076</v>
      </c>
      <c r="G27" s="34">
        <f t="shared" si="0"/>
        <v>5.3856306697627749</v>
      </c>
      <c r="H27" s="16">
        <v>5.0000000000000001E-4</v>
      </c>
      <c r="I27" s="17">
        <f t="shared" si="7"/>
        <v>741.17469825844728</v>
      </c>
      <c r="J27" s="11">
        <f t="shared" si="1"/>
        <v>280.49281052581438</v>
      </c>
      <c r="K27" s="11">
        <f t="shared" si="8"/>
        <v>4.4774209048146076</v>
      </c>
      <c r="L27" s="18">
        <f t="shared" si="2"/>
        <v>40.070401503687769</v>
      </c>
      <c r="M27" s="19">
        <f t="shared" si="4"/>
        <v>1.1220063895339114</v>
      </c>
      <c r="N27" s="11">
        <f t="shared" si="5"/>
        <v>1615.6892009288324</v>
      </c>
    </row>
    <row r="28" spans="1:14" x14ac:dyDescent="0.35">
      <c r="A28" s="10">
        <v>23</v>
      </c>
      <c r="B28" s="11">
        <f t="shared" si="6"/>
        <v>384.77494700779329</v>
      </c>
      <c r="C28" s="32">
        <v>1.673</v>
      </c>
      <c r="D28" s="18">
        <v>1</v>
      </c>
      <c r="E28" s="33">
        <v>1.9E-2</v>
      </c>
      <c r="F28" s="17">
        <f t="shared" si="3"/>
        <v>4.5500519924738683</v>
      </c>
      <c r="G28" s="34">
        <f t="shared" si="0"/>
        <v>5.4757322708679066</v>
      </c>
      <c r="H28" s="16">
        <v>5.0000000000000001E-4</v>
      </c>
      <c r="I28" s="17">
        <f t="shared" si="7"/>
        <v>740.80411090931807</v>
      </c>
      <c r="J28" s="11">
        <f t="shared" si="1"/>
        <v>285.04286251828825</v>
      </c>
      <c r="K28" s="11">
        <f t="shared" si="8"/>
        <v>4.5500519924738683</v>
      </c>
      <c r="L28" s="18">
        <f t="shared" si="2"/>
        <v>40.720408931184032</v>
      </c>
      <c r="M28" s="19">
        <f t="shared" si="4"/>
        <v>1.1407775564308138</v>
      </c>
      <c r="N28" s="11">
        <f t="shared" si="5"/>
        <v>1642.719681260372</v>
      </c>
    </row>
    <row r="29" spans="1:14" x14ac:dyDescent="0.35">
      <c r="A29" s="10">
        <v>24</v>
      </c>
      <c r="B29" s="11">
        <f t="shared" si="6"/>
        <v>391.21223187123366</v>
      </c>
      <c r="C29" s="32">
        <v>1.673</v>
      </c>
      <c r="D29" s="18">
        <v>1</v>
      </c>
      <c r="E29" s="33">
        <v>1.9E-2</v>
      </c>
      <c r="F29" s="17">
        <f t="shared" si="3"/>
        <v>4.6238612751268988</v>
      </c>
      <c r="G29" s="34">
        <f t="shared" si="0"/>
        <v>5.5673412717595268</v>
      </c>
      <c r="H29" s="16">
        <v>5.0000000000000001E-4</v>
      </c>
      <c r="I29" s="17">
        <f t="shared" si="7"/>
        <v>740.43370885386344</v>
      </c>
      <c r="J29" s="11">
        <f t="shared" si="1"/>
        <v>289.66672379341514</v>
      </c>
      <c r="K29" s="11">
        <f t="shared" si="8"/>
        <v>4.6238612751268988</v>
      </c>
      <c r="L29" s="18">
        <f t="shared" si="2"/>
        <v>41.380960541916451</v>
      </c>
      <c r="M29" s="19">
        <f t="shared" si="4"/>
        <v>1.1598627649499014</v>
      </c>
      <c r="N29" s="11">
        <f t="shared" si="5"/>
        <v>1670.2023815278578</v>
      </c>
    </row>
    <row r="30" spans="1:14" x14ac:dyDescent="0.35">
      <c r="A30" s="10">
        <v>25</v>
      </c>
      <c r="B30" s="11">
        <f t="shared" si="6"/>
        <v>397.75721251043939</v>
      </c>
      <c r="C30" s="32">
        <v>1.673</v>
      </c>
      <c r="D30" s="18">
        <v>1</v>
      </c>
      <c r="E30" s="33">
        <v>1.9E-2</v>
      </c>
      <c r="F30" s="17">
        <f t="shared" si="3"/>
        <v>4.6988678650225211</v>
      </c>
      <c r="G30" s="34">
        <f t="shared" si="0"/>
        <v>5.6604828912360627</v>
      </c>
      <c r="H30" s="16">
        <v>5.0000000000000001E-4</v>
      </c>
      <c r="I30" s="17">
        <f t="shared" si="7"/>
        <v>740.06349199943645</v>
      </c>
      <c r="J30" s="11">
        <f t="shared" si="1"/>
        <v>294.36559165843767</v>
      </c>
      <c r="K30" s="11">
        <f t="shared" si="8"/>
        <v>4.6988678650225211</v>
      </c>
      <c r="L30" s="18">
        <f t="shared" si="2"/>
        <v>42.052227379776809</v>
      </c>
      <c r="M30" s="19">
        <f t="shared" si="4"/>
        <v>1.1792672690075132</v>
      </c>
      <c r="N30" s="11">
        <f t="shared" si="5"/>
        <v>1698.1448673708189</v>
      </c>
    </row>
    <row r="31" spans="1:14" x14ac:dyDescent="0.35">
      <c r="A31" s="10">
        <v>26</v>
      </c>
      <c r="B31" s="11">
        <f t="shared" si="6"/>
        <v>404.41169067573901</v>
      </c>
      <c r="C31" s="32">
        <v>1.5429999999999999</v>
      </c>
      <c r="D31" s="18">
        <v>1</v>
      </c>
      <c r="E31" s="33">
        <v>1.9E-2</v>
      </c>
      <c r="F31" s="17">
        <f t="shared" si="3"/>
        <v>4.7750911844422603</v>
      </c>
      <c r="G31" s="34">
        <f t="shared" si="0"/>
        <v>5.7551827700064422</v>
      </c>
      <c r="H31" s="16">
        <v>5.0000000000000001E-4</v>
      </c>
      <c r="I31" s="17">
        <f t="shared" si="7"/>
        <v>739.69346025343668</v>
      </c>
      <c r="J31" s="11">
        <f t="shared" si="1"/>
        <v>299.14068284287993</v>
      </c>
      <c r="K31" s="11">
        <f t="shared" si="8"/>
        <v>4.7750911844422603</v>
      </c>
      <c r="L31" s="18">
        <f t="shared" si="2"/>
        <v>42.734383263268562</v>
      </c>
      <c r="M31" s="19">
        <f t="shared" si="4"/>
        <v>1.1989964104180086</v>
      </c>
      <c r="N31" s="11">
        <f t="shared" si="5"/>
        <v>1726.5548310019326</v>
      </c>
    </row>
    <row r="32" spans="1:14" x14ac:dyDescent="0.35">
      <c r="A32" s="10">
        <v>27</v>
      </c>
      <c r="B32" s="11">
        <f t="shared" si="6"/>
        <v>410.65176306286571</v>
      </c>
      <c r="C32" s="32">
        <v>1.5429999999999999</v>
      </c>
      <c r="D32" s="18">
        <v>1</v>
      </c>
      <c r="E32" s="33">
        <v>1.9E-2</v>
      </c>
      <c r="F32" s="17">
        <f t="shared" si="3"/>
        <v>4.4638625244760419</v>
      </c>
      <c r="G32" s="34">
        <f t="shared" si="0"/>
        <v>5.8439852401476422</v>
      </c>
      <c r="H32" s="16">
        <v>5.0000000000000001E-4</v>
      </c>
      <c r="I32" s="17">
        <f t="shared" si="7"/>
        <v>739.32361352330997</v>
      </c>
      <c r="J32" s="11">
        <f t="shared" si="1"/>
        <v>303.60454536735597</v>
      </c>
      <c r="K32" s="11">
        <f t="shared" si="8"/>
        <v>4.4638625244760419</v>
      </c>
      <c r="L32" s="18">
        <f t="shared" si="2"/>
        <v>43.372077909622284</v>
      </c>
      <c r="M32" s="19">
        <f t="shared" si="4"/>
        <v>1.2174969250307588</v>
      </c>
      <c r="N32" s="11">
        <f t="shared" si="5"/>
        <v>1753.1955720442927</v>
      </c>
    </row>
    <row r="33" spans="1:14" x14ac:dyDescent="0.35">
      <c r="A33" s="10">
        <v>28</v>
      </c>
      <c r="B33" s="11">
        <f t="shared" si="6"/>
        <v>416.98811976692576</v>
      </c>
      <c r="C33" s="32">
        <v>1.5429999999999999</v>
      </c>
      <c r="D33" s="18">
        <v>1</v>
      </c>
      <c r="E33" s="33">
        <v>1.9E-2</v>
      </c>
      <c r="F33" s="17">
        <f t="shared" si="3"/>
        <v>4.530473553267143</v>
      </c>
      <c r="G33" s="34">
        <f t="shared" si="0"/>
        <v>5.93415793240312</v>
      </c>
      <c r="H33" s="16">
        <v>5.0000000000000001E-4</v>
      </c>
      <c r="I33" s="17">
        <f t="shared" si="7"/>
        <v>738.95395171654832</v>
      </c>
      <c r="J33" s="11">
        <f t="shared" si="1"/>
        <v>308.13501892062311</v>
      </c>
      <c r="K33" s="11">
        <f t="shared" si="8"/>
        <v>4.530473553267143</v>
      </c>
      <c r="L33" s="18">
        <f t="shared" si="2"/>
        <v>44.01928841723187</v>
      </c>
      <c r="M33" s="19">
        <f t="shared" si="4"/>
        <v>1.2362829025839832</v>
      </c>
      <c r="N33" s="11">
        <f t="shared" si="5"/>
        <v>1780.2473797209359</v>
      </c>
    </row>
    <row r="34" spans="1:14" x14ac:dyDescent="0.35">
      <c r="A34" s="10">
        <v>29</v>
      </c>
      <c r="B34" s="11">
        <f t="shared" si="6"/>
        <v>423.42224645492945</v>
      </c>
      <c r="C34" s="32">
        <v>1.5429999999999999</v>
      </c>
      <c r="D34" s="18">
        <v>1</v>
      </c>
      <c r="E34" s="33">
        <v>1.9E-2</v>
      </c>
      <c r="F34" s="17">
        <f t="shared" si="3"/>
        <v>4.598078570813982</v>
      </c>
      <c r="G34" s="34">
        <f t="shared" si="0"/>
        <v>6.0257219893001013</v>
      </c>
      <c r="H34" s="16">
        <v>5.0000000000000001E-4</v>
      </c>
      <c r="I34" s="17">
        <f t="shared" si="7"/>
        <v>738.5844747406901</v>
      </c>
      <c r="J34" s="11">
        <f t="shared" si="1"/>
        <v>312.73309749143709</v>
      </c>
      <c r="K34" s="11">
        <f t="shared" si="8"/>
        <v>4.598078570813982</v>
      </c>
      <c r="L34" s="18">
        <f t="shared" si="2"/>
        <v>44.676156784491013</v>
      </c>
      <c r="M34" s="19">
        <f t="shared" si="4"/>
        <v>1.2553587477708543</v>
      </c>
      <c r="N34" s="11">
        <f t="shared" si="5"/>
        <v>1807.7165967900301</v>
      </c>
    </row>
    <row r="35" spans="1:14" x14ac:dyDescent="0.35">
      <c r="A35" s="10">
        <v>30</v>
      </c>
      <c r="B35" s="11">
        <f t="shared" si="6"/>
        <v>429.95565171772904</v>
      </c>
      <c r="C35" s="32">
        <v>1.5429999999999999</v>
      </c>
      <c r="D35" s="18">
        <v>1</v>
      </c>
      <c r="E35" s="33">
        <v>1.9E-2</v>
      </c>
      <c r="F35" s="17">
        <f t="shared" si="3"/>
        <v>4.6666924097000333</v>
      </c>
      <c r="G35" s="34">
        <f t="shared" si="0"/>
        <v>6.1186988795950024</v>
      </c>
      <c r="H35" s="16">
        <v>5.0000000000000001E-4</v>
      </c>
      <c r="I35" s="17">
        <f t="shared" si="7"/>
        <v>738.21518250331974</v>
      </c>
      <c r="J35" s="11">
        <f t="shared" si="1"/>
        <v>317.39978990113713</v>
      </c>
      <c r="K35" s="11">
        <f t="shared" si="8"/>
        <v>4.6666924097000333</v>
      </c>
      <c r="L35" s="18">
        <f t="shared" si="2"/>
        <v>45.342827128733873</v>
      </c>
      <c r="M35" s="19">
        <f t="shared" si="4"/>
        <v>1.2747289332489589</v>
      </c>
      <c r="N35" s="11">
        <f t="shared" si="5"/>
        <v>1835.6096638785007</v>
      </c>
    </row>
    <row r="36" spans="1:14" x14ac:dyDescent="0.35">
      <c r="A36" s="10">
        <v>31</v>
      </c>
      <c r="B36" s="11">
        <f t="shared" si="6"/>
        <v>436.58986742373361</v>
      </c>
      <c r="C36" s="32">
        <v>1.5429999999999999</v>
      </c>
      <c r="D36" s="18">
        <v>1</v>
      </c>
      <c r="E36" s="33">
        <v>1.9E-2</v>
      </c>
      <c r="F36" s="17">
        <f t="shared" si="3"/>
        <v>4.7363301238448798</v>
      </c>
      <c r="G36" s="34">
        <f t="shared" si="0"/>
        <v>6.2131104033071534</v>
      </c>
      <c r="H36" s="16">
        <v>5.0000000000000001E-4</v>
      </c>
      <c r="I36" s="17">
        <f t="shared" si="7"/>
        <v>737.84607491206805</v>
      </c>
      <c r="J36" s="11">
        <f t="shared" si="1"/>
        <v>322.13612002498201</v>
      </c>
      <c r="K36" s="11">
        <f t="shared" si="8"/>
        <v>4.7363301238448798</v>
      </c>
      <c r="L36" s="18">
        <f t="shared" si="2"/>
        <v>46.019445717854573</v>
      </c>
      <c r="M36" s="19">
        <f t="shared" si="4"/>
        <v>1.2943980006889904</v>
      </c>
      <c r="N36" s="11">
        <f t="shared" si="5"/>
        <v>1863.9331209921461</v>
      </c>
    </row>
    <row r="37" spans="1:14" x14ac:dyDescent="0.35">
      <c r="A37" s="10">
        <v>32</v>
      </c>
      <c r="B37" s="11">
        <f t="shared" si="6"/>
        <v>443.32644907808185</v>
      </c>
      <c r="C37" s="32">
        <v>1.5429999999999999</v>
      </c>
      <c r="D37" s="18">
        <v>1</v>
      </c>
      <c r="E37" s="33">
        <v>1.7299999999999999E-2</v>
      </c>
      <c r="F37" s="17">
        <f t="shared" si="3"/>
        <v>4.8070069918069862</v>
      </c>
      <c r="G37" s="34">
        <f t="shared" si="0"/>
        <v>5.7444911292190612</v>
      </c>
      <c r="H37" s="16">
        <v>5.0000000000000001E-4</v>
      </c>
      <c r="I37" s="17">
        <f t="shared" si="7"/>
        <v>737.47715187461199</v>
      </c>
      <c r="J37" s="11">
        <f t="shared" si="1"/>
        <v>326.94312701678899</v>
      </c>
      <c r="K37" s="11">
        <f t="shared" si="8"/>
        <v>4.8070069918069862</v>
      </c>
      <c r="L37" s="18">
        <f t="shared" si="2"/>
        <v>46.706161002398424</v>
      </c>
      <c r="M37" s="19">
        <f t="shared" si="4"/>
        <v>1.1967689852539711</v>
      </c>
      <c r="N37" s="11">
        <f t="shared" si="5"/>
        <v>1723.3473387657184</v>
      </c>
    </row>
    <row r="38" spans="1:14" x14ac:dyDescent="0.35">
      <c r="A38" s="10">
        <v>33</v>
      </c>
      <c r="B38" s="11">
        <f t="shared" si="6"/>
        <v>450.16697618735668</v>
      </c>
      <c r="C38" s="32">
        <v>1.5429999999999999</v>
      </c>
      <c r="D38" s="18">
        <v>1</v>
      </c>
      <c r="E38" s="33">
        <v>1.7299999999999999E-2</v>
      </c>
      <c r="F38" s="17">
        <f t="shared" si="3"/>
        <v>4.8787385201357552</v>
      </c>
      <c r="G38" s="34">
        <f t="shared" si="0"/>
        <v>5.8331286273429113</v>
      </c>
      <c r="H38" s="16">
        <v>5.0000000000000001E-4</v>
      </c>
      <c r="I38" s="17">
        <f t="shared" si="7"/>
        <v>737.10841329867469</v>
      </c>
      <c r="J38" s="11">
        <f t="shared" si="1"/>
        <v>331.82186553692475</v>
      </c>
      <c r="K38" s="11">
        <f t="shared" si="8"/>
        <v>4.8787385201357552</v>
      </c>
      <c r="L38" s="18">
        <f t="shared" si="2"/>
        <v>47.403123648132109</v>
      </c>
      <c r="M38" s="19">
        <f t="shared" si="4"/>
        <v>1.21523513069644</v>
      </c>
      <c r="N38" s="11">
        <f t="shared" si="5"/>
        <v>1749.9385882028737</v>
      </c>
    </row>
    <row r="39" spans="1:14" x14ac:dyDescent="0.35">
      <c r="A39" s="10">
        <v>34</v>
      </c>
      <c r="B39" s="11">
        <f t="shared" si="6"/>
        <v>457.11305262992761</v>
      </c>
      <c r="C39" s="32">
        <v>1.5429999999999999</v>
      </c>
      <c r="D39" s="18">
        <v>1</v>
      </c>
      <c r="E39" s="33">
        <v>1.7299999999999999E-2</v>
      </c>
      <c r="F39" s="17">
        <f t="shared" si="3"/>
        <v>4.951540446773663</v>
      </c>
      <c r="G39" s="34">
        <f t="shared" si="0"/>
        <v>5.9231338020628126</v>
      </c>
      <c r="H39" s="16">
        <v>5.0000000000000001E-4</v>
      </c>
      <c r="I39" s="17">
        <f t="shared" si="7"/>
        <v>736.73985909202531</v>
      </c>
      <c r="J39" s="11">
        <f t="shared" si="1"/>
        <v>336.77340598369841</v>
      </c>
      <c r="K39" s="11">
        <f t="shared" si="8"/>
        <v>4.951540446773663</v>
      </c>
      <c r="L39" s="18">
        <f t="shared" si="2"/>
        <v>48.11048656909977</v>
      </c>
      <c r="M39" s="19">
        <f t="shared" si="4"/>
        <v>1.233986208763086</v>
      </c>
      <c r="N39" s="11">
        <f t="shared" si="5"/>
        <v>1776.940140618844</v>
      </c>
    </row>
    <row r="40" spans="1:14" x14ac:dyDescent="0.35">
      <c r="A40" s="10">
        <v>35</v>
      </c>
      <c r="B40" s="11">
        <f t="shared" si="6"/>
        <v>464.16630703200741</v>
      </c>
      <c r="C40" s="32">
        <v>1.5429999999999999</v>
      </c>
      <c r="D40" s="18">
        <v>1</v>
      </c>
      <c r="E40" s="33">
        <v>1.7299999999999999E-2</v>
      </c>
      <c r="F40" s="17">
        <f t="shared" si="3"/>
        <v>5.0254287445094974</v>
      </c>
      <c r="G40" s="34">
        <f t="shared" si="0"/>
        <v>6.0145277566286426</v>
      </c>
      <c r="H40" s="16">
        <v>5.0000000000000001E-4</v>
      </c>
      <c r="I40" s="17">
        <f t="shared" si="7"/>
        <v>736.37148916247929</v>
      </c>
      <c r="J40" s="11">
        <f t="shared" si="1"/>
        <v>341.79883472820791</v>
      </c>
      <c r="K40" s="11">
        <f t="shared" si="8"/>
        <v>5.0254287445094974</v>
      </c>
      <c r="L40" s="18">
        <f t="shared" si="2"/>
        <v>48.828404961172559</v>
      </c>
      <c r="M40" s="19">
        <f t="shared" si="4"/>
        <v>1.2530266159643006</v>
      </c>
      <c r="N40" s="11">
        <f t="shared" si="5"/>
        <v>1804.3583269885928</v>
      </c>
    </row>
    <row r="41" spans="1:14" x14ac:dyDescent="0.35">
      <c r="A41" s="10">
        <v>36</v>
      </c>
      <c r="B41" s="11">
        <f t="shared" si="6"/>
        <v>471.32839314951133</v>
      </c>
      <c r="C41" s="32">
        <v>1.5429999999999999</v>
      </c>
      <c r="D41" s="18">
        <v>1</v>
      </c>
      <c r="E41" s="33">
        <v>1.7299999999999999E-2</v>
      </c>
      <c r="F41" s="17">
        <f t="shared" si="3"/>
        <v>5.1004196244822424</v>
      </c>
      <c r="G41" s="34">
        <f t="shared" si="0"/>
        <v>6.1073319199134231</v>
      </c>
      <c r="H41" s="16">
        <v>5.0000000000000001E-4</v>
      </c>
      <c r="I41" s="17">
        <f t="shared" si="7"/>
        <v>736.00330341789811</v>
      </c>
      <c r="J41" s="11">
        <f t="shared" si="1"/>
        <v>346.89925435269015</v>
      </c>
      <c r="K41" s="11">
        <f t="shared" si="8"/>
        <v>5.1004196244822424</v>
      </c>
      <c r="L41" s="18">
        <f t="shared" si="2"/>
        <v>49.557036336098591</v>
      </c>
      <c r="M41" s="19">
        <f t="shared" si="4"/>
        <v>1.2723608166486298</v>
      </c>
      <c r="N41" s="11">
        <f t="shared" si="5"/>
        <v>1832.1995759740271</v>
      </c>
    </row>
    <row r="42" spans="1:14" x14ac:dyDescent="0.35">
      <c r="A42" s="10">
        <v>37</v>
      </c>
      <c r="B42" s="11">
        <f t="shared" si="6"/>
        <v>478.60099025580831</v>
      </c>
      <c r="C42" s="32">
        <v>1.5429999999999999</v>
      </c>
      <c r="D42" s="18">
        <v>1</v>
      </c>
      <c r="E42" s="33">
        <v>1.7299999999999999E-2</v>
      </c>
      <c r="F42" s="17">
        <f t="shared" si="3"/>
        <v>5.1765295397383397</v>
      </c>
      <c r="G42" s="34">
        <f t="shared" si="0"/>
        <v>6.201568051437687</v>
      </c>
      <c r="H42" s="16">
        <v>5.0000000000000001E-4</v>
      </c>
      <c r="I42" s="17">
        <f t="shared" si="7"/>
        <v>735.63530176618917</v>
      </c>
      <c r="J42" s="11">
        <f t="shared" si="1"/>
        <v>352.07578389242849</v>
      </c>
      <c r="K42" s="11">
        <f t="shared" si="8"/>
        <v>5.1765295397383397</v>
      </c>
      <c r="L42" s="18">
        <f t="shared" si="2"/>
        <v>50.29654055606121</v>
      </c>
      <c r="M42" s="19">
        <f t="shared" si="4"/>
        <v>1.2919933440495182</v>
      </c>
      <c r="N42" s="11">
        <f t="shared" si="5"/>
        <v>1860.470415431306</v>
      </c>
    </row>
    <row r="43" spans="1:14" x14ac:dyDescent="0.35">
      <c r="A43" s="10">
        <v>38</v>
      </c>
      <c r="B43" s="11">
        <f t="shared" si="6"/>
        <v>485.98580353545549</v>
      </c>
      <c r="C43" s="32">
        <v>1.5429999999999999</v>
      </c>
      <c r="D43" s="18">
        <v>1</v>
      </c>
      <c r="E43" s="33">
        <v>1.7299999999999999E-2</v>
      </c>
      <c r="F43" s="17">
        <f t="shared" si="3"/>
        <v>5.2537751888413027</v>
      </c>
      <c r="G43" s="34">
        <f t="shared" si="0"/>
        <v>6.2972582464713716</v>
      </c>
      <c r="H43" s="16">
        <v>5.0000000000000001E-4</v>
      </c>
      <c r="I43" s="17">
        <f t="shared" si="7"/>
        <v>735.26748411530605</v>
      </c>
      <c r="J43" s="11">
        <f t="shared" si="1"/>
        <v>357.32955908126979</v>
      </c>
      <c r="K43" s="11">
        <f t="shared" si="8"/>
        <v>5.2537751888413027</v>
      </c>
      <c r="L43" s="18">
        <f t="shared" si="2"/>
        <v>51.047079868752824</v>
      </c>
      <c r="M43" s="19">
        <f t="shared" si="4"/>
        <v>1.3119288013482024</v>
      </c>
      <c r="N43" s="11">
        <f t="shared" si="5"/>
        <v>1889.1774739414116</v>
      </c>
    </row>
    <row r="44" spans="1:14" x14ac:dyDescent="0.35">
      <c r="A44" s="10">
        <v>39</v>
      </c>
      <c r="B44" s="11">
        <f t="shared" si="6"/>
        <v>493.48456448400759</v>
      </c>
      <c r="C44" s="32">
        <v>1.5429999999999999</v>
      </c>
      <c r="D44" s="18">
        <v>1</v>
      </c>
      <c r="E44" s="33">
        <v>1.7299999999999999E-2</v>
      </c>
      <c r="F44" s="17">
        <f t="shared" si="3"/>
        <v>5.332173519535047</v>
      </c>
      <c r="G44" s="34">
        <f t="shared" si="0"/>
        <v>6.3944249412144245</v>
      </c>
      <c r="H44" s="16">
        <v>5.0000000000000001E-4</v>
      </c>
      <c r="I44" s="17">
        <f t="shared" si="7"/>
        <v>734.89985037324834</v>
      </c>
      <c r="J44" s="11">
        <f t="shared" si="1"/>
        <v>362.66173260080484</v>
      </c>
      <c r="K44" s="11">
        <f t="shared" si="8"/>
        <v>5.332173519535047</v>
      </c>
      <c r="L44" s="18">
        <f t="shared" si="2"/>
        <v>51.808818942972117</v>
      </c>
      <c r="M44" s="19">
        <f t="shared" si="4"/>
        <v>1.332171862753005</v>
      </c>
      <c r="N44" s="11">
        <f t="shared" si="5"/>
        <v>1918.3274823643274</v>
      </c>
    </row>
    <row r="45" spans="1:14" x14ac:dyDescent="0.35">
      <c r="A45" s="10">
        <v>40</v>
      </c>
      <c r="B45" s="11">
        <f t="shared" si="6"/>
        <v>501.09903131399585</v>
      </c>
      <c r="C45" s="32">
        <v>1.44</v>
      </c>
      <c r="D45" s="18">
        <v>1</v>
      </c>
      <c r="E45" s="33">
        <v>1.7299999999999999E-2</v>
      </c>
      <c r="F45" s="17">
        <f t="shared" si="3"/>
        <v>5.4117417324629855</v>
      </c>
      <c r="G45" s="34">
        <f t="shared" si="0"/>
        <v>6.4930909180573639</v>
      </c>
      <c r="H45" s="16">
        <v>5.0000000000000001E-4</v>
      </c>
      <c r="I45" s="17">
        <f t="shared" si="7"/>
        <v>734.53240044806171</v>
      </c>
      <c r="J45" s="11">
        <f t="shared" si="1"/>
        <v>368.07347433326782</v>
      </c>
      <c r="K45" s="11">
        <f t="shared" si="8"/>
        <v>5.4117417324629855</v>
      </c>
      <c r="L45" s="18">
        <f t="shared" si="2"/>
        <v>52.581924904752547</v>
      </c>
      <c r="M45" s="19">
        <f t="shared" si="4"/>
        <v>1.3527272745952841</v>
      </c>
      <c r="N45" s="11">
        <f t="shared" si="5"/>
        <v>1947.9272754172089</v>
      </c>
    </row>
    <row r="46" spans="1:14" x14ac:dyDescent="0.35">
      <c r="A46" s="10">
        <v>41</v>
      </c>
      <c r="B46" s="11">
        <f t="shared" si="6"/>
        <v>508.31485736491737</v>
      </c>
      <c r="C46" s="32">
        <v>1.44</v>
      </c>
      <c r="D46" s="18">
        <v>1</v>
      </c>
      <c r="E46" s="33">
        <v>1.7299999999999999E-2</v>
      </c>
      <c r="F46" s="17">
        <f t="shared" si="3"/>
        <v>5.1135711642172055</v>
      </c>
      <c r="G46" s="34">
        <f t="shared" si="0"/>
        <v>6.5865914272773898</v>
      </c>
      <c r="H46" s="16">
        <v>5.0000000000000001E-4</v>
      </c>
      <c r="I46" s="17">
        <f t="shared" si="7"/>
        <v>734.16513424783773</v>
      </c>
      <c r="J46" s="11">
        <f t="shared" si="1"/>
        <v>373.18704549748503</v>
      </c>
      <c r="K46" s="11">
        <f t="shared" si="8"/>
        <v>5.1135711642172055</v>
      </c>
      <c r="L46" s="18">
        <f t="shared" si="2"/>
        <v>53.312435071069288</v>
      </c>
      <c r="M46" s="19">
        <f t="shared" si="4"/>
        <v>1.3722065473494562</v>
      </c>
      <c r="N46" s="11">
        <f t="shared" si="5"/>
        <v>1975.9774281832169</v>
      </c>
    </row>
    <row r="47" spans="1:14" x14ac:dyDescent="0.35">
      <c r="A47" s="10">
        <v>42</v>
      </c>
      <c r="B47" s="11">
        <f t="shared" si="6"/>
        <v>515.63459131097216</v>
      </c>
      <c r="C47" s="32">
        <v>1.44</v>
      </c>
      <c r="D47" s="18">
        <v>1</v>
      </c>
      <c r="E47" s="33">
        <v>1.7299999999999999E-2</v>
      </c>
      <c r="F47" s="17">
        <f t="shared" si="3"/>
        <v>5.1846129856874654</v>
      </c>
      <c r="G47" s="34">
        <f t="shared" si="0"/>
        <v>6.6814383438301839</v>
      </c>
      <c r="H47" s="16">
        <v>5.0000000000000001E-4</v>
      </c>
      <c r="I47" s="17">
        <f t="shared" si="7"/>
        <v>733.7980516807138</v>
      </c>
      <c r="J47" s="11">
        <f t="shared" si="1"/>
        <v>378.3716584831725</v>
      </c>
      <c r="K47" s="11">
        <f t="shared" si="8"/>
        <v>5.1846129856874654</v>
      </c>
      <c r="L47" s="18">
        <f t="shared" si="2"/>
        <v>54.053094069024645</v>
      </c>
      <c r="M47" s="19">
        <f t="shared" si="4"/>
        <v>1.3919663216312883</v>
      </c>
      <c r="N47" s="11">
        <f t="shared" si="5"/>
        <v>2004.4315031490553</v>
      </c>
    </row>
    <row r="48" spans="1:14" x14ac:dyDescent="0.35">
      <c r="A48" s="10">
        <v>43</v>
      </c>
      <c r="B48" s="11">
        <f t="shared" si="6"/>
        <v>523.05972942585015</v>
      </c>
      <c r="C48" s="32">
        <v>1.44</v>
      </c>
      <c r="D48" s="18">
        <v>1</v>
      </c>
      <c r="E48" s="33">
        <v>1.7299999999999999E-2</v>
      </c>
      <c r="F48" s="17">
        <f t="shared" si="3"/>
        <v>5.256641776975016</v>
      </c>
      <c r="G48" s="34">
        <f t="shared" si="0"/>
        <v>6.7776510559813383</v>
      </c>
      <c r="H48" s="16">
        <v>5.0000000000000001E-4</v>
      </c>
      <c r="I48" s="17">
        <f t="shared" si="7"/>
        <v>733.43115265487347</v>
      </c>
      <c r="J48" s="11">
        <f t="shared" si="1"/>
        <v>383.62830026014751</v>
      </c>
      <c r="K48" s="11">
        <f t="shared" si="8"/>
        <v>5.256641776975016</v>
      </c>
      <c r="L48" s="18">
        <f t="shared" si="2"/>
        <v>54.804042894306789</v>
      </c>
      <c r="M48" s="19">
        <f t="shared" si="4"/>
        <v>1.4120106366627789</v>
      </c>
      <c r="N48" s="11">
        <f t="shared" si="5"/>
        <v>2033.2953167944017</v>
      </c>
    </row>
    <row r="49" spans="1:14" x14ac:dyDescent="0.35">
      <c r="A49" s="10">
        <v>44</v>
      </c>
      <c r="B49" s="11">
        <f t="shared" si="6"/>
        <v>530.59178952958234</v>
      </c>
      <c r="C49" s="32">
        <v>1.44</v>
      </c>
      <c r="D49" s="18">
        <v>1</v>
      </c>
      <c r="E49" s="33">
        <v>1.7299999999999999E-2</v>
      </c>
      <c r="F49" s="17">
        <f t="shared" si="3"/>
        <v>5.3296712498541297</v>
      </c>
      <c r="G49" s="34">
        <f t="shared" si="0"/>
        <v>6.8752492311874693</v>
      </c>
      <c r="H49" s="16">
        <v>5.0000000000000001E-4</v>
      </c>
      <c r="I49" s="17">
        <f t="shared" si="7"/>
        <v>733.06443707854601</v>
      </c>
      <c r="J49" s="11">
        <f t="shared" si="1"/>
        <v>388.95797151000164</v>
      </c>
      <c r="K49" s="11">
        <f t="shared" si="8"/>
        <v>5.3296712498541297</v>
      </c>
      <c r="L49" s="18">
        <f t="shared" si="2"/>
        <v>55.565424501428808</v>
      </c>
      <c r="M49" s="19">
        <f t="shared" si="4"/>
        <v>1.4323435898307226</v>
      </c>
      <c r="N49" s="11">
        <f t="shared" si="5"/>
        <v>2062.5747693562407</v>
      </c>
    </row>
    <row r="50" spans="1:14" x14ac:dyDescent="0.35">
      <c r="A50" s="10">
        <v>45</v>
      </c>
      <c r="B50" s="11">
        <f t="shared" si="6"/>
        <v>538.23231129880833</v>
      </c>
      <c r="C50" s="32">
        <v>1.44</v>
      </c>
      <c r="D50" s="18">
        <v>1</v>
      </c>
      <c r="E50" s="33">
        <v>1.7299999999999999E-2</v>
      </c>
      <c r="F50" s="17">
        <f t="shared" si="3"/>
        <v>5.4037153065941652</v>
      </c>
      <c r="G50" s="34">
        <f t="shared" si="0"/>
        <v>6.9742528201165683</v>
      </c>
      <c r="H50" s="16">
        <v>5.0000000000000001E-4</v>
      </c>
      <c r="I50" s="17">
        <f t="shared" si="7"/>
        <v>732.6979048600067</v>
      </c>
      <c r="J50" s="11">
        <f t="shared" si="1"/>
        <v>394.36168681659581</v>
      </c>
      <c r="K50" s="11">
        <f t="shared" si="8"/>
        <v>5.4037153065941652</v>
      </c>
      <c r="L50" s="18">
        <f t="shared" si="2"/>
        <v>56.337383830942258</v>
      </c>
      <c r="M50" s="19">
        <f t="shared" si="4"/>
        <v>1.4529693375242851</v>
      </c>
      <c r="N50" s="11">
        <f t="shared" si="5"/>
        <v>2092.2758460349705</v>
      </c>
    </row>
    <row r="51" spans="1:14" x14ac:dyDescent="0.35">
      <c r="A51" s="10">
        <v>46</v>
      </c>
      <c r="B51" s="11">
        <f t="shared" si="6"/>
        <v>545.9828565815111</v>
      </c>
      <c r="C51" s="32">
        <v>1.44</v>
      </c>
      <c r="D51" s="18">
        <v>1</v>
      </c>
      <c r="E51" s="33">
        <v>1.7299999999999999E-2</v>
      </c>
      <c r="F51" s="17">
        <f t="shared" si="3"/>
        <v>5.4787880426054585</v>
      </c>
      <c r="G51" s="34">
        <f t="shared" si="0"/>
        <v>7.0746820607262464</v>
      </c>
      <c r="H51" s="16">
        <v>5.0000000000000001E-4</v>
      </c>
      <c r="I51" s="17">
        <f t="shared" si="7"/>
        <v>732.33155590757667</v>
      </c>
      <c r="J51" s="11">
        <f t="shared" si="1"/>
        <v>399.84047485920127</v>
      </c>
      <c r="K51" s="11">
        <f t="shared" si="8"/>
        <v>5.4787880426054585</v>
      </c>
      <c r="L51" s="18">
        <f t="shared" si="2"/>
        <v>57.120067837028749</v>
      </c>
      <c r="M51" s="19">
        <f t="shared" si="4"/>
        <v>1.4738920959846347</v>
      </c>
      <c r="N51" s="11">
        <f t="shared" si="5"/>
        <v>2122.404618217874</v>
      </c>
    </row>
    <row r="52" spans="1:14" x14ac:dyDescent="0.35">
      <c r="A52" s="10">
        <v>47</v>
      </c>
      <c r="B52" s="11">
        <f t="shared" si="6"/>
        <v>553.84500971628484</v>
      </c>
      <c r="C52" s="32">
        <v>1.44</v>
      </c>
      <c r="D52" s="18">
        <v>1</v>
      </c>
      <c r="E52" s="33">
        <v>1.7299999999999999E-2</v>
      </c>
      <c r="F52" s="17">
        <f t="shared" si="3"/>
        <v>5.5549037491239233</v>
      </c>
      <c r="G52" s="34">
        <f t="shared" si="0"/>
        <v>7.1765574824007032</v>
      </c>
      <c r="H52" s="16">
        <v>5.0000000000000001E-4</v>
      </c>
      <c r="I52" s="17">
        <f t="shared" si="7"/>
        <v>731.96539012962285</v>
      </c>
      <c r="J52" s="11">
        <f t="shared" si="1"/>
        <v>405.39537860832519</v>
      </c>
      <c r="K52" s="11">
        <f t="shared" si="8"/>
        <v>5.5549037491239233</v>
      </c>
      <c r="L52" s="18">
        <f t="shared" si="2"/>
        <v>57.913625515475026</v>
      </c>
      <c r="M52" s="19">
        <f t="shared" si="4"/>
        <v>1.4951161421668133</v>
      </c>
      <c r="N52" s="11">
        <f t="shared" si="5"/>
        <v>2152.9672447202111</v>
      </c>
    </row>
    <row r="53" spans="1:14" x14ac:dyDescent="0.35">
      <c r="A53" s="10">
        <v>48</v>
      </c>
      <c r="B53" s="11">
        <f t="shared" si="6"/>
        <v>561.82037785619934</v>
      </c>
      <c r="C53" s="32">
        <v>1.44</v>
      </c>
      <c r="D53" s="18">
        <v>1</v>
      </c>
      <c r="E53" s="33">
        <v>1.6E-2</v>
      </c>
      <c r="F53" s="17">
        <f t="shared" si="3"/>
        <v>5.6320769159297583</v>
      </c>
      <c r="G53" s="34">
        <f t="shared" si="0"/>
        <v>6.7328554082286924</v>
      </c>
      <c r="H53" s="16">
        <v>5.0000000000000001E-4</v>
      </c>
      <c r="I53" s="17">
        <f t="shared" si="7"/>
        <v>731.59940743455809</v>
      </c>
      <c r="J53" s="11">
        <f t="shared" si="1"/>
        <v>411.02745552425495</v>
      </c>
      <c r="K53" s="11">
        <f t="shared" si="8"/>
        <v>5.6320769159297583</v>
      </c>
      <c r="L53" s="18">
        <f t="shared" si="2"/>
        <v>58.718207932036421</v>
      </c>
      <c r="M53" s="19">
        <f t="shared" si="4"/>
        <v>1.4026782100476443</v>
      </c>
      <c r="N53" s="11">
        <f t="shared" si="5"/>
        <v>2019.8566224686078</v>
      </c>
    </row>
    <row r="54" spans="1:14" x14ac:dyDescent="0.35">
      <c r="A54" s="10">
        <v>49</v>
      </c>
      <c r="B54" s="11">
        <f t="shared" si="6"/>
        <v>569.91059129732855</v>
      </c>
      <c r="C54" s="32">
        <v>1.44</v>
      </c>
      <c r="D54" s="18">
        <v>1</v>
      </c>
      <c r="E54" s="33">
        <v>1.6E-2</v>
      </c>
      <c r="F54" s="17">
        <f t="shared" si="3"/>
        <v>5.7103222341073661</v>
      </c>
      <c r="G54" s="34">
        <f t="shared" si="0"/>
        <v>6.8298085261071853</v>
      </c>
      <c r="H54" s="16">
        <v>5.0000000000000001E-4</v>
      </c>
      <c r="I54" s="17">
        <f t="shared" si="7"/>
        <v>731.23360773084084</v>
      </c>
      <c r="J54" s="11">
        <f t="shared" si="1"/>
        <v>416.73777775836231</v>
      </c>
      <c r="K54" s="11">
        <f t="shared" si="8"/>
        <v>5.7103222341073661</v>
      </c>
      <c r="L54" s="18">
        <f t="shared" si="2"/>
        <v>59.533968251194615</v>
      </c>
      <c r="M54" s="19">
        <f t="shared" si="4"/>
        <v>1.4228767762723302</v>
      </c>
      <c r="N54" s="11">
        <f t="shared" si="5"/>
        <v>2048.9425578321557</v>
      </c>
    </row>
    <row r="55" spans="1:14" x14ac:dyDescent="0.35">
      <c r="A55" s="10">
        <v>50</v>
      </c>
      <c r="B55" s="11">
        <f t="shared" si="6"/>
        <v>578.11730381201005</v>
      </c>
      <c r="C55" s="32">
        <v>1.44</v>
      </c>
      <c r="D55" s="18">
        <v>1</v>
      </c>
      <c r="E55" s="33">
        <v>1.6E-2</v>
      </c>
      <c r="F55" s="17">
        <f t="shared" si="3"/>
        <v>5.7896545988413095</v>
      </c>
      <c r="G55" s="34">
        <f t="shared" si="0"/>
        <v>6.9281577688831293</v>
      </c>
      <c r="H55" s="16">
        <v>5.0000000000000001E-4</v>
      </c>
      <c r="I55" s="17">
        <f t="shared" si="7"/>
        <v>730.86799092697538</v>
      </c>
      <c r="J55" s="11">
        <f t="shared" si="1"/>
        <v>422.52743235720362</v>
      </c>
      <c r="K55" s="11">
        <f t="shared" si="8"/>
        <v>5.7896545988413095</v>
      </c>
      <c r="L55" s="18">
        <f t="shared" si="2"/>
        <v>60.361061765314801</v>
      </c>
      <c r="M55" s="19">
        <f t="shared" si="4"/>
        <v>1.4433662018506519</v>
      </c>
      <c r="N55" s="11">
        <f t="shared" si="5"/>
        <v>2078.4473306649388</v>
      </c>
    </row>
    <row r="56" spans="1:14" x14ac:dyDescent="0.35">
      <c r="A56" s="10">
        <v>51</v>
      </c>
      <c r="B56" s="11">
        <f t="shared" si="6"/>
        <v>586.44219298690302</v>
      </c>
      <c r="C56" s="32">
        <v>1.44</v>
      </c>
      <c r="D56" s="18">
        <v>1</v>
      </c>
      <c r="E56" s="33">
        <v>1.6E-2</v>
      </c>
      <c r="F56" s="17">
        <f t="shared" si="3"/>
        <v>5.8700891122521739</v>
      </c>
      <c r="G56" s="34">
        <f t="shared" si="0"/>
        <v>7.0279232407550465</v>
      </c>
      <c r="H56" s="16">
        <v>5.0000000000000001E-4</v>
      </c>
      <c r="I56" s="17">
        <f t="shared" si="7"/>
        <v>730.50255693151189</v>
      </c>
      <c r="J56" s="11">
        <f t="shared" si="1"/>
        <v>428.3975214694558</v>
      </c>
      <c r="K56" s="11">
        <f t="shared" si="8"/>
        <v>5.8700891122521739</v>
      </c>
      <c r="L56" s="18">
        <f t="shared" si="2"/>
        <v>61.199645924207971</v>
      </c>
      <c r="M56" s="19">
        <f t="shared" si="4"/>
        <v>1.4641506751573012</v>
      </c>
      <c r="N56" s="11">
        <f t="shared" si="5"/>
        <v>2108.3769722265138</v>
      </c>
    </row>
    <row r="57" spans="1:14" x14ac:dyDescent="0.35">
      <c r="A57" s="10">
        <v>52</v>
      </c>
      <c r="B57" s="11">
        <f t="shared" si="6"/>
        <v>594.88696056591436</v>
      </c>
      <c r="C57" s="32">
        <v>1.44</v>
      </c>
      <c r="D57" s="18">
        <v>1</v>
      </c>
      <c r="E57" s="33">
        <v>1.6E-2</v>
      </c>
      <c r="F57" s="17">
        <f t="shared" si="3"/>
        <v>5.951641086270854</v>
      </c>
      <c r="G57" s="34">
        <f t="shared" si="0"/>
        <v>7.129125335421918</v>
      </c>
      <c r="H57" s="16">
        <v>5.0000000000000001E-4</v>
      </c>
      <c r="I57" s="17">
        <f t="shared" si="7"/>
        <v>730.13730565304616</v>
      </c>
      <c r="J57" s="11">
        <f t="shared" si="1"/>
        <v>434.34916255572665</v>
      </c>
      <c r="K57" s="11">
        <f t="shared" si="8"/>
        <v>5.951641086270854</v>
      </c>
      <c r="L57" s="18">
        <f t="shared" si="2"/>
        <v>62.04988036510381</v>
      </c>
      <c r="M57" s="19">
        <f t="shared" si="4"/>
        <v>1.4852344448795662</v>
      </c>
      <c r="N57" s="11">
        <f t="shared" si="5"/>
        <v>2138.7376006265754</v>
      </c>
    </row>
    <row r="58" spans="1:14" x14ac:dyDescent="0.35">
      <c r="A58" s="10">
        <v>53</v>
      </c>
      <c r="B58" s="11">
        <f t="shared" si="6"/>
        <v>603.45333279806346</v>
      </c>
      <c r="C58" s="32">
        <v>1.44</v>
      </c>
      <c r="D58" s="18">
        <v>1</v>
      </c>
      <c r="E58" s="33">
        <v>1.6E-2</v>
      </c>
      <c r="F58" s="17">
        <f t="shared" si="3"/>
        <v>6.0343260455541099</v>
      </c>
      <c r="G58" s="34">
        <f t="shared" si="0"/>
        <v>7.2317847402519932</v>
      </c>
      <c r="H58" s="16">
        <v>5.0000000000000001E-4</v>
      </c>
      <c r="I58" s="17">
        <f t="shared" si="7"/>
        <v>729.77223700021966</v>
      </c>
      <c r="J58" s="11">
        <f t="shared" si="1"/>
        <v>440.38348860128076</v>
      </c>
      <c r="K58" s="11">
        <f t="shared" si="8"/>
        <v>6.0343260455541099</v>
      </c>
      <c r="L58" s="18">
        <f t="shared" si="2"/>
        <v>62.911926943040108</v>
      </c>
      <c r="M58" s="19">
        <f t="shared" si="4"/>
        <v>1.506621820885832</v>
      </c>
      <c r="N58" s="11">
        <f t="shared" si="5"/>
        <v>2169.535422075598</v>
      </c>
    </row>
    <row r="59" spans="1:14" x14ac:dyDescent="0.35">
      <c r="A59" s="10">
        <v>54</v>
      </c>
      <c r="B59" s="11">
        <f t="shared" si="6"/>
        <v>612.14306079035555</v>
      </c>
      <c r="C59" s="32">
        <v>1.44</v>
      </c>
      <c r="D59" s="18">
        <v>1</v>
      </c>
      <c r="E59" s="33">
        <v>1.6E-2</v>
      </c>
      <c r="F59" s="17">
        <f t="shared" si="3"/>
        <v>6.1181597304399133</v>
      </c>
      <c r="G59" s="34">
        <f t="shared" si="0"/>
        <v>7.3359224405116201</v>
      </c>
      <c r="H59" s="16">
        <v>5.0000000000000001E-4</v>
      </c>
      <c r="I59" s="17">
        <f t="shared" si="7"/>
        <v>729.40735088171959</v>
      </c>
      <c r="J59" s="11">
        <f t="shared" si="1"/>
        <v>446.50164833172067</v>
      </c>
      <c r="K59" s="11">
        <f t="shared" si="8"/>
        <v>6.1181597304399133</v>
      </c>
      <c r="L59" s="18">
        <f t="shared" si="2"/>
        <v>63.785949761674381</v>
      </c>
      <c r="M59" s="19">
        <f t="shared" si="4"/>
        <v>1.5283171751065876</v>
      </c>
      <c r="N59" s="11">
        <f t="shared" si="5"/>
        <v>2200.7767321534861</v>
      </c>
    </row>
    <row r="60" spans="1:14" x14ac:dyDescent="0.35">
      <c r="A60" s="10">
        <v>55</v>
      </c>
      <c r="B60" s="11">
        <f t="shared" si="6"/>
        <v>620.9579208657367</v>
      </c>
      <c r="C60" s="32">
        <v>1.44</v>
      </c>
      <c r="D60" s="18">
        <v>1</v>
      </c>
      <c r="E60" s="33">
        <v>1.6E-2</v>
      </c>
      <c r="F60" s="17">
        <f t="shared" si="3"/>
        <v>6.2031580999429821</v>
      </c>
      <c r="G60" s="34">
        <f t="shared" si="0"/>
        <v>7.4415597236549891</v>
      </c>
      <c r="H60" s="16">
        <v>5.0000000000000001E-4</v>
      </c>
      <c r="I60" s="17">
        <f t="shared" si="7"/>
        <v>729.04264720627873</v>
      </c>
      <c r="J60" s="11">
        <f t="shared" si="1"/>
        <v>452.70480643166366</v>
      </c>
      <c r="K60" s="11">
        <f t="shared" si="8"/>
        <v>6.2031580999429821</v>
      </c>
      <c r="L60" s="18">
        <f t="shared" si="2"/>
        <v>64.672115204523379</v>
      </c>
      <c r="M60" s="19">
        <f t="shared" si="4"/>
        <v>1.5503249424281229</v>
      </c>
      <c r="N60" s="11">
        <f t="shared" si="5"/>
        <v>2232.4679170964969</v>
      </c>
    </row>
    <row r="61" spans="1:14" x14ac:dyDescent="0.35">
      <c r="A61" s="10">
        <v>56</v>
      </c>
      <c r="B61" s="11">
        <f t="shared" si="6"/>
        <v>629.89971492620327</v>
      </c>
      <c r="C61" s="32">
        <v>1.44</v>
      </c>
      <c r="D61" s="18">
        <v>1</v>
      </c>
      <c r="E61" s="33">
        <v>1.6E-2</v>
      </c>
      <c r="F61" s="17">
        <f t="shared" si="3"/>
        <v>6.2893373347937427</v>
      </c>
      <c r="G61" s="34">
        <f t="shared" si="0"/>
        <v>7.5487181836756205</v>
      </c>
      <c r="H61" s="16">
        <v>5.0000000000000001E-4</v>
      </c>
      <c r="I61" s="17">
        <f t="shared" si="7"/>
        <v>728.67812588267554</v>
      </c>
      <c r="J61" s="11">
        <f t="shared" si="1"/>
        <v>458.9941437664574</v>
      </c>
      <c r="K61" s="11">
        <f t="shared" si="8"/>
        <v>6.2893373347937427</v>
      </c>
      <c r="L61" s="18">
        <f t="shared" si="2"/>
        <v>65.570591966636769</v>
      </c>
      <c r="M61" s="19">
        <f t="shared" si="4"/>
        <v>1.5726496215990875</v>
      </c>
      <c r="N61" s="11">
        <f t="shared" si="5"/>
        <v>2264.6154551026862</v>
      </c>
    </row>
    <row r="62" spans="1:14" x14ac:dyDescent="0.35">
      <c r="A62" s="10">
        <v>57</v>
      </c>
      <c r="B62" s="11">
        <f t="shared" si="6"/>
        <v>638.97027082114062</v>
      </c>
      <c r="C62" s="32">
        <v>1.44</v>
      </c>
      <c r="D62" s="18">
        <v>1</v>
      </c>
      <c r="E62" s="33">
        <v>1.6E-2</v>
      </c>
      <c r="F62" s="17">
        <f t="shared" si="3"/>
        <v>6.3767138405186756</v>
      </c>
      <c r="G62" s="34">
        <f t="shared" si="0"/>
        <v>7.6574197255205503</v>
      </c>
      <c r="H62" s="16">
        <v>5.0000000000000001E-4</v>
      </c>
      <c r="I62" s="17">
        <f t="shared" si="7"/>
        <v>728.31378681973422</v>
      </c>
      <c r="J62" s="11">
        <f t="shared" si="1"/>
        <v>465.37085760697607</v>
      </c>
      <c r="K62" s="11">
        <f t="shared" si="8"/>
        <v>6.3767138405186756</v>
      </c>
      <c r="L62" s="18">
        <f t="shared" si="2"/>
        <v>66.481551086710866</v>
      </c>
      <c r="M62" s="19">
        <f t="shared" si="4"/>
        <v>1.5952957761501148</v>
      </c>
      <c r="N62" s="11">
        <f t="shared" si="5"/>
        <v>2297.2259176561656</v>
      </c>
    </row>
    <row r="63" spans="1:14" x14ac:dyDescent="0.35">
      <c r="A63" s="10">
        <v>58</v>
      </c>
      <c r="B63" s="11">
        <f t="shared" si="6"/>
        <v>648.17144272096505</v>
      </c>
      <c r="C63" s="32">
        <v>1.44</v>
      </c>
      <c r="D63" s="18">
        <v>1</v>
      </c>
      <c r="E63" s="33">
        <v>1.6E-2</v>
      </c>
      <c r="F63" s="17">
        <f t="shared" si="3"/>
        <v>6.4653042505622125</v>
      </c>
      <c r="G63" s="34">
        <f t="shared" si="0"/>
        <v>7.7676865695680455</v>
      </c>
      <c r="H63" s="16">
        <v>5.0000000000000001E-4</v>
      </c>
      <c r="I63" s="17">
        <f t="shared" si="7"/>
        <v>727.94962992632441</v>
      </c>
      <c r="J63" s="11">
        <f t="shared" si="1"/>
        <v>471.83616185753829</v>
      </c>
      <c r="K63" s="11">
        <f t="shared" si="8"/>
        <v>6.4653042505622125</v>
      </c>
      <c r="L63" s="18">
        <f t="shared" si="2"/>
        <v>67.405165979648331</v>
      </c>
      <c r="M63" s="19">
        <f t="shared" si="4"/>
        <v>1.6182680353266761</v>
      </c>
      <c r="N63" s="11">
        <f t="shared" si="5"/>
        <v>2330.3059708704136</v>
      </c>
    </row>
    <row r="64" spans="1:14" x14ac:dyDescent="0.35">
      <c r="A64" s="10">
        <v>59</v>
      </c>
      <c r="B64" s="11">
        <f t="shared" si="6"/>
        <v>657.50511149614692</v>
      </c>
      <c r="C64" s="32">
        <v>1.44</v>
      </c>
      <c r="D64" s="18">
        <v>1</v>
      </c>
      <c r="E64" s="33">
        <v>1.6E-2</v>
      </c>
      <c r="F64" s="17">
        <f t="shared" si="3"/>
        <v>6.5551254294543924</v>
      </c>
      <c r="G64" s="34">
        <f t="shared" si="0"/>
        <v>7.8795412561698255</v>
      </c>
      <c r="H64" s="16">
        <v>5.0000000000000001E-4</v>
      </c>
      <c r="I64" s="17">
        <f t="shared" si="7"/>
        <v>727.58565511136123</v>
      </c>
      <c r="J64" s="11">
        <f t="shared" si="1"/>
        <v>478.39128728699268</v>
      </c>
      <c r="K64" s="11">
        <f t="shared" si="8"/>
        <v>6.5551254294543924</v>
      </c>
      <c r="L64" s="18">
        <f t="shared" si="2"/>
        <v>68.341612469570379</v>
      </c>
      <c r="M64" s="19">
        <f t="shared" si="4"/>
        <v>1.6415710950353803</v>
      </c>
      <c r="N64" s="11">
        <f t="shared" si="5"/>
        <v>2363.8623768509478</v>
      </c>
    </row>
    <row r="65" spans="1:14" x14ac:dyDescent="0.35">
      <c r="A65" s="10">
        <v>60</v>
      </c>
      <c r="B65" s="11">
        <f t="shared" si="6"/>
        <v>666.97318510169146</v>
      </c>
      <c r="C65" s="32">
        <v>1.44</v>
      </c>
      <c r="D65" s="18">
        <v>1</v>
      </c>
      <c r="E65" s="33">
        <v>1.6E-2</v>
      </c>
      <c r="F65" s="17">
        <f t="shared" si="3"/>
        <v>6.646194476020753</v>
      </c>
      <c r="G65" s="34">
        <f t="shared" si="0"/>
        <v>7.9930066502586703</v>
      </c>
      <c r="H65" s="16">
        <v>5.0000000000000001E-4</v>
      </c>
      <c r="I65" s="17">
        <f t="shared" si="7"/>
        <v>727.22186228380554</v>
      </c>
      <c r="J65" s="11">
        <f t="shared" si="1"/>
        <v>485.03748176301343</v>
      </c>
      <c r="K65" s="11">
        <f t="shared" si="8"/>
        <v>6.646194476020753</v>
      </c>
      <c r="L65" s="18">
        <f t="shared" si="2"/>
        <v>69.291068823287631</v>
      </c>
      <c r="M65" s="19">
        <f t="shared" si="4"/>
        <v>1.6652097188038897</v>
      </c>
      <c r="N65" s="11">
        <f t="shared" si="5"/>
        <v>2397.901995077601</v>
      </c>
    </row>
    <row r="66" spans="1:14" x14ac:dyDescent="0.35">
      <c r="A66" s="10">
        <v>61</v>
      </c>
      <c r="B66" s="11">
        <f t="shared" si="6"/>
        <v>676.57759896715584</v>
      </c>
      <c r="C66" s="32">
        <v>1.44</v>
      </c>
      <c r="D66" s="18">
        <v>1</v>
      </c>
      <c r="E66" s="33">
        <v>1.6E-2</v>
      </c>
      <c r="F66" s="17">
        <f t="shared" si="3"/>
        <v>6.7385287266371847</v>
      </c>
      <c r="G66" s="34">
        <f t="shared" si="0"/>
        <v>8.1081059460223965</v>
      </c>
      <c r="H66" s="16">
        <v>5.0000000000000001E-4</v>
      </c>
      <c r="I66" s="17">
        <f t="shared" si="7"/>
        <v>726.85825135266361</v>
      </c>
      <c r="J66" s="11">
        <f t="shared" si="1"/>
        <v>491.77601048965062</v>
      </c>
      <c r="K66" s="11">
        <f t="shared" si="8"/>
        <v>6.7385287266371847</v>
      </c>
      <c r="L66" s="18">
        <f t="shared" si="2"/>
        <v>70.253715784235808</v>
      </c>
      <c r="M66" s="19">
        <f t="shared" si="4"/>
        <v>1.689188738754666</v>
      </c>
      <c r="N66" s="11">
        <f t="shared" si="5"/>
        <v>2432.4317838067191</v>
      </c>
    </row>
    <row r="67" spans="1:14" x14ac:dyDescent="0.35">
      <c r="A67" s="10">
        <v>62</v>
      </c>
      <c r="B67" s="11">
        <f t="shared" si="6"/>
        <v>686.32031639228285</v>
      </c>
      <c r="C67" s="32">
        <v>1.44</v>
      </c>
      <c r="D67" s="18">
        <v>1</v>
      </c>
      <c r="E67" s="33">
        <v>1.52E-2</v>
      </c>
      <c r="F67" s="17">
        <f t="shared" si="3"/>
        <v>6.8321457585305438</v>
      </c>
      <c r="G67" s="34">
        <f t="shared" si="0"/>
        <v>7.813619538062861</v>
      </c>
      <c r="H67" s="16">
        <v>5.0000000000000001E-4</v>
      </c>
      <c r="I67" s="17">
        <f t="shared" si="7"/>
        <v>726.49482222698725</v>
      </c>
      <c r="J67" s="11">
        <f t="shared" si="1"/>
        <v>498.60815624818116</v>
      </c>
      <c r="K67" s="11">
        <f t="shared" si="8"/>
        <v>6.8321457585305438</v>
      </c>
      <c r="L67" s="18">
        <f t="shared" si="2"/>
        <v>71.229736606883023</v>
      </c>
      <c r="M67" s="19">
        <f t="shared" si="4"/>
        <v>1.627837403763096</v>
      </c>
      <c r="N67" s="11">
        <f t="shared" si="5"/>
        <v>2344.0858614188583</v>
      </c>
    </row>
    <row r="68" spans="1:14" x14ac:dyDescent="0.35">
      <c r="A68" s="10">
        <v>63</v>
      </c>
      <c r="B68" s="11">
        <f t="shared" si="6"/>
        <v>696.20332894833166</v>
      </c>
      <c r="C68" s="32">
        <v>1.44</v>
      </c>
      <c r="D68" s="18">
        <v>1</v>
      </c>
      <c r="E68" s="33">
        <v>1.52E-2</v>
      </c>
      <c r="F68" s="17">
        <f t="shared" si="3"/>
        <v>6.9270633931246266</v>
      </c>
      <c r="G68" s="34">
        <f t="shared" si="0"/>
        <v>7.9261356594109662</v>
      </c>
      <c r="H68" s="16">
        <v>5.0000000000000001E-4</v>
      </c>
      <c r="I68" s="17">
        <f t="shared" si="7"/>
        <v>726.13157481587371</v>
      </c>
      <c r="J68" s="11">
        <f t="shared" si="1"/>
        <v>505.53521964130579</v>
      </c>
      <c r="K68" s="11">
        <f t="shared" si="8"/>
        <v>6.9270633931246266</v>
      </c>
      <c r="L68" s="18">
        <f t="shared" si="2"/>
        <v>72.21931709161511</v>
      </c>
      <c r="M68" s="19">
        <f t="shared" si="4"/>
        <v>1.6512782623772846</v>
      </c>
      <c r="N68" s="11">
        <f t="shared" si="5"/>
        <v>2377.8406978232897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A8296-4E00-4D32-B205-2567537F2DBE}">
  <dimension ref="A1:N68"/>
  <sheetViews>
    <sheetView zoomScale="77" workbookViewId="0">
      <selection activeCell="N1" sqref="N1:N1048576"/>
    </sheetView>
  </sheetViews>
  <sheetFormatPr baseColWidth="10" defaultRowHeight="14.5" x14ac:dyDescent="0.35"/>
  <cols>
    <col min="13" max="13" width="14.08984375" hidden="1" customWidth="1"/>
    <col min="14" max="14" width="13.08984375" hidden="1" customWidth="1"/>
  </cols>
  <sheetData>
    <row r="1" spans="1:14" x14ac:dyDescent="0.35">
      <c r="A1" s="2" t="s">
        <v>213</v>
      </c>
      <c r="B1" s="2"/>
      <c r="C1" s="2"/>
      <c r="D1" s="2"/>
    </row>
    <row r="3" spans="1:14" x14ac:dyDescent="0.35">
      <c r="A3" s="35" t="s">
        <v>19</v>
      </c>
      <c r="B3" s="36">
        <v>749</v>
      </c>
      <c r="C3" s="36"/>
      <c r="D3" s="36"/>
      <c r="E3" s="35" t="s">
        <v>20</v>
      </c>
      <c r="F3" s="35"/>
      <c r="G3" s="37">
        <v>7</v>
      </c>
      <c r="H3" s="37"/>
      <c r="I3" s="37"/>
    </row>
    <row r="4" spans="1:14" ht="15" thickBot="1" x14ac:dyDescent="0.4"/>
    <row r="5" spans="1:14" ht="29.5" thickBot="1" x14ac:dyDescent="0.4">
      <c r="A5" s="38" t="s">
        <v>21</v>
      </c>
      <c r="B5" s="39" t="s">
        <v>36</v>
      </c>
      <c r="C5" s="39" t="s">
        <v>23</v>
      </c>
      <c r="D5" s="39" t="s">
        <v>24</v>
      </c>
      <c r="E5" s="40" t="s">
        <v>41</v>
      </c>
      <c r="F5" s="39" t="s">
        <v>37</v>
      </c>
      <c r="G5" s="40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39" t="s">
        <v>42</v>
      </c>
      <c r="M5" s="39" t="s">
        <v>33</v>
      </c>
      <c r="N5" s="41" t="s">
        <v>34</v>
      </c>
    </row>
    <row r="6" spans="1:14" x14ac:dyDescent="0.35">
      <c r="A6" s="42">
        <v>1</v>
      </c>
      <c r="B6" s="43">
        <v>264</v>
      </c>
      <c r="C6" s="44">
        <v>2.0089999999999999</v>
      </c>
      <c r="D6" s="44">
        <v>1</v>
      </c>
      <c r="E6" s="45">
        <v>2.06E-2</v>
      </c>
      <c r="F6" s="46"/>
      <c r="G6" s="47">
        <f>B6*E6*B$3/1000</f>
        <v>4.0733616000000001</v>
      </c>
      <c r="H6" s="46">
        <v>5.0000000000000001E-4</v>
      </c>
      <c r="I6" s="48">
        <v>749</v>
      </c>
      <c r="J6" s="43">
        <f>B6*B$3/1000</f>
        <v>197.73599999999999</v>
      </c>
      <c r="K6" s="43"/>
      <c r="L6" s="49">
        <f t="shared" ref="L6:L68" si="0">J6/G$3</f>
        <v>28.247999999999998</v>
      </c>
      <c r="M6" s="50">
        <f>PRODUCT(G6*300/(24*60))</f>
        <v>0.84861699999999995</v>
      </c>
      <c r="N6" s="43">
        <f>M6*60*24</f>
        <v>1222.00848</v>
      </c>
    </row>
    <row r="7" spans="1:14" x14ac:dyDescent="0.35">
      <c r="A7" s="10">
        <v>2</v>
      </c>
      <c r="B7" s="11">
        <f>B6*(1+C6/100)</f>
        <v>269.30376000000001</v>
      </c>
      <c r="C7" s="44">
        <v>2.0089999999999999</v>
      </c>
      <c r="D7" s="44">
        <v>1</v>
      </c>
      <c r="E7" s="13">
        <v>2.06E-2</v>
      </c>
      <c r="F7" s="48">
        <f>K7*D7</f>
        <v>3.9725162400000045</v>
      </c>
      <c r="G7" s="47">
        <f t="shared" ref="G7:G68" si="1">B7*E7*B$3/1000</f>
        <v>4.1551954345440008</v>
      </c>
      <c r="H7" s="46">
        <v>5.0000000000000001E-4</v>
      </c>
      <c r="I7" s="48">
        <f>I6-(I6*H6)</f>
        <v>748.62549999999999</v>
      </c>
      <c r="J7" s="43">
        <f t="shared" ref="J7:J68" si="2">B7*B$3/1000</f>
        <v>201.70851623999999</v>
      </c>
      <c r="K7" s="43">
        <f>J7-J6</f>
        <v>3.9725162400000045</v>
      </c>
      <c r="L7" s="49">
        <f t="shared" si="0"/>
        <v>28.81550232</v>
      </c>
      <c r="M7" s="50">
        <f>PRODUCT(F7*300/(24*60))</f>
        <v>0.82760755000000097</v>
      </c>
      <c r="N7" s="43">
        <f t="shared" ref="N7:N68" si="3">M7*60*24</f>
        <v>1191.7548720000013</v>
      </c>
    </row>
    <row r="8" spans="1:14" x14ac:dyDescent="0.35">
      <c r="A8" s="10">
        <v>3</v>
      </c>
      <c r="B8" s="11">
        <f t="shared" ref="B8:B68" si="4">B7*(1+C7/100)</f>
        <v>274.71407253839999</v>
      </c>
      <c r="C8" s="44">
        <v>2.0089999999999999</v>
      </c>
      <c r="D8" s="44">
        <v>1</v>
      </c>
      <c r="E8" s="13">
        <v>2.06E-2</v>
      </c>
      <c r="F8" s="48">
        <f t="shared" ref="F8:F68" si="5">K8*D8</f>
        <v>4.0523240912615961</v>
      </c>
      <c r="G8" s="47">
        <f t="shared" si="1"/>
        <v>4.23867331082399</v>
      </c>
      <c r="H8" s="46">
        <v>5.0000000000000001E-4</v>
      </c>
      <c r="I8" s="48">
        <f t="shared" ref="I8:I68" si="6">I7-(I7*H7)</f>
        <v>748.25118725000004</v>
      </c>
      <c r="J8" s="43">
        <f t="shared" si="2"/>
        <v>205.76084033126159</v>
      </c>
      <c r="K8" s="43">
        <f t="shared" ref="K8:K68" si="7">J8-J7</f>
        <v>4.0523240912615961</v>
      </c>
      <c r="L8" s="49">
        <f t="shared" si="0"/>
        <v>29.394405761608798</v>
      </c>
      <c r="M8" s="50">
        <f t="shared" ref="M8:M68" si="8">PRODUCT(F8*300/(24*60))</f>
        <v>0.84423418567949915</v>
      </c>
      <c r="N8" s="43">
        <f t="shared" si="3"/>
        <v>1215.6972273784788</v>
      </c>
    </row>
    <row r="9" spans="1:14" x14ac:dyDescent="0.35">
      <c r="A9" s="10">
        <v>4</v>
      </c>
      <c r="B9" s="11">
        <f t="shared" si="4"/>
        <v>280.23307825569646</v>
      </c>
      <c r="C9" s="44">
        <v>2.0089999999999999</v>
      </c>
      <c r="D9" s="44">
        <v>1</v>
      </c>
      <c r="E9" s="13">
        <v>2.06E-2</v>
      </c>
      <c r="F9" s="48">
        <f t="shared" si="5"/>
        <v>4.1337352822550599</v>
      </c>
      <c r="G9" s="47">
        <f t="shared" si="1"/>
        <v>4.3238282576384428</v>
      </c>
      <c r="H9" s="46">
        <v>5.0000000000000001E-4</v>
      </c>
      <c r="I9" s="48">
        <f t="shared" si="6"/>
        <v>747.87706165637508</v>
      </c>
      <c r="J9" s="43">
        <f t="shared" si="2"/>
        <v>209.89457561351665</v>
      </c>
      <c r="K9" s="43">
        <f t="shared" si="7"/>
        <v>4.1337352822550599</v>
      </c>
      <c r="L9" s="49">
        <f t="shared" si="0"/>
        <v>29.98493937335952</v>
      </c>
      <c r="M9" s="50">
        <f t="shared" si="8"/>
        <v>0.86119485046980404</v>
      </c>
      <c r="N9" s="43">
        <f t="shared" si="3"/>
        <v>1240.1205846765179</v>
      </c>
    </row>
    <row r="10" spans="1:14" x14ac:dyDescent="0.35">
      <c r="A10" s="10">
        <v>5</v>
      </c>
      <c r="B10" s="11">
        <f t="shared" si="4"/>
        <v>285.86296079785336</v>
      </c>
      <c r="C10" s="44">
        <v>2.0089999999999999</v>
      </c>
      <c r="D10" s="44">
        <v>1</v>
      </c>
      <c r="E10" s="13">
        <v>2.06E-2</v>
      </c>
      <c r="F10" s="48">
        <f t="shared" si="5"/>
        <v>4.2167820240755134</v>
      </c>
      <c r="G10" s="47">
        <f t="shared" si="1"/>
        <v>4.4106939673343986</v>
      </c>
      <c r="H10" s="46">
        <v>5.0000000000000001E-4</v>
      </c>
      <c r="I10" s="48">
        <f t="shared" si="6"/>
        <v>747.50312312554684</v>
      </c>
      <c r="J10" s="43">
        <f t="shared" si="2"/>
        <v>214.11135763759216</v>
      </c>
      <c r="K10" s="43">
        <f t="shared" si="7"/>
        <v>4.2167820240755134</v>
      </c>
      <c r="L10" s="49">
        <f t="shared" si="0"/>
        <v>30.58733680537031</v>
      </c>
      <c r="M10" s="50">
        <f t="shared" si="8"/>
        <v>0.87849625501573192</v>
      </c>
      <c r="N10" s="43">
        <f t="shared" si="3"/>
        <v>1265.0346072226539</v>
      </c>
    </row>
    <row r="11" spans="1:14" x14ac:dyDescent="0.35">
      <c r="A11" s="10">
        <v>6</v>
      </c>
      <c r="B11" s="11">
        <f t="shared" si="4"/>
        <v>291.60594768028221</v>
      </c>
      <c r="C11" s="44">
        <v>2.0089999999999999</v>
      </c>
      <c r="D11" s="44">
        <v>1</v>
      </c>
      <c r="E11" s="13">
        <v>2.06E-2</v>
      </c>
      <c r="F11" s="48">
        <f t="shared" si="5"/>
        <v>4.3014971749392146</v>
      </c>
      <c r="G11" s="47">
        <f t="shared" si="1"/>
        <v>4.4993048091381471</v>
      </c>
      <c r="H11" s="46">
        <v>5.0000000000000001E-4</v>
      </c>
      <c r="I11" s="48">
        <f t="shared" si="6"/>
        <v>747.12937156398402</v>
      </c>
      <c r="J11" s="43">
        <f t="shared" si="2"/>
        <v>218.41285481253138</v>
      </c>
      <c r="K11" s="43">
        <f t="shared" si="7"/>
        <v>4.3014971749392146</v>
      </c>
      <c r="L11" s="49">
        <f t="shared" si="0"/>
        <v>31.201836401790196</v>
      </c>
      <c r="M11" s="50">
        <f t="shared" si="8"/>
        <v>0.89614524477900315</v>
      </c>
      <c r="N11" s="43">
        <f t="shared" si="3"/>
        <v>1290.4491524817645</v>
      </c>
    </row>
    <row r="12" spans="1:14" x14ac:dyDescent="0.35">
      <c r="A12" s="10">
        <v>7</v>
      </c>
      <c r="B12" s="11">
        <f t="shared" si="4"/>
        <v>297.46431116917904</v>
      </c>
      <c r="C12" s="44">
        <v>2.0089999999999999</v>
      </c>
      <c r="D12" s="44">
        <v>1</v>
      </c>
      <c r="E12" s="13">
        <v>2.06E-2</v>
      </c>
      <c r="F12" s="48">
        <f t="shared" si="5"/>
        <v>4.3879142531837374</v>
      </c>
      <c r="G12" s="47">
        <f t="shared" si="1"/>
        <v>4.5896958427537307</v>
      </c>
      <c r="H12" s="46">
        <v>5.0000000000000001E-4</v>
      </c>
      <c r="I12" s="48">
        <f t="shared" si="6"/>
        <v>746.75580687820207</v>
      </c>
      <c r="J12" s="43">
        <f t="shared" si="2"/>
        <v>222.80076906571512</v>
      </c>
      <c r="K12" s="43">
        <f t="shared" si="7"/>
        <v>4.3879142531837374</v>
      </c>
      <c r="L12" s="49">
        <f t="shared" si="0"/>
        <v>31.828681295102161</v>
      </c>
      <c r="M12" s="50">
        <f t="shared" si="8"/>
        <v>0.91414880274661192</v>
      </c>
      <c r="N12" s="43">
        <f t="shared" si="3"/>
        <v>1316.3742759551212</v>
      </c>
    </row>
    <row r="13" spans="1:14" x14ac:dyDescent="0.35">
      <c r="A13" s="10">
        <v>8</v>
      </c>
      <c r="B13" s="11">
        <f t="shared" si="4"/>
        <v>303.44036918056781</v>
      </c>
      <c r="C13" s="12">
        <v>1.823</v>
      </c>
      <c r="D13" s="44">
        <v>1</v>
      </c>
      <c r="E13" s="13">
        <v>2.06E-2</v>
      </c>
      <c r="F13" s="48">
        <f t="shared" si="5"/>
        <v>4.4760674505301949</v>
      </c>
      <c r="G13" s="47">
        <f t="shared" si="1"/>
        <v>4.6819028322346528</v>
      </c>
      <c r="H13" s="46">
        <v>5.0000000000000001E-4</v>
      </c>
      <c r="I13" s="48">
        <f t="shared" si="6"/>
        <v>746.382428974763</v>
      </c>
      <c r="J13" s="43">
        <f t="shared" si="2"/>
        <v>227.27683651624531</v>
      </c>
      <c r="K13" s="43">
        <f t="shared" si="7"/>
        <v>4.4760674505301949</v>
      </c>
      <c r="L13" s="49">
        <f t="shared" si="0"/>
        <v>32.468119502320761</v>
      </c>
      <c r="M13" s="50">
        <f t="shared" si="8"/>
        <v>0.93251405219379058</v>
      </c>
      <c r="N13" s="43">
        <f t="shared" si="3"/>
        <v>1342.8202351590585</v>
      </c>
    </row>
    <row r="14" spans="1:14" x14ac:dyDescent="0.35">
      <c r="A14" s="10">
        <v>9</v>
      </c>
      <c r="B14" s="11">
        <f t="shared" si="4"/>
        <v>308.97208711072955</v>
      </c>
      <c r="C14" s="12">
        <v>1.823</v>
      </c>
      <c r="D14" s="44">
        <v>1</v>
      </c>
      <c r="E14" s="13">
        <v>2.06E-2</v>
      </c>
      <c r="F14" s="48">
        <f t="shared" si="5"/>
        <v>4.1432567296911316</v>
      </c>
      <c r="G14" s="47">
        <f t="shared" si="1"/>
        <v>4.7672539208662901</v>
      </c>
      <c r="H14" s="46">
        <v>5.0000000000000001E-4</v>
      </c>
      <c r="I14" s="48">
        <f t="shared" si="6"/>
        <v>746.0092377602756</v>
      </c>
      <c r="J14" s="43">
        <f t="shared" si="2"/>
        <v>231.42009324593644</v>
      </c>
      <c r="K14" s="43">
        <f t="shared" si="7"/>
        <v>4.1432567296911316</v>
      </c>
      <c r="L14" s="49">
        <f t="shared" si="0"/>
        <v>33.060013320848064</v>
      </c>
      <c r="M14" s="50">
        <f t="shared" si="8"/>
        <v>0.86317848535231911</v>
      </c>
      <c r="N14" s="43">
        <f t="shared" si="3"/>
        <v>1242.9770189073395</v>
      </c>
    </row>
    <row r="15" spans="1:14" x14ac:dyDescent="0.35">
      <c r="A15" s="10">
        <v>10</v>
      </c>
      <c r="B15" s="11">
        <f t="shared" si="4"/>
        <v>314.60464825875812</v>
      </c>
      <c r="C15" s="12">
        <v>1.823</v>
      </c>
      <c r="D15" s="44">
        <v>1</v>
      </c>
      <c r="E15" s="13">
        <v>1.9E-2</v>
      </c>
      <c r="F15" s="48">
        <f t="shared" si="5"/>
        <v>4.2187882998733812</v>
      </c>
      <c r="G15" s="47">
        <f t="shared" si="1"/>
        <v>4.4771387493703871</v>
      </c>
      <c r="H15" s="46">
        <v>5.0000000000000001E-4</v>
      </c>
      <c r="I15" s="48">
        <f t="shared" si="6"/>
        <v>745.63623314139545</v>
      </c>
      <c r="J15" s="43">
        <f t="shared" si="2"/>
        <v>235.63888154580982</v>
      </c>
      <c r="K15" s="43">
        <f t="shared" si="7"/>
        <v>4.2187882998733812</v>
      </c>
      <c r="L15" s="49">
        <f t="shared" si="0"/>
        <v>33.662697363687116</v>
      </c>
      <c r="M15" s="50">
        <f t="shared" si="8"/>
        <v>0.87891422914028772</v>
      </c>
      <c r="N15" s="43">
        <f t="shared" si="3"/>
        <v>1265.6364899620144</v>
      </c>
    </row>
    <row r="16" spans="1:14" x14ac:dyDescent="0.35">
      <c r="A16" s="10">
        <v>11</v>
      </c>
      <c r="B16" s="11">
        <f t="shared" si="4"/>
        <v>320.33989099651529</v>
      </c>
      <c r="C16" s="12">
        <v>1.823</v>
      </c>
      <c r="D16" s="44">
        <v>1</v>
      </c>
      <c r="E16" s="13">
        <v>1.9E-2</v>
      </c>
      <c r="F16" s="48">
        <f t="shared" si="5"/>
        <v>4.2956968105801252</v>
      </c>
      <c r="G16" s="47">
        <f t="shared" si="1"/>
        <v>4.5587569887714086</v>
      </c>
      <c r="H16" s="46">
        <v>5.0000000000000001E-4</v>
      </c>
      <c r="I16" s="48">
        <f t="shared" si="6"/>
        <v>745.26341502482478</v>
      </c>
      <c r="J16" s="43">
        <f t="shared" si="2"/>
        <v>239.93457835638995</v>
      </c>
      <c r="K16" s="43">
        <f t="shared" si="7"/>
        <v>4.2956968105801252</v>
      </c>
      <c r="L16" s="49">
        <f t="shared" si="0"/>
        <v>34.276368336627137</v>
      </c>
      <c r="M16" s="50">
        <f t="shared" si="8"/>
        <v>0.89493683553752612</v>
      </c>
      <c r="N16" s="43">
        <f t="shared" si="3"/>
        <v>1288.7090431740376</v>
      </c>
    </row>
    <row r="17" spans="1:14" x14ac:dyDescent="0.35">
      <c r="A17" s="10">
        <v>12</v>
      </c>
      <c r="B17" s="11">
        <f t="shared" si="4"/>
        <v>326.17968720938177</v>
      </c>
      <c r="C17" s="12">
        <v>1.823</v>
      </c>
      <c r="D17" s="44">
        <v>1</v>
      </c>
      <c r="E17" s="13">
        <v>1.9E-2</v>
      </c>
      <c r="F17" s="48">
        <f t="shared" si="5"/>
        <v>4.3740073634370162</v>
      </c>
      <c r="G17" s="47">
        <f t="shared" si="1"/>
        <v>4.6418631286767118</v>
      </c>
      <c r="H17" s="46">
        <v>5.0000000000000001E-4</v>
      </c>
      <c r="I17" s="48">
        <f t="shared" si="6"/>
        <v>744.89078331731241</v>
      </c>
      <c r="J17" s="43">
        <f t="shared" si="2"/>
        <v>244.30858571982697</v>
      </c>
      <c r="K17" s="43">
        <f t="shared" si="7"/>
        <v>4.3740073634370162</v>
      </c>
      <c r="L17" s="49">
        <f t="shared" si="0"/>
        <v>34.90122653140385</v>
      </c>
      <c r="M17" s="50">
        <f t="shared" si="8"/>
        <v>0.91125153404937831</v>
      </c>
      <c r="N17" s="43">
        <f t="shared" si="3"/>
        <v>1312.2022090311048</v>
      </c>
    </row>
    <row r="18" spans="1:14" x14ac:dyDescent="0.35">
      <c r="A18" s="10">
        <v>13</v>
      </c>
      <c r="B18" s="11">
        <f t="shared" si="4"/>
        <v>332.12594290720881</v>
      </c>
      <c r="C18" s="12">
        <v>1.823</v>
      </c>
      <c r="D18" s="44">
        <v>1</v>
      </c>
      <c r="E18" s="13">
        <v>1.9E-2</v>
      </c>
      <c r="F18" s="48">
        <f t="shared" si="5"/>
        <v>4.453745517672445</v>
      </c>
      <c r="G18" s="47">
        <f t="shared" si="1"/>
        <v>4.7264842935124891</v>
      </c>
      <c r="H18" s="46">
        <v>5.0000000000000001E-4</v>
      </c>
      <c r="I18" s="48">
        <f t="shared" si="6"/>
        <v>744.51833792565378</v>
      </c>
      <c r="J18" s="43">
        <f t="shared" si="2"/>
        <v>248.76233123749941</v>
      </c>
      <c r="K18" s="43">
        <f t="shared" si="7"/>
        <v>4.453745517672445</v>
      </c>
      <c r="L18" s="49">
        <f t="shared" si="0"/>
        <v>35.537475891071345</v>
      </c>
      <c r="M18" s="50">
        <f t="shared" si="8"/>
        <v>0.92786364951509259</v>
      </c>
      <c r="N18" s="43">
        <f t="shared" si="3"/>
        <v>1336.1236553017334</v>
      </c>
    </row>
    <row r="19" spans="1:14" x14ac:dyDescent="0.35">
      <c r="A19" s="10">
        <v>14</v>
      </c>
      <c r="B19" s="11">
        <f t="shared" si="4"/>
        <v>338.18059884640724</v>
      </c>
      <c r="C19" s="12">
        <v>1.823</v>
      </c>
      <c r="D19" s="44">
        <v>1</v>
      </c>
      <c r="E19" s="13">
        <v>1.9E-2</v>
      </c>
      <c r="F19" s="48">
        <f t="shared" si="5"/>
        <v>4.5349372984595959</v>
      </c>
      <c r="G19" s="47">
        <f t="shared" si="1"/>
        <v>4.8126481021832213</v>
      </c>
      <c r="H19" s="46">
        <v>5.0000000000000001E-4</v>
      </c>
      <c r="I19" s="48">
        <f t="shared" si="6"/>
        <v>744.14607875669094</v>
      </c>
      <c r="J19" s="43">
        <f t="shared" si="2"/>
        <v>253.29726853595901</v>
      </c>
      <c r="K19" s="43">
        <f t="shared" si="7"/>
        <v>4.5349372984595959</v>
      </c>
      <c r="L19" s="49">
        <f t="shared" si="0"/>
        <v>36.185324076565571</v>
      </c>
      <c r="M19" s="50">
        <f t="shared" si="8"/>
        <v>0.94477860384574919</v>
      </c>
      <c r="N19" s="43">
        <f t="shared" si="3"/>
        <v>1360.4811895378789</v>
      </c>
    </row>
    <row r="20" spans="1:14" x14ac:dyDescent="0.35">
      <c r="A20" s="10">
        <v>15</v>
      </c>
      <c r="B20" s="11">
        <f t="shared" si="4"/>
        <v>344.34563116337722</v>
      </c>
      <c r="C20" s="12">
        <v>1.823</v>
      </c>
      <c r="D20" s="44">
        <v>1</v>
      </c>
      <c r="E20" s="13">
        <v>1.9E-2</v>
      </c>
      <c r="F20" s="48">
        <f t="shared" si="5"/>
        <v>4.6176092054105311</v>
      </c>
      <c r="G20" s="47">
        <f t="shared" si="1"/>
        <v>4.9003826770860206</v>
      </c>
      <c r="H20" s="46">
        <v>5.0000000000000001E-4</v>
      </c>
      <c r="I20" s="48">
        <f t="shared" si="6"/>
        <v>743.77400571731255</v>
      </c>
      <c r="J20" s="43">
        <f t="shared" si="2"/>
        <v>257.91487774136954</v>
      </c>
      <c r="K20" s="43">
        <f t="shared" si="7"/>
        <v>4.6176092054105311</v>
      </c>
      <c r="L20" s="49">
        <f t="shared" si="0"/>
        <v>36.84498253448136</v>
      </c>
      <c r="M20" s="50">
        <f t="shared" si="8"/>
        <v>0.96200191779386068</v>
      </c>
      <c r="N20" s="43">
        <f t="shared" si="3"/>
        <v>1385.2827616231593</v>
      </c>
    </row>
    <row r="21" spans="1:14" x14ac:dyDescent="0.35">
      <c r="A21" s="10">
        <v>16</v>
      </c>
      <c r="B21" s="11">
        <f t="shared" si="4"/>
        <v>350.62305201948556</v>
      </c>
      <c r="C21" s="12">
        <v>1.823</v>
      </c>
      <c r="D21" s="44">
        <v>1</v>
      </c>
      <c r="E21" s="13">
        <v>1.9E-2</v>
      </c>
      <c r="F21" s="48">
        <f t="shared" si="5"/>
        <v>4.7017882212251152</v>
      </c>
      <c r="G21" s="47">
        <f t="shared" si="1"/>
        <v>4.9897166532892987</v>
      </c>
      <c r="H21" s="46">
        <v>5.0000000000000001E-4</v>
      </c>
      <c r="I21" s="48">
        <f t="shared" si="6"/>
        <v>743.40211871445388</v>
      </c>
      <c r="J21" s="43">
        <f t="shared" si="2"/>
        <v>262.61666596259465</v>
      </c>
      <c r="K21" s="43">
        <f t="shared" si="7"/>
        <v>4.7017882212251152</v>
      </c>
      <c r="L21" s="49">
        <f t="shared" si="0"/>
        <v>37.51666656608495</v>
      </c>
      <c r="M21" s="50">
        <f t="shared" si="8"/>
        <v>0.97953921275523237</v>
      </c>
      <c r="N21" s="43">
        <f t="shared" si="3"/>
        <v>1410.5364663675346</v>
      </c>
    </row>
    <row r="22" spans="1:14" x14ac:dyDescent="0.35">
      <c r="A22" s="10">
        <v>17</v>
      </c>
      <c r="B22" s="11">
        <f t="shared" si="4"/>
        <v>357.01491025780075</v>
      </c>
      <c r="C22" s="12">
        <v>1.823</v>
      </c>
      <c r="D22" s="44">
        <v>1</v>
      </c>
      <c r="E22" s="13">
        <v>1.9E-2</v>
      </c>
      <c r="F22" s="48">
        <f t="shared" si="5"/>
        <v>4.7875018204981075</v>
      </c>
      <c r="G22" s="47">
        <f t="shared" si="1"/>
        <v>5.0806791878787623</v>
      </c>
      <c r="H22" s="46">
        <v>5.0000000000000001E-4</v>
      </c>
      <c r="I22" s="48">
        <f t="shared" si="6"/>
        <v>743.0304176550967</v>
      </c>
      <c r="J22" s="43">
        <f t="shared" si="2"/>
        <v>267.40416778309276</v>
      </c>
      <c r="K22" s="43">
        <f t="shared" si="7"/>
        <v>4.7875018204981075</v>
      </c>
      <c r="L22" s="49">
        <f t="shared" si="0"/>
        <v>38.200595397584678</v>
      </c>
      <c r="M22" s="50">
        <f t="shared" si="8"/>
        <v>0.99739621260377243</v>
      </c>
      <c r="N22" s="43">
        <f t="shared" si="3"/>
        <v>1436.2505461494322</v>
      </c>
    </row>
    <row r="23" spans="1:14" x14ac:dyDescent="0.35">
      <c r="A23" s="10">
        <v>18</v>
      </c>
      <c r="B23" s="11">
        <f t="shared" si="4"/>
        <v>363.52329207180043</v>
      </c>
      <c r="C23" s="12">
        <v>1.823</v>
      </c>
      <c r="D23" s="44">
        <v>1</v>
      </c>
      <c r="E23" s="13">
        <v>1.9E-2</v>
      </c>
      <c r="F23" s="48">
        <f t="shared" si="5"/>
        <v>4.8747779786857564</v>
      </c>
      <c r="G23" s="47">
        <f t="shared" si="1"/>
        <v>5.173299969473792</v>
      </c>
      <c r="H23" s="46">
        <v>5.0000000000000001E-4</v>
      </c>
      <c r="I23" s="48">
        <f t="shared" si="6"/>
        <v>742.65890244626917</v>
      </c>
      <c r="J23" s="43">
        <f t="shared" si="2"/>
        <v>272.27894576177852</v>
      </c>
      <c r="K23" s="43">
        <f t="shared" si="7"/>
        <v>4.8747779786857564</v>
      </c>
      <c r="L23" s="49">
        <f t="shared" si="0"/>
        <v>38.896992251682647</v>
      </c>
      <c r="M23" s="50">
        <f t="shared" si="8"/>
        <v>1.0155787455595326</v>
      </c>
      <c r="N23" s="43">
        <f t="shared" si="3"/>
        <v>1462.4333936057271</v>
      </c>
    </row>
    <row r="24" spans="1:14" x14ac:dyDescent="0.35">
      <c r="A24" s="10">
        <v>19</v>
      </c>
      <c r="B24" s="11">
        <f t="shared" si="4"/>
        <v>370.15032168626936</v>
      </c>
      <c r="C24" s="12">
        <v>1.823</v>
      </c>
      <c r="D24" s="44">
        <v>1</v>
      </c>
      <c r="E24" s="13">
        <v>1.9E-2</v>
      </c>
      <c r="F24" s="48">
        <f t="shared" si="5"/>
        <v>4.9636451812372684</v>
      </c>
      <c r="G24" s="47">
        <f t="shared" si="1"/>
        <v>5.2676092279172986</v>
      </c>
      <c r="H24" s="46">
        <v>5.0000000000000001E-4</v>
      </c>
      <c r="I24" s="48">
        <f t="shared" si="6"/>
        <v>742.28757299504605</v>
      </c>
      <c r="J24" s="43">
        <f t="shared" si="2"/>
        <v>277.24259094301578</v>
      </c>
      <c r="K24" s="43">
        <f t="shared" si="7"/>
        <v>4.9636451812372684</v>
      </c>
      <c r="L24" s="49">
        <f t="shared" si="0"/>
        <v>39.606084420430825</v>
      </c>
      <c r="M24" s="50">
        <f t="shared" si="8"/>
        <v>1.0340927460910976</v>
      </c>
      <c r="N24" s="43">
        <f t="shared" si="3"/>
        <v>1489.0935543711805</v>
      </c>
    </row>
    <row r="25" spans="1:14" x14ac:dyDescent="0.35">
      <c r="A25" s="10">
        <v>20</v>
      </c>
      <c r="B25" s="11">
        <f t="shared" si="4"/>
        <v>376.89816205061004</v>
      </c>
      <c r="C25" s="12">
        <v>1.823</v>
      </c>
      <c r="D25" s="44">
        <v>1</v>
      </c>
      <c r="E25" s="13">
        <v>1.9E-2</v>
      </c>
      <c r="F25" s="48">
        <f t="shared" si="5"/>
        <v>5.0541324328911514</v>
      </c>
      <c r="G25" s="47">
        <f t="shared" si="1"/>
        <v>5.363637744142232</v>
      </c>
      <c r="H25" s="46">
        <v>5.0000000000000001E-4</v>
      </c>
      <c r="I25" s="48">
        <f t="shared" si="6"/>
        <v>741.91642920854849</v>
      </c>
      <c r="J25" s="43">
        <f t="shared" si="2"/>
        <v>282.29672337590694</v>
      </c>
      <c r="K25" s="43">
        <f t="shared" si="7"/>
        <v>5.0541324328911514</v>
      </c>
      <c r="L25" s="49">
        <f t="shared" si="0"/>
        <v>40.328103339415279</v>
      </c>
      <c r="M25" s="50">
        <f t="shared" si="8"/>
        <v>1.0529442568523233</v>
      </c>
      <c r="N25" s="43">
        <f t="shared" si="3"/>
        <v>1516.2397298673457</v>
      </c>
    </row>
    <row r="26" spans="1:14" x14ac:dyDescent="0.35">
      <c r="A26" s="10">
        <v>21</v>
      </c>
      <c r="B26" s="11">
        <f t="shared" si="4"/>
        <v>383.76901554479264</v>
      </c>
      <c r="C26" s="12">
        <v>1.823</v>
      </c>
      <c r="D26" s="44">
        <v>1</v>
      </c>
      <c r="E26" s="13">
        <v>1.9E-2</v>
      </c>
      <c r="F26" s="48">
        <f t="shared" si="5"/>
        <v>5.1462692671427703</v>
      </c>
      <c r="G26" s="47">
        <f t="shared" si="1"/>
        <v>5.4614168602179438</v>
      </c>
      <c r="H26" s="46">
        <v>5.0000000000000001E-4</v>
      </c>
      <c r="I26" s="48">
        <f t="shared" si="6"/>
        <v>741.54547099394426</v>
      </c>
      <c r="J26" s="43">
        <f t="shared" si="2"/>
        <v>287.44299264304971</v>
      </c>
      <c r="K26" s="43">
        <f t="shared" si="7"/>
        <v>5.1462692671427703</v>
      </c>
      <c r="L26" s="49">
        <f t="shared" si="0"/>
        <v>41.063284663292812</v>
      </c>
      <c r="M26" s="50">
        <f t="shared" si="8"/>
        <v>1.0721394306547438</v>
      </c>
      <c r="N26" s="43">
        <f t="shared" si="3"/>
        <v>1543.8807801428311</v>
      </c>
    </row>
    <row r="27" spans="1:14" x14ac:dyDescent="0.35">
      <c r="A27" s="10">
        <v>22</v>
      </c>
      <c r="B27" s="11">
        <f t="shared" si="4"/>
        <v>390.76512469817419</v>
      </c>
      <c r="C27" s="12">
        <v>1.823</v>
      </c>
      <c r="D27" s="44">
        <v>1</v>
      </c>
      <c r="E27" s="13">
        <v>1.9E-2</v>
      </c>
      <c r="F27" s="48">
        <f t="shared" si="5"/>
        <v>5.2400857558827738</v>
      </c>
      <c r="G27" s="47">
        <f t="shared" si="1"/>
        <v>5.5609784895797176</v>
      </c>
      <c r="H27" s="46">
        <v>5.0000000000000001E-4</v>
      </c>
      <c r="I27" s="48">
        <f t="shared" si="6"/>
        <v>741.17469825844728</v>
      </c>
      <c r="J27" s="43">
        <f t="shared" si="2"/>
        <v>292.68307839893248</v>
      </c>
      <c r="K27" s="43">
        <f t="shared" si="7"/>
        <v>5.2400857558827738</v>
      </c>
      <c r="L27" s="49">
        <f t="shared" si="0"/>
        <v>41.811868342704642</v>
      </c>
      <c r="M27" s="50">
        <f t="shared" si="8"/>
        <v>1.091684532475578</v>
      </c>
      <c r="N27" s="43">
        <f t="shared" si="3"/>
        <v>1572.0257267648321</v>
      </c>
    </row>
    <row r="28" spans="1:14" x14ac:dyDescent="0.35">
      <c r="A28" s="10">
        <v>23</v>
      </c>
      <c r="B28" s="11">
        <f t="shared" si="4"/>
        <v>397.88877292142189</v>
      </c>
      <c r="C28" s="12">
        <v>1.823</v>
      </c>
      <c r="D28" s="44">
        <v>1</v>
      </c>
      <c r="E28" s="13">
        <v>1.9E-2</v>
      </c>
      <c r="F28" s="48">
        <f t="shared" si="5"/>
        <v>5.3356125192125319</v>
      </c>
      <c r="G28" s="47">
        <f t="shared" si="1"/>
        <v>5.6623551274447559</v>
      </c>
      <c r="H28" s="46">
        <v>5.0000000000000001E-4</v>
      </c>
      <c r="I28" s="48">
        <f t="shared" si="6"/>
        <v>740.80411090931807</v>
      </c>
      <c r="J28" s="43">
        <f t="shared" si="2"/>
        <v>298.01869091814501</v>
      </c>
      <c r="K28" s="43">
        <f t="shared" si="7"/>
        <v>5.3356125192125319</v>
      </c>
      <c r="L28" s="49">
        <f t="shared" si="0"/>
        <v>42.574098702592146</v>
      </c>
      <c r="M28" s="50">
        <f t="shared" si="8"/>
        <v>1.1115859415026108</v>
      </c>
      <c r="N28" s="43">
        <f t="shared" si="3"/>
        <v>1600.6837557637596</v>
      </c>
    </row>
    <row r="29" spans="1:14" x14ac:dyDescent="0.35">
      <c r="A29" s="10">
        <v>24</v>
      </c>
      <c r="B29" s="11">
        <f t="shared" si="4"/>
        <v>405.14228525177941</v>
      </c>
      <c r="C29" s="12">
        <v>1.6830000000000001</v>
      </c>
      <c r="D29" s="44">
        <v>1</v>
      </c>
      <c r="E29" s="13">
        <v>1.9E-2</v>
      </c>
      <c r="F29" s="48">
        <f t="shared" si="5"/>
        <v>5.4328807354377773</v>
      </c>
      <c r="G29" s="47">
        <f t="shared" si="1"/>
        <v>5.7655798614180718</v>
      </c>
      <c r="H29" s="46">
        <v>5.0000000000000001E-4</v>
      </c>
      <c r="I29" s="48">
        <f t="shared" si="6"/>
        <v>740.43370885386344</v>
      </c>
      <c r="J29" s="43">
        <f t="shared" si="2"/>
        <v>303.45157165358279</v>
      </c>
      <c r="K29" s="43">
        <f t="shared" si="7"/>
        <v>5.4328807354377773</v>
      </c>
      <c r="L29" s="49">
        <f t="shared" si="0"/>
        <v>43.350224521940397</v>
      </c>
      <c r="M29" s="50">
        <f t="shared" si="8"/>
        <v>1.1318501532162035</v>
      </c>
      <c r="N29" s="43">
        <f t="shared" si="3"/>
        <v>1629.8642206313332</v>
      </c>
    </row>
    <row r="30" spans="1:14" x14ac:dyDescent="0.35">
      <c r="A30" s="10">
        <v>25</v>
      </c>
      <c r="B30" s="11">
        <f t="shared" si="4"/>
        <v>411.96082991256679</v>
      </c>
      <c r="C30" s="12">
        <v>1.6830000000000001</v>
      </c>
      <c r="D30" s="44">
        <v>1</v>
      </c>
      <c r="E30" s="13">
        <v>1.9E-2</v>
      </c>
      <c r="F30" s="48">
        <f t="shared" si="5"/>
        <v>5.107089950929776</v>
      </c>
      <c r="G30" s="47">
        <f t="shared" si="1"/>
        <v>5.8626145704857384</v>
      </c>
      <c r="H30" s="46">
        <v>5.0000000000000001E-4</v>
      </c>
      <c r="I30" s="48">
        <f t="shared" si="6"/>
        <v>740.06349199943645</v>
      </c>
      <c r="J30" s="43">
        <f t="shared" si="2"/>
        <v>308.55866160451257</v>
      </c>
      <c r="K30" s="43">
        <f t="shared" si="7"/>
        <v>5.107089950929776</v>
      </c>
      <c r="L30" s="49">
        <f t="shared" si="0"/>
        <v>44.079808800644649</v>
      </c>
      <c r="M30" s="50">
        <f t="shared" si="8"/>
        <v>1.0639770731103699</v>
      </c>
      <c r="N30" s="43">
        <f t="shared" si="3"/>
        <v>1532.1269852789326</v>
      </c>
    </row>
    <row r="31" spans="1:14" x14ac:dyDescent="0.35">
      <c r="A31" s="10">
        <v>26</v>
      </c>
      <c r="B31" s="11">
        <f t="shared" si="4"/>
        <v>418.89413067999527</v>
      </c>
      <c r="C31" s="12">
        <v>1.6830000000000001</v>
      </c>
      <c r="D31" s="44">
        <v>1</v>
      </c>
      <c r="E31" s="13">
        <v>1.9E-2</v>
      </c>
      <c r="F31" s="48">
        <f t="shared" si="5"/>
        <v>5.1930422748038723</v>
      </c>
      <c r="G31" s="47">
        <f t="shared" si="1"/>
        <v>5.9612823737070126</v>
      </c>
      <c r="H31" s="46">
        <v>5.0000000000000001E-4</v>
      </c>
      <c r="I31" s="48">
        <f t="shared" si="6"/>
        <v>739.69346025343668</v>
      </c>
      <c r="J31" s="43">
        <f t="shared" si="2"/>
        <v>313.75170387931644</v>
      </c>
      <c r="K31" s="43">
        <f t="shared" si="7"/>
        <v>5.1930422748038723</v>
      </c>
      <c r="L31" s="49">
        <f t="shared" si="0"/>
        <v>44.82167198275949</v>
      </c>
      <c r="M31" s="50">
        <f t="shared" si="8"/>
        <v>1.0818838072508068</v>
      </c>
      <c r="N31" s="43">
        <f t="shared" si="3"/>
        <v>1557.9126824411617</v>
      </c>
    </row>
    <row r="32" spans="1:14" x14ac:dyDescent="0.35">
      <c r="A32" s="10">
        <v>27</v>
      </c>
      <c r="B32" s="11">
        <f t="shared" si="4"/>
        <v>425.94411889933957</v>
      </c>
      <c r="C32" s="12">
        <v>1.6830000000000001</v>
      </c>
      <c r="D32" s="44">
        <v>1</v>
      </c>
      <c r="E32" s="13">
        <v>1.9E-2</v>
      </c>
      <c r="F32" s="48">
        <f t="shared" si="5"/>
        <v>5.280441176288889</v>
      </c>
      <c r="G32" s="47">
        <f t="shared" si="1"/>
        <v>6.0616107560565018</v>
      </c>
      <c r="H32" s="46">
        <v>5.0000000000000001E-4</v>
      </c>
      <c r="I32" s="48">
        <f t="shared" si="6"/>
        <v>739.32361352330997</v>
      </c>
      <c r="J32" s="43">
        <f t="shared" si="2"/>
        <v>319.03214505560533</v>
      </c>
      <c r="K32" s="43">
        <f t="shared" si="7"/>
        <v>5.280441176288889</v>
      </c>
      <c r="L32" s="49">
        <f t="shared" si="0"/>
        <v>45.57602072222933</v>
      </c>
      <c r="M32" s="50">
        <f t="shared" si="8"/>
        <v>1.1000919117268519</v>
      </c>
      <c r="N32" s="43">
        <f t="shared" si="3"/>
        <v>1584.1323528866667</v>
      </c>
    </row>
    <row r="33" spans="1:14" x14ac:dyDescent="0.35">
      <c r="A33" s="10">
        <v>28</v>
      </c>
      <c r="B33" s="11">
        <f t="shared" si="4"/>
        <v>433.11275842041539</v>
      </c>
      <c r="C33" s="12">
        <v>1.6830000000000001</v>
      </c>
      <c r="D33" s="44">
        <v>1</v>
      </c>
      <c r="E33" s="13">
        <v>1.9E-2</v>
      </c>
      <c r="F33" s="48">
        <f t="shared" si="5"/>
        <v>5.3693110012857801</v>
      </c>
      <c r="G33" s="47">
        <f t="shared" si="1"/>
        <v>6.1636276650809316</v>
      </c>
      <c r="H33" s="46">
        <v>5.0000000000000001E-4</v>
      </c>
      <c r="I33" s="48">
        <f t="shared" si="6"/>
        <v>738.95395171654832</v>
      </c>
      <c r="J33" s="43">
        <f t="shared" si="2"/>
        <v>324.40145605689111</v>
      </c>
      <c r="K33" s="43">
        <f t="shared" si="7"/>
        <v>5.3693110012857801</v>
      </c>
      <c r="L33" s="49">
        <f t="shared" si="0"/>
        <v>46.343065150984444</v>
      </c>
      <c r="M33" s="50">
        <f t="shared" si="8"/>
        <v>1.1186064586012041</v>
      </c>
      <c r="N33" s="43">
        <f t="shared" si="3"/>
        <v>1610.793300385734</v>
      </c>
    </row>
    <row r="34" spans="1:14" x14ac:dyDescent="0.35">
      <c r="A34" s="10">
        <v>29</v>
      </c>
      <c r="B34" s="11">
        <f t="shared" si="4"/>
        <v>440.40204614463096</v>
      </c>
      <c r="C34" s="12">
        <v>1.6830000000000001</v>
      </c>
      <c r="D34" s="44">
        <v>1</v>
      </c>
      <c r="E34" s="13">
        <v>1.9E-2</v>
      </c>
      <c r="F34" s="48">
        <f t="shared" si="5"/>
        <v>5.4596765054374714</v>
      </c>
      <c r="G34" s="47">
        <f t="shared" si="1"/>
        <v>6.2673615186842424</v>
      </c>
      <c r="H34" s="46">
        <v>5.0000000000000001E-4</v>
      </c>
      <c r="I34" s="48">
        <f t="shared" si="6"/>
        <v>738.5844747406901</v>
      </c>
      <c r="J34" s="43">
        <f t="shared" si="2"/>
        <v>329.86113256232858</v>
      </c>
      <c r="K34" s="43">
        <f t="shared" si="7"/>
        <v>5.4596765054374714</v>
      </c>
      <c r="L34" s="49">
        <f t="shared" si="0"/>
        <v>47.123018937475514</v>
      </c>
      <c r="M34" s="50">
        <f t="shared" si="8"/>
        <v>1.1374326052994732</v>
      </c>
      <c r="N34" s="43">
        <f t="shared" si="3"/>
        <v>1637.9029516312414</v>
      </c>
    </row>
    <row r="35" spans="1:14" x14ac:dyDescent="0.35">
      <c r="A35" s="10">
        <v>30</v>
      </c>
      <c r="B35" s="11">
        <f t="shared" si="4"/>
        <v>447.81401258124504</v>
      </c>
      <c r="C35" s="12">
        <v>1.6830000000000001</v>
      </c>
      <c r="D35" s="44">
        <v>1</v>
      </c>
      <c r="E35" s="13">
        <v>1.9E-2</v>
      </c>
      <c r="F35" s="48">
        <f t="shared" si="5"/>
        <v>5.5515628610239673</v>
      </c>
      <c r="G35" s="47">
        <f t="shared" si="1"/>
        <v>6.3728412130436984</v>
      </c>
      <c r="H35" s="46">
        <v>5.0000000000000001E-4</v>
      </c>
      <c r="I35" s="48">
        <f t="shared" si="6"/>
        <v>738.21518250331974</v>
      </c>
      <c r="J35" s="43">
        <f t="shared" si="2"/>
        <v>335.41269542335255</v>
      </c>
      <c r="K35" s="43">
        <f t="shared" si="7"/>
        <v>5.5515628610239673</v>
      </c>
      <c r="L35" s="49">
        <f t="shared" si="0"/>
        <v>47.916099346193221</v>
      </c>
      <c r="M35" s="50">
        <f t="shared" si="8"/>
        <v>1.1565755960466599</v>
      </c>
      <c r="N35" s="43">
        <f t="shared" si="3"/>
        <v>1665.4688583071902</v>
      </c>
    </row>
    <row r="36" spans="1:14" x14ac:dyDescent="0.35">
      <c r="A36" s="10">
        <v>31</v>
      </c>
      <c r="B36" s="11">
        <f t="shared" si="4"/>
        <v>455.35072241298735</v>
      </c>
      <c r="C36" s="12">
        <v>1.6830000000000001</v>
      </c>
      <c r="D36" s="44">
        <v>1</v>
      </c>
      <c r="E36" s="13">
        <v>1.9E-2</v>
      </c>
      <c r="F36" s="48">
        <f t="shared" si="5"/>
        <v>5.6449956639750098</v>
      </c>
      <c r="G36" s="47">
        <f t="shared" si="1"/>
        <v>6.4800961306592226</v>
      </c>
      <c r="H36" s="46">
        <v>5.0000000000000001E-4</v>
      </c>
      <c r="I36" s="48">
        <f t="shared" si="6"/>
        <v>737.84607491206805</v>
      </c>
      <c r="J36" s="43">
        <f t="shared" si="2"/>
        <v>341.05769108732756</v>
      </c>
      <c r="K36" s="43">
        <f t="shared" si="7"/>
        <v>5.6449956639750098</v>
      </c>
      <c r="L36" s="49">
        <f t="shared" si="0"/>
        <v>48.722527298189654</v>
      </c>
      <c r="M36" s="50">
        <f t="shared" si="8"/>
        <v>1.1760407633281271</v>
      </c>
      <c r="N36" s="43">
        <f t="shared" si="3"/>
        <v>1693.498699192503</v>
      </c>
    </row>
    <row r="37" spans="1:14" x14ac:dyDescent="0.35">
      <c r="A37" s="10">
        <v>32</v>
      </c>
      <c r="B37" s="11">
        <f t="shared" si="4"/>
        <v>463.01427507119786</v>
      </c>
      <c r="C37" s="12">
        <v>1.6830000000000001</v>
      </c>
      <c r="D37" s="44">
        <v>1</v>
      </c>
      <c r="E37" s="13">
        <v>1.7299999999999999E-2</v>
      </c>
      <c r="F37" s="48">
        <f t="shared" si="5"/>
        <v>5.7400009409996642</v>
      </c>
      <c r="G37" s="47">
        <f t="shared" si="1"/>
        <v>5.9996000720900602</v>
      </c>
      <c r="H37" s="46">
        <v>5.0000000000000001E-4</v>
      </c>
      <c r="I37" s="48">
        <f t="shared" si="6"/>
        <v>737.47715187461199</v>
      </c>
      <c r="J37" s="43">
        <f t="shared" si="2"/>
        <v>346.79769202832722</v>
      </c>
      <c r="K37" s="43">
        <f t="shared" si="7"/>
        <v>5.7400009409996642</v>
      </c>
      <c r="L37" s="49">
        <f t="shared" si="0"/>
        <v>49.542527432618172</v>
      </c>
      <c r="M37" s="50">
        <f t="shared" si="8"/>
        <v>1.19583352937493</v>
      </c>
      <c r="N37" s="43">
        <f t="shared" si="3"/>
        <v>1722.0002822998993</v>
      </c>
    </row>
    <row r="38" spans="1:14" x14ac:dyDescent="0.35">
      <c r="A38" s="10">
        <v>33</v>
      </c>
      <c r="B38" s="11">
        <f t="shared" si="4"/>
        <v>470.80680532064605</v>
      </c>
      <c r="C38" s="12">
        <v>1.6830000000000001</v>
      </c>
      <c r="D38" s="44">
        <v>1</v>
      </c>
      <c r="E38" s="13">
        <v>1.7299999999999999E-2</v>
      </c>
      <c r="F38" s="48">
        <f t="shared" si="5"/>
        <v>5.8366051568366402</v>
      </c>
      <c r="G38" s="47">
        <f t="shared" si="1"/>
        <v>6.1005733413033347</v>
      </c>
      <c r="H38" s="46">
        <v>5.0000000000000001E-4</v>
      </c>
      <c r="I38" s="48">
        <f t="shared" si="6"/>
        <v>737.10841329867469</v>
      </c>
      <c r="J38" s="43">
        <f t="shared" si="2"/>
        <v>352.63429718516386</v>
      </c>
      <c r="K38" s="43">
        <f t="shared" si="7"/>
        <v>5.8366051568366402</v>
      </c>
      <c r="L38" s="49">
        <f t="shared" si="0"/>
        <v>50.376328169309126</v>
      </c>
      <c r="M38" s="50">
        <f t="shared" si="8"/>
        <v>1.2159594076743001</v>
      </c>
      <c r="N38" s="43">
        <f t="shared" si="3"/>
        <v>1750.981547050992</v>
      </c>
    </row>
    <row r="39" spans="1:14" x14ac:dyDescent="0.35">
      <c r="A39" s="10">
        <v>34</v>
      </c>
      <c r="B39" s="11">
        <f t="shared" si="4"/>
        <v>478.73048385419247</v>
      </c>
      <c r="C39" s="12">
        <v>1.6830000000000001</v>
      </c>
      <c r="D39" s="44">
        <v>1</v>
      </c>
      <c r="E39" s="13">
        <v>1.7299999999999999E-2</v>
      </c>
      <c r="F39" s="48">
        <f t="shared" si="5"/>
        <v>5.9348352216263152</v>
      </c>
      <c r="G39" s="47">
        <f t="shared" si="1"/>
        <v>6.2032459906374706</v>
      </c>
      <c r="H39" s="46">
        <v>5.0000000000000001E-4</v>
      </c>
      <c r="I39" s="48">
        <f t="shared" si="6"/>
        <v>736.73985909202531</v>
      </c>
      <c r="J39" s="43">
        <f t="shared" si="2"/>
        <v>358.56913240679017</v>
      </c>
      <c r="K39" s="43">
        <f t="shared" si="7"/>
        <v>5.9348352216263152</v>
      </c>
      <c r="L39" s="49">
        <f t="shared" si="0"/>
        <v>51.224161772398595</v>
      </c>
      <c r="M39" s="50">
        <f t="shared" si="8"/>
        <v>1.2364240045054824</v>
      </c>
      <c r="N39" s="43">
        <f t="shared" si="3"/>
        <v>1780.4505664878945</v>
      </c>
    </row>
    <row r="40" spans="1:14" x14ac:dyDescent="0.35">
      <c r="A40" s="10">
        <v>35</v>
      </c>
      <c r="B40" s="11">
        <f t="shared" si="4"/>
        <v>486.78751789745849</v>
      </c>
      <c r="C40" s="12">
        <v>1.6830000000000001</v>
      </c>
      <c r="D40" s="44">
        <v>1</v>
      </c>
      <c r="E40" s="13">
        <v>1.7299999999999999E-2</v>
      </c>
      <c r="F40" s="48">
        <f t="shared" si="5"/>
        <v>6.034718498406221</v>
      </c>
      <c r="G40" s="47">
        <f t="shared" si="1"/>
        <v>6.3076466206598978</v>
      </c>
      <c r="H40" s="46">
        <v>5.0000000000000001E-4</v>
      </c>
      <c r="I40" s="48">
        <f t="shared" si="6"/>
        <v>736.37148916247929</v>
      </c>
      <c r="J40" s="43">
        <f t="shared" si="2"/>
        <v>364.6038509051964</v>
      </c>
      <c r="K40" s="43">
        <f t="shared" si="7"/>
        <v>6.034718498406221</v>
      </c>
      <c r="L40" s="49">
        <f t="shared" si="0"/>
        <v>52.086264415028054</v>
      </c>
      <c r="M40" s="50">
        <f t="shared" si="8"/>
        <v>1.257233020501296</v>
      </c>
      <c r="N40" s="43">
        <f t="shared" si="3"/>
        <v>1810.4155495218663</v>
      </c>
    </row>
    <row r="41" spans="1:14" x14ac:dyDescent="0.35">
      <c r="A41" s="10">
        <v>36</v>
      </c>
      <c r="B41" s="11">
        <f t="shared" si="4"/>
        <v>494.98015182367266</v>
      </c>
      <c r="C41" s="12">
        <v>1.6830000000000001</v>
      </c>
      <c r="D41" s="44">
        <v>1</v>
      </c>
      <c r="E41" s="13">
        <v>1.7299999999999999E-2</v>
      </c>
      <c r="F41" s="48">
        <f t="shared" si="5"/>
        <v>6.1362828107344285</v>
      </c>
      <c r="G41" s="47">
        <f t="shared" si="1"/>
        <v>6.4138043132856026</v>
      </c>
      <c r="H41" s="46">
        <v>5.0000000000000001E-4</v>
      </c>
      <c r="I41" s="48">
        <f t="shared" si="6"/>
        <v>736.00330341789811</v>
      </c>
      <c r="J41" s="43">
        <f t="shared" si="2"/>
        <v>370.74013371593082</v>
      </c>
      <c r="K41" s="43">
        <f t="shared" si="7"/>
        <v>6.1362828107344285</v>
      </c>
      <c r="L41" s="49">
        <f t="shared" si="0"/>
        <v>52.962876245132975</v>
      </c>
      <c r="M41" s="50">
        <f t="shared" si="8"/>
        <v>1.2783922522363393</v>
      </c>
      <c r="N41" s="43">
        <f t="shared" si="3"/>
        <v>1840.8848432203285</v>
      </c>
    </row>
    <row r="42" spans="1:14" x14ac:dyDescent="0.35">
      <c r="A42" s="10">
        <v>37</v>
      </c>
      <c r="B42" s="11">
        <f t="shared" si="4"/>
        <v>503.31066777886502</v>
      </c>
      <c r="C42" s="12">
        <v>1.5720000000000001</v>
      </c>
      <c r="D42" s="44">
        <v>1</v>
      </c>
      <c r="E42" s="13">
        <v>1.7299999999999999E-2</v>
      </c>
      <c r="F42" s="48">
        <f t="shared" si="5"/>
        <v>6.2395564504390677</v>
      </c>
      <c r="G42" s="47">
        <f t="shared" si="1"/>
        <v>6.521748639878199</v>
      </c>
      <c r="H42" s="46">
        <v>5.0000000000000001E-4</v>
      </c>
      <c r="I42" s="48">
        <f t="shared" si="6"/>
        <v>735.63530176618917</v>
      </c>
      <c r="J42" s="43">
        <f t="shared" si="2"/>
        <v>376.97969016636989</v>
      </c>
      <c r="K42" s="43">
        <f t="shared" si="7"/>
        <v>6.2395564504390677</v>
      </c>
      <c r="L42" s="49">
        <f t="shared" si="0"/>
        <v>53.854241452338556</v>
      </c>
      <c r="M42" s="50">
        <f t="shared" si="8"/>
        <v>1.2999075938414724</v>
      </c>
      <c r="N42" s="43">
        <f t="shared" si="3"/>
        <v>1871.8669351317203</v>
      </c>
    </row>
    <row r="43" spans="1:14" x14ac:dyDescent="0.35">
      <c r="A43" s="10">
        <v>38</v>
      </c>
      <c r="B43" s="11">
        <f t="shared" si="4"/>
        <v>511.22271147634876</v>
      </c>
      <c r="C43" s="12">
        <v>1.5720000000000001</v>
      </c>
      <c r="D43" s="44">
        <v>1</v>
      </c>
      <c r="E43" s="13">
        <v>1.7299999999999999E-2</v>
      </c>
      <c r="F43" s="48">
        <f t="shared" si="5"/>
        <v>5.9261207294153451</v>
      </c>
      <c r="G43" s="47">
        <f t="shared" si="1"/>
        <v>6.6242705284970844</v>
      </c>
      <c r="H43" s="46">
        <v>5.0000000000000001E-4</v>
      </c>
      <c r="I43" s="48">
        <f t="shared" si="6"/>
        <v>735.26748411530605</v>
      </c>
      <c r="J43" s="43">
        <f t="shared" si="2"/>
        <v>382.90581089578524</v>
      </c>
      <c r="K43" s="43">
        <f t="shared" si="7"/>
        <v>5.9261207294153451</v>
      </c>
      <c r="L43" s="49">
        <f t="shared" si="0"/>
        <v>54.700830127969319</v>
      </c>
      <c r="M43" s="50">
        <f t="shared" si="8"/>
        <v>1.2346084852948636</v>
      </c>
      <c r="N43" s="43">
        <f t="shared" si="3"/>
        <v>1777.8362188246035</v>
      </c>
    </row>
    <row r="44" spans="1:14" x14ac:dyDescent="0.35">
      <c r="A44" s="10">
        <v>39</v>
      </c>
      <c r="B44" s="11">
        <f t="shared" si="4"/>
        <v>519.25913250075689</v>
      </c>
      <c r="C44" s="12">
        <v>1.5720000000000001</v>
      </c>
      <c r="D44" s="44">
        <v>1</v>
      </c>
      <c r="E44" s="13">
        <v>1.7299999999999999E-2</v>
      </c>
      <c r="F44" s="48">
        <f t="shared" si="5"/>
        <v>6.0192793472816675</v>
      </c>
      <c r="G44" s="47">
        <f t="shared" si="1"/>
        <v>6.7284040612050573</v>
      </c>
      <c r="H44" s="46">
        <v>5.0000000000000001E-4</v>
      </c>
      <c r="I44" s="48">
        <f t="shared" si="6"/>
        <v>734.89985037324834</v>
      </c>
      <c r="J44" s="43">
        <f t="shared" si="2"/>
        <v>388.9250902430669</v>
      </c>
      <c r="K44" s="43">
        <f t="shared" si="7"/>
        <v>6.0192793472816675</v>
      </c>
      <c r="L44" s="49">
        <f t="shared" si="0"/>
        <v>55.560727177580986</v>
      </c>
      <c r="M44" s="50">
        <f t="shared" si="8"/>
        <v>1.2540165306836808</v>
      </c>
      <c r="N44" s="43">
        <f t="shared" si="3"/>
        <v>1805.7838041845002</v>
      </c>
    </row>
    <row r="45" spans="1:14" x14ac:dyDescent="0.35">
      <c r="A45" s="10">
        <v>40</v>
      </c>
      <c r="B45" s="11">
        <f t="shared" si="4"/>
        <v>527.42188606366881</v>
      </c>
      <c r="C45" s="12">
        <v>1.5720000000000001</v>
      </c>
      <c r="D45" s="44">
        <v>1</v>
      </c>
      <c r="E45" s="13">
        <v>1.7299999999999999E-2</v>
      </c>
      <c r="F45" s="48">
        <f t="shared" si="5"/>
        <v>6.1139024186210236</v>
      </c>
      <c r="G45" s="47">
        <f t="shared" si="1"/>
        <v>6.8341745730472008</v>
      </c>
      <c r="H45" s="46">
        <v>5.0000000000000001E-4</v>
      </c>
      <c r="I45" s="48">
        <f t="shared" si="6"/>
        <v>734.53240044806171</v>
      </c>
      <c r="J45" s="43">
        <f t="shared" si="2"/>
        <v>395.03899266168793</v>
      </c>
      <c r="K45" s="43">
        <f t="shared" si="7"/>
        <v>6.1139024186210236</v>
      </c>
      <c r="L45" s="49">
        <f t="shared" si="0"/>
        <v>56.434141808812562</v>
      </c>
      <c r="M45" s="50">
        <f t="shared" si="8"/>
        <v>1.2737296705460466</v>
      </c>
      <c r="N45" s="43">
        <f t="shared" si="3"/>
        <v>1834.1707255863071</v>
      </c>
    </row>
    <row r="46" spans="1:14" x14ac:dyDescent="0.35">
      <c r="A46" s="10">
        <v>41</v>
      </c>
      <c r="B46" s="11">
        <f t="shared" si="4"/>
        <v>535.7129581125896</v>
      </c>
      <c r="C46" s="12">
        <v>1.5720000000000001</v>
      </c>
      <c r="D46" s="44">
        <v>1</v>
      </c>
      <c r="E46" s="13">
        <v>1.7299999999999999E-2</v>
      </c>
      <c r="F46" s="48">
        <f t="shared" si="5"/>
        <v>6.2100129646416917</v>
      </c>
      <c r="G46" s="47">
        <f t="shared" si="1"/>
        <v>6.941607797335501</v>
      </c>
      <c r="H46" s="46">
        <v>5.0000000000000001E-4</v>
      </c>
      <c r="I46" s="48">
        <f t="shared" si="6"/>
        <v>734.16513424783773</v>
      </c>
      <c r="J46" s="43">
        <f t="shared" si="2"/>
        <v>401.24900562632962</v>
      </c>
      <c r="K46" s="43">
        <f t="shared" si="7"/>
        <v>6.2100129646416917</v>
      </c>
      <c r="L46" s="49">
        <f t="shared" si="0"/>
        <v>57.321286518047089</v>
      </c>
      <c r="M46" s="50">
        <f t="shared" si="8"/>
        <v>1.2937527009670191</v>
      </c>
      <c r="N46" s="43">
        <f t="shared" si="3"/>
        <v>1863.0038893925075</v>
      </c>
    </row>
    <row r="47" spans="1:14" x14ac:dyDescent="0.35">
      <c r="A47" s="10">
        <v>42</v>
      </c>
      <c r="B47" s="11">
        <f t="shared" si="4"/>
        <v>544.13436581411952</v>
      </c>
      <c r="C47" s="12">
        <v>1.5720000000000001</v>
      </c>
      <c r="D47" s="44">
        <v>1</v>
      </c>
      <c r="E47" s="13">
        <v>1.7299999999999999E-2</v>
      </c>
      <c r="F47" s="48">
        <f t="shared" si="5"/>
        <v>6.3076343684459175</v>
      </c>
      <c r="G47" s="47">
        <f t="shared" si="1"/>
        <v>7.0507298719096161</v>
      </c>
      <c r="H47" s="46">
        <v>5.0000000000000001E-4</v>
      </c>
      <c r="I47" s="48">
        <f t="shared" si="6"/>
        <v>733.7980516807138</v>
      </c>
      <c r="J47" s="43">
        <f t="shared" si="2"/>
        <v>407.55663999477554</v>
      </c>
      <c r="K47" s="43">
        <f t="shared" si="7"/>
        <v>6.3076343684459175</v>
      </c>
      <c r="L47" s="49">
        <f t="shared" si="0"/>
        <v>58.222377142110794</v>
      </c>
      <c r="M47" s="50">
        <f t="shared" si="8"/>
        <v>1.3140904934262327</v>
      </c>
      <c r="N47" s="43">
        <f t="shared" si="3"/>
        <v>1892.2903105337753</v>
      </c>
    </row>
    <row r="48" spans="1:14" x14ac:dyDescent="0.35">
      <c r="A48" s="10">
        <v>43</v>
      </c>
      <c r="B48" s="11">
        <f t="shared" si="4"/>
        <v>552.68815804471751</v>
      </c>
      <c r="C48" s="12">
        <v>1.5720000000000001</v>
      </c>
      <c r="D48" s="44">
        <v>1</v>
      </c>
      <c r="E48" s="13">
        <v>1.7299999999999999E-2</v>
      </c>
      <c r="F48" s="48">
        <f t="shared" si="5"/>
        <v>6.4067903807178936</v>
      </c>
      <c r="G48" s="47">
        <f t="shared" si="1"/>
        <v>7.161567345496036</v>
      </c>
      <c r="H48" s="46">
        <v>5.0000000000000001E-4</v>
      </c>
      <c r="I48" s="48">
        <f t="shared" si="6"/>
        <v>733.43115265487347</v>
      </c>
      <c r="J48" s="43">
        <f t="shared" si="2"/>
        <v>413.96343037549343</v>
      </c>
      <c r="K48" s="43">
        <f t="shared" si="7"/>
        <v>6.4067903807178936</v>
      </c>
      <c r="L48" s="49">
        <f t="shared" si="0"/>
        <v>59.137632910784774</v>
      </c>
      <c r="M48" s="50">
        <f t="shared" si="8"/>
        <v>1.3347479959828945</v>
      </c>
      <c r="N48" s="43">
        <f t="shared" si="3"/>
        <v>1922.0371142153681</v>
      </c>
    </row>
    <row r="49" spans="1:14" x14ac:dyDescent="0.35">
      <c r="A49" s="10">
        <v>44</v>
      </c>
      <c r="B49" s="11">
        <f t="shared" si="4"/>
        <v>561.37641588918041</v>
      </c>
      <c r="C49" s="12">
        <v>1.5720000000000001</v>
      </c>
      <c r="D49" s="44">
        <v>1</v>
      </c>
      <c r="E49" s="13">
        <v>1.7299999999999999E-2</v>
      </c>
      <c r="F49" s="48">
        <f t="shared" si="5"/>
        <v>6.5075051255026892</v>
      </c>
      <c r="G49" s="47">
        <f t="shared" si="1"/>
        <v>7.2741471841672327</v>
      </c>
      <c r="H49" s="46">
        <v>5.0000000000000001E-4</v>
      </c>
      <c r="I49" s="48">
        <f t="shared" si="6"/>
        <v>733.06443707854601</v>
      </c>
      <c r="J49" s="43">
        <f t="shared" si="2"/>
        <v>420.47093550099612</v>
      </c>
      <c r="K49" s="43">
        <f t="shared" si="7"/>
        <v>6.5075051255026892</v>
      </c>
      <c r="L49" s="49">
        <f t="shared" si="0"/>
        <v>60.067276500142306</v>
      </c>
      <c r="M49" s="50">
        <f t="shared" si="8"/>
        <v>1.3557302344797268</v>
      </c>
      <c r="N49" s="43">
        <f t="shared" si="3"/>
        <v>1952.2515376508068</v>
      </c>
    </row>
    <row r="50" spans="1:14" x14ac:dyDescent="0.35">
      <c r="A50" s="10">
        <v>45</v>
      </c>
      <c r="B50" s="11">
        <f t="shared" si="4"/>
        <v>570.20125314695827</v>
      </c>
      <c r="C50" s="12">
        <v>1.5720000000000001</v>
      </c>
      <c r="D50" s="44">
        <v>1</v>
      </c>
      <c r="E50" s="13">
        <v>1.7299999999999999E-2</v>
      </c>
      <c r="F50" s="48">
        <f t="shared" si="5"/>
        <v>6.6098031060756171</v>
      </c>
      <c r="G50" s="47">
        <f t="shared" si="1"/>
        <v>7.3884967779023407</v>
      </c>
      <c r="H50" s="46">
        <v>5.0000000000000001E-4</v>
      </c>
      <c r="I50" s="48">
        <f t="shared" si="6"/>
        <v>732.6979048600067</v>
      </c>
      <c r="J50" s="43">
        <f t="shared" si="2"/>
        <v>427.08073860707174</v>
      </c>
      <c r="K50" s="43">
        <f t="shared" si="7"/>
        <v>6.6098031060756171</v>
      </c>
      <c r="L50" s="49">
        <f t="shared" si="0"/>
        <v>61.011534086724531</v>
      </c>
      <c r="M50" s="50">
        <f t="shared" si="8"/>
        <v>1.3770423137657535</v>
      </c>
      <c r="N50" s="43">
        <f t="shared" si="3"/>
        <v>1982.9409318226851</v>
      </c>
    </row>
    <row r="51" spans="1:14" x14ac:dyDescent="0.35">
      <c r="A51" s="10">
        <v>46</v>
      </c>
      <c r="B51" s="11">
        <f t="shared" si="4"/>
        <v>579.16481684642838</v>
      </c>
      <c r="C51" s="12">
        <v>1.5720000000000001</v>
      </c>
      <c r="D51" s="44">
        <v>1</v>
      </c>
      <c r="E51" s="13">
        <v>1.7299999999999999E-2</v>
      </c>
      <c r="F51" s="48">
        <f t="shared" si="5"/>
        <v>6.7137092109031187</v>
      </c>
      <c r="G51" s="47">
        <f t="shared" si="1"/>
        <v>7.5046439472509645</v>
      </c>
      <c r="H51" s="46">
        <v>5.0000000000000001E-4</v>
      </c>
      <c r="I51" s="48">
        <f t="shared" si="6"/>
        <v>732.33155590757667</v>
      </c>
      <c r="J51" s="43">
        <f t="shared" si="2"/>
        <v>433.79444781797486</v>
      </c>
      <c r="K51" s="43">
        <f t="shared" si="7"/>
        <v>6.7137092109031187</v>
      </c>
      <c r="L51" s="49">
        <f t="shared" si="0"/>
        <v>61.970635402567837</v>
      </c>
      <c r="M51" s="50">
        <f t="shared" si="8"/>
        <v>1.3986894189381498</v>
      </c>
      <c r="N51" s="43">
        <f t="shared" si="3"/>
        <v>2014.1127632709356</v>
      </c>
    </row>
    <row r="52" spans="1:14" x14ac:dyDescent="0.35">
      <c r="A52" s="10">
        <v>47</v>
      </c>
      <c r="B52" s="11">
        <f t="shared" si="4"/>
        <v>588.26928776725424</v>
      </c>
      <c r="C52" s="12">
        <v>1.5720000000000001</v>
      </c>
      <c r="D52" s="44">
        <v>1</v>
      </c>
      <c r="E52" s="13">
        <v>1.7299999999999999E-2</v>
      </c>
      <c r="F52" s="48">
        <f t="shared" si="5"/>
        <v>6.819248719698578</v>
      </c>
      <c r="G52" s="47">
        <f t="shared" si="1"/>
        <v>7.62261695010175</v>
      </c>
      <c r="H52" s="46">
        <v>5.0000000000000001E-4</v>
      </c>
      <c r="I52" s="48">
        <f t="shared" si="6"/>
        <v>731.96539012962285</v>
      </c>
      <c r="J52" s="43">
        <f t="shared" si="2"/>
        <v>440.61369653767343</v>
      </c>
      <c r="K52" s="43">
        <f t="shared" si="7"/>
        <v>6.819248719698578</v>
      </c>
      <c r="L52" s="49">
        <f t="shared" si="0"/>
        <v>62.944813791096202</v>
      </c>
      <c r="M52" s="50">
        <f t="shared" si="8"/>
        <v>1.4206768166038704</v>
      </c>
      <c r="N52" s="43">
        <f t="shared" si="3"/>
        <v>2045.7746159095734</v>
      </c>
    </row>
    <row r="53" spans="1:14" x14ac:dyDescent="0.35">
      <c r="A53" s="10">
        <v>48</v>
      </c>
      <c r="B53" s="11">
        <f t="shared" si="4"/>
        <v>597.51688097095541</v>
      </c>
      <c r="C53" s="12">
        <v>1.5720000000000001</v>
      </c>
      <c r="D53" s="44">
        <v>1</v>
      </c>
      <c r="E53" s="13">
        <v>1.6E-2</v>
      </c>
      <c r="F53" s="48">
        <f t="shared" si="5"/>
        <v>6.9264473095721542</v>
      </c>
      <c r="G53" s="47">
        <f t="shared" si="1"/>
        <v>7.1606423015559306</v>
      </c>
      <c r="H53" s="46">
        <v>5.0000000000000001E-4</v>
      </c>
      <c r="I53" s="48">
        <f t="shared" si="6"/>
        <v>731.59940743455809</v>
      </c>
      <c r="J53" s="43">
        <f t="shared" si="2"/>
        <v>447.54014384724559</v>
      </c>
      <c r="K53" s="43">
        <f t="shared" si="7"/>
        <v>6.9264473095721542</v>
      </c>
      <c r="L53" s="49">
        <f t="shared" si="0"/>
        <v>63.934306263892225</v>
      </c>
      <c r="M53" s="50">
        <f t="shared" si="8"/>
        <v>1.4430098561608655</v>
      </c>
      <c r="N53" s="43">
        <f t="shared" si="3"/>
        <v>2077.9341928716462</v>
      </c>
    </row>
    <row r="54" spans="1:14" x14ac:dyDescent="0.35">
      <c r="A54" s="10">
        <v>49</v>
      </c>
      <c r="B54" s="11">
        <f t="shared" si="4"/>
        <v>606.90984633981884</v>
      </c>
      <c r="C54" s="12">
        <v>1.5720000000000001</v>
      </c>
      <c r="D54" s="44">
        <v>1</v>
      </c>
      <c r="E54" s="13">
        <v>1.6E-2</v>
      </c>
      <c r="F54" s="48">
        <f t="shared" si="5"/>
        <v>7.0353310612787254</v>
      </c>
      <c r="G54" s="47">
        <f t="shared" si="1"/>
        <v>7.2732075985363887</v>
      </c>
      <c r="H54" s="46">
        <v>5.0000000000000001E-4</v>
      </c>
      <c r="I54" s="48">
        <f t="shared" si="6"/>
        <v>731.23360773084084</v>
      </c>
      <c r="J54" s="43">
        <f t="shared" si="2"/>
        <v>454.57547490852431</v>
      </c>
      <c r="K54" s="43">
        <f t="shared" si="7"/>
        <v>7.0353310612787254</v>
      </c>
      <c r="L54" s="49">
        <f t="shared" si="0"/>
        <v>64.939353558360622</v>
      </c>
      <c r="M54" s="50">
        <f t="shared" si="8"/>
        <v>1.4656939710997345</v>
      </c>
      <c r="N54" s="43">
        <f t="shared" si="3"/>
        <v>2110.5993183836176</v>
      </c>
    </row>
    <row r="55" spans="1:14" x14ac:dyDescent="0.35">
      <c r="A55" s="10">
        <v>50</v>
      </c>
      <c r="B55" s="11">
        <f t="shared" si="4"/>
        <v>616.45046912428074</v>
      </c>
      <c r="C55" s="12">
        <v>1.5720000000000001</v>
      </c>
      <c r="D55" s="44">
        <v>1</v>
      </c>
      <c r="E55" s="13">
        <v>1.6E-2</v>
      </c>
      <c r="F55" s="48">
        <f t="shared" si="5"/>
        <v>7.1459264655619563</v>
      </c>
      <c r="G55" s="47">
        <f t="shared" si="1"/>
        <v>7.3875424219853816</v>
      </c>
      <c r="H55" s="46">
        <v>5.0000000000000001E-4</v>
      </c>
      <c r="I55" s="48">
        <f t="shared" si="6"/>
        <v>730.86799092697538</v>
      </c>
      <c r="J55" s="43">
        <f t="shared" si="2"/>
        <v>461.72140137408627</v>
      </c>
      <c r="K55" s="43">
        <f t="shared" si="7"/>
        <v>7.1459264655619563</v>
      </c>
      <c r="L55" s="49">
        <f t="shared" si="0"/>
        <v>65.960200196298032</v>
      </c>
      <c r="M55" s="50">
        <f t="shared" si="8"/>
        <v>1.4887346803254076</v>
      </c>
      <c r="N55" s="43">
        <f t="shared" si="3"/>
        <v>2143.7779396685869</v>
      </c>
    </row>
    <row r="56" spans="1:14" x14ac:dyDescent="0.35">
      <c r="A56" s="10">
        <v>51</v>
      </c>
      <c r="B56" s="11">
        <f t="shared" si="4"/>
        <v>626.14107049891436</v>
      </c>
      <c r="C56" s="12">
        <v>1.5720000000000001</v>
      </c>
      <c r="D56" s="44">
        <v>1</v>
      </c>
      <c r="E56" s="13">
        <v>1.6E-2</v>
      </c>
      <c r="F56" s="48">
        <f t="shared" si="5"/>
        <v>7.2582604296006252</v>
      </c>
      <c r="G56" s="47">
        <f t="shared" si="1"/>
        <v>7.5036745888589893</v>
      </c>
      <c r="H56" s="46">
        <v>5.0000000000000001E-4</v>
      </c>
      <c r="I56" s="48">
        <f t="shared" si="6"/>
        <v>730.50255693151189</v>
      </c>
      <c r="J56" s="43">
        <f t="shared" si="2"/>
        <v>468.97966180368689</v>
      </c>
      <c r="K56" s="43">
        <f t="shared" si="7"/>
        <v>7.2582604296006252</v>
      </c>
      <c r="L56" s="49">
        <f t="shared" si="0"/>
        <v>66.997094543383838</v>
      </c>
      <c r="M56" s="50">
        <f t="shared" si="8"/>
        <v>1.5121375895001303</v>
      </c>
      <c r="N56" s="43">
        <f t="shared" si="3"/>
        <v>2177.4781288801878</v>
      </c>
    </row>
    <row r="57" spans="1:14" x14ac:dyDescent="0.35">
      <c r="A57" s="10">
        <v>52</v>
      </c>
      <c r="B57" s="11">
        <f t="shared" si="4"/>
        <v>635.98400812715727</v>
      </c>
      <c r="C57" s="12">
        <v>1.5720000000000001</v>
      </c>
      <c r="D57" s="44">
        <v>1</v>
      </c>
      <c r="E57" s="13">
        <v>1.6E-2</v>
      </c>
      <c r="F57" s="48">
        <f t="shared" si="5"/>
        <v>7.37236028355386</v>
      </c>
      <c r="G57" s="47">
        <f t="shared" si="1"/>
        <v>7.621632353395853</v>
      </c>
      <c r="H57" s="46">
        <v>5.0000000000000001E-4</v>
      </c>
      <c r="I57" s="48">
        <f t="shared" si="6"/>
        <v>730.13730565304616</v>
      </c>
      <c r="J57" s="43">
        <f t="shared" si="2"/>
        <v>476.35202208724075</v>
      </c>
      <c r="K57" s="43">
        <f t="shared" si="7"/>
        <v>7.37236028355386</v>
      </c>
      <c r="L57" s="49">
        <f t="shared" si="0"/>
        <v>68.050288869605822</v>
      </c>
      <c r="M57" s="50">
        <f t="shared" si="8"/>
        <v>1.535908392407054</v>
      </c>
      <c r="N57" s="43">
        <f t="shared" si="3"/>
        <v>2211.7080850661578</v>
      </c>
    </row>
    <row r="58" spans="1:14" x14ac:dyDescent="0.35">
      <c r="A58" s="10">
        <v>53</v>
      </c>
      <c r="B58" s="11">
        <f t="shared" si="4"/>
        <v>645.98167673491616</v>
      </c>
      <c r="C58" s="12">
        <v>1.5720000000000001</v>
      </c>
      <c r="D58" s="44">
        <v>1</v>
      </c>
      <c r="E58" s="13">
        <v>1.6E-2</v>
      </c>
      <c r="F58" s="48">
        <f t="shared" si="5"/>
        <v>7.4882537872114199</v>
      </c>
      <c r="G58" s="47">
        <f t="shared" si="1"/>
        <v>7.7414444139912346</v>
      </c>
      <c r="H58" s="46">
        <v>5.0000000000000001E-4</v>
      </c>
      <c r="I58" s="48">
        <f t="shared" si="6"/>
        <v>729.77223700021966</v>
      </c>
      <c r="J58" s="43">
        <f t="shared" si="2"/>
        <v>483.84027587445217</v>
      </c>
      <c r="K58" s="43">
        <f t="shared" si="7"/>
        <v>7.4882537872114199</v>
      </c>
      <c r="L58" s="49">
        <f t="shared" si="0"/>
        <v>69.120039410636025</v>
      </c>
      <c r="M58" s="50">
        <f t="shared" si="8"/>
        <v>1.5600528723357125</v>
      </c>
      <c r="N58" s="43">
        <f t="shared" si="3"/>
        <v>2246.476136163426</v>
      </c>
    </row>
    <row r="59" spans="1:14" x14ac:dyDescent="0.35">
      <c r="A59" s="10">
        <v>54</v>
      </c>
      <c r="B59" s="11">
        <f t="shared" si="4"/>
        <v>656.13650869318906</v>
      </c>
      <c r="C59" s="12">
        <v>1.5720000000000001</v>
      </c>
      <c r="D59" s="44">
        <v>1</v>
      </c>
      <c r="E59" s="13">
        <v>1.6E-2</v>
      </c>
      <c r="F59" s="48">
        <f t="shared" si="5"/>
        <v>7.6059691367464666</v>
      </c>
      <c r="G59" s="47">
        <f t="shared" si="1"/>
        <v>7.8631399201791776</v>
      </c>
      <c r="H59" s="46">
        <v>5.0000000000000001E-4</v>
      </c>
      <c r="I59" s="48">
        <f t="shared" si="6"/>
        <v>729.40735088171959</v>
      </c>
      <c r="J59" s="43">
        <f t="shared" si="2"/>
        <v>491.44624501119864</v>
      </c>
      <c r="K59" s="43">
        <f t="shared" si="7"/>
        <v>7.6059691367464666</v>
      </c>
      <c r="L59" s="49">
        <f t="shared" si="0"/>
        <v>70.206606430171234</v>
      </c>
      <c r="M59" s="50">
        <f t="shared" si="8"/>
        <v>1.5845769034888473</v>
      </c>
      <c r="N59" s="43">
        <f t="shared" si="3"/>
        <v>2281.79074102394</v>
      </c>
    </row>
    <row r="60" spans="1:14" x14ac:dyDescent="0.35">
      <c r="A60" s="10">
        <v>55</v>
      </c>
      <c r="B60" s="11">
        <f t="shared" si="4"/>
        <v>666.45097460984596</v>
      </c>
      <c r="C60" s="12">
        <v>1.5720000000000001</v>
      </c>
      <c r="D60" s="44">
        <v>1</v>
      </c>
      <c r="E60" s="13">
        <v>1.6E-2</v>
      </c>
      <c r="F60" s="48">
        <f t="shared" si="5"/>
        <v>7.7255349715759962</v>
      </c>
      <c r="G60" s="47">
        <f t="shared" si="1"/>
        <v>7.9867484797243931</v>
      </c>
      <c r="H60" s="46">
        <v>5.0000000000000001E-4</v>
      </c>
      <c r="I60" s="48">
        <f t="shared" si="6"/>
        <v>729.04264720627873</v>
      </c>
      <c r="J60" s="43">
        <f t="shared" si="2"/>
        <v>499.17177998277464</v>
      </c>
      <c r="K60" s="43">
        <f t="shared" si="7"/>
        <v>7.7255349715759962</v>
      </c>
      <c r="L60" s="49">
        <f t="shared" si="0"/>
        <v>71.310254283253514</v>
      </c>
      <c r="M60" s="50">
        <f t="shared" si="8"/>
        <v>1.6094864524116657</v>
      </c>
      <c r="N60" s="43">
        <f t="shared" si="3"/>
        <v>2317.6604914727986</v>
      </c>
    </row>
    <row r="61" spans="1:14" x14ac:dyDescent="0.35">
      <c r="A61" s="10">
        <v>56</v>
      </c>
      <c r="B61" s="11">
        <f t="shared" si="4"/>
        <v>676.92758393071267</v>
      </c>
      <c r="C61" s="12">
        <v>1.5720000000000001</v>
      </c>
      <c r="D61" s="44">
        <v>1</v>
      </c>
      <c r="E61" s="13">
        <v>1.6E-2</v>
      </c>
      <c r="F61" s="48">
        <f t="shared" si="5"/>
        <v>7.8469803813291605</v>
      </c>
      <c r="G61" s="47">
        <f t="shared" si="1"/>
        <v>8.1123001658256619</v>
      </c>
      <c r="H61" s="46">
        <v>5.0000000000000001E-4</v>
      </c>
      <c r="I61" s="48">
        <f t="shared" si="6"/>
        <v>728.67812588267554</v>
      </c>
      <c r="J61" s="43">
        <f t="shared" si="2"/>
        <v>507.0187603641038</v>
      </c>
      <c r="K61" s="43">
        <f t="shared" si="7"/>
        <v>7.8469803813291605</v>
      </c>
      <c r="L61" s="49">
        <f t="shared" si="0"/>
        <v>72.431251480586255</v>
      </c>
      <c r="M61" s="50">
        <f t="shared" si="8"/>
        <v>1.6347875794435753</v>
      </c>
      <c r="N61" s="43">
        <f t="shared" si="3"/>
        <v>2354.0941143987484</v>
      </c>
    </row>
    <row r="62" spans="1:14" x14ac:dyDescent="0.35">
      <c r="A62" s="10">
        <v>57</v>
      </c>
      <c r="B62" s="11">
        <f t="shared" si="4"/>
        <v>687.56888555010346</v>
      </c>
      <c r="C62" s="12">
        <v>1.5720000000000001</v>
      </c>
      <c r="D62" s="44">
        <v>1</v>
      </c>
      <c r="E62" s="13">
        <v>1.6E-2</v>
      </c>
      <c r="F62" s="48">
        <f t="shared" si="5"/>
        <v>7.9703349129237608</v>
      </c>
      <c r="G62" s="47">
        <f t="shared" si="1"/>
        <v>8.2398255244324385</v>
      </c>
      <c r="H62" s="46">
        <v>5.0000000000000001E-4</v>
      </c>
      <c r="I62" s="48">
        <f t="shared" si="6"/>
        <v>728.31378681973422</v>
      </c>
      <c r="J62" s="43">
        <f t="shared" si="2"/>
        <v>514.98909527702756</v>
      </c>
      <c r="K62" s="43">
        <f t="shared" si="7"/>
        <v>7.9703349129237608</v>
      </c>
      <c r="L62" s="49">
        <f t="shared" si="0"/>
        <v>73.569870753861082</v>
      </c>
      <c r="M62" s="50">
        <f t="shared" si="8"/>
        <v>1.66048644019245</v>
      </c>
      <c r="N62" s="43">
        <f t="shared" si="3"/>
        <v>2391.100473877128</v>
      </c>
    </row>
    <row r="63" spans="1:14" x14ac:dyDescent="0.35">
      <c r="A63" s="10">
        <v>58</v>
      </c>
      <c r="B63" s="11">
        <f t="shared" si="4"/>
        <v>698.37746843095101</v>
      </c>
      <c r="C63" s="12">
        <v>1.5720000000000001</v>
      </c>
      <c r="D63" s="44">
        <v>1</v>
      </c>
      <c r="E63" s="13">
        <v>1.6E-2</v>
      </c>
      <c r="F63" s="48">
        <f t="shared" si="5"/>
        <v>8.0956285777547237</v>
      </c>
      <c r="G63" s="47">
        <f t="shared" si="1"/>
        <v>8.3693555816765173</v>
      </c>
      <c r="H63" s="46">
        <v>5.0000000000000001E-4</v>
      </c>
      <c r="I63" s="48">
        <f t="shared" si="6"/>
        <v>727.94962992632441</v>
      </c>
      <c r="J63" s="43">
        <f t="shared" si="2"/>
        <v>523.08472385478228</v>
      </c>
      <c r="K63" s="43">
        <f t="shared" si="7"/>
        <v>8.0956285777547237</v>
      </c>
      <c r="L63" s="49">
        <f t="shared" si="0"/>
        <v>74.726389122111755</v>
      </c>
      <c r="M63" s="50">
        <f t="shared" si="8"/>
        <v>1.6865892870322341</v>
      </c>
      <c r="N63" s="43">
        <f t="shared" si="3"/>
        <v>2428.6885733264171</v>
      </c>
    </row>
    <row r="64" spans="1:14" x14ac:dyDescent="0.35">
      <c r="A64" s="10">
        <v>59</v>
      </c>
      <c r="B64" s="11">
        <f t="shared" si="4"/>
        <v>709.35596223468553</v>
      </c>
      <c r="C64" s="12">
        <v>1.5720000000000001</v>
      </c>
      <c r="D64" s="44">
        <v>1</v>
      </c>
      <c r="E64" s="13">
        <v>1.6E-2</v>
      </c>
      <c r="F64" s="48">
        <f t="shared" si="5"/>
        <v>8.2228918589971727</v>
      </c>
      <c r="G64" s="47">
        <f t="shared" si="1"/>
        <v>8.5009218514204719</v>
      </c>
      <c r="H64" s="46">
        <v>5.0000000000000001E-4</v>
      </c>
      <c r="I64" s="48">
        <f t="shared" si="6"/>
        <v>727.58565511136123</v>
      </c>
      <c r="J64" s="43">
        <f t="shared" si="2"/>
        <v>531.30761571377946</v>
      </c>
      <c r="K64" s="43">
        <f t="shared" si="7"/>
        <v>8.2228918589971727</v>
      </c>
      <c r="L64" s="49">
        <f t="shared" si="0"/>
        <v>75.901087959111351</v>
      </c>
      <c r="M64" s="50">
        <f t="shared" si="8"/>
        <v>1.7131024706244109</v>
      </c>
      <c r="N64" s="43">
        <f t="shared" si="3"/>
        <v>2466.8675576991518</v>
      </c>
    </row>
    <row r="65" spans="1:14" x14ac:dyDescent="0.35">
      <c r="A65" s="10">
        <v>60</v>
      </c>
      <c r="B65" s="11">
        <f t="shared" si="4"/>
        <v>720.50703796101482</v>
      </c>
      <c r="C65" s="12">
        <v>1.5720000000000001</v>
      </c>
      <c r="D65" s="44">
        <v>1</v>
      </c>
      <c r="E65" s="13">
        <v>1.6E-2</v>
      </c>
      <c r="F65" s="48">
        <f t="shared" si="5"/>
        <v>8.3521557190206295</v>
      </c>
      <c r="G65" s="47">
        <f t="shared" si="1"/>
        <v>8.6345563429248013</v>
      </c>
      <c r="H65" s="46">
        <v>5.0000000000000001E-4</v>
      </c>
      <c r="I65" s="48">
        <f t="shared" si="6"/>
        <v>727.22186228380554</v>
      </c>
      <c r="J65" s="43">
        <f t="shared" si="2"/>
        <v>539.65977143280008</v>
      </c>
      <c r="K65" s="43">
        <f t="shared" si="7"/>
        <v>8.3521557190206295</v>
      </c>
      <c r="L65" s="49">
        <f t="shared" si="0"/>
        <v>77.094253061828582</v>
      </c>
      <c r="M65" s="50">
        <f t="shared" si="8"/>
        <v>1.7400324414626311</v>
      </c>
      <c r="N65" s="43">
        <f t="shared" si="3"/>
        <v>2505.6467157061888</v>
      </c>
    </row>
    <row r="66" spans="1:14" x14ac:dyDescent="0.35">
      <c r="A66" s="10">
        <v>61</v>
      </c>
      <c r="B66" s="11">
        <f t="shared" si="4"/>
        <v>731.83340859776195</v>
      </c>
      <c r="C66" s="12">
        <v>1.5720000000000001</v>
      </c>
      <c r="D66" s="44">
        <v>1</v>
      </c>
      <c r="E66" s="13">
        <v>1.6E-2</v>
      </c>
      <c r="F66" s="48">
        <f t="shared" si="5"/>
        <v>8.4834516069236088</v>
      </c>
      <c r="G66" s="47">
        <f t="shared" si="1"/>
        <v>8.7702915686355798</v>
      </c>
      <c r="H66" s="46">
        <v>5.0000000000000001E-4</v>
      </c>
      <c r="I66" s="48">
        <f t="shared" si="6"/>
        <v>726.85825135266361</v>
      </c>
      <c r="J66" s="43">
        <f t="shared" si="2"/>
        <v>548.14322303972369</v>
      </c>
      <c r="K66" s="43">
        <f t="shared" si="7"/>
        <v>8.4834516069236088</v>
      </c>
      <c r="L66" s="49">
        <f t="shared" si="0"/>
        <v>78.306174719960524</v>
      </c>
      <c r="M66" s="50">
        <f t="shared" si="8"/>
        <v>1.7673857514424185</v>
      </c>
      <c r="N66" s="43">
        <f t="shared" si="3"/>
        <v>2545.0354820770826</v>
      </c>
    </row>
    <row r="67" spans="1:14" x14ac:dyDescent="0.35">
      <c r="A67" s="10">
        <v>62</v>
      </c>
      <c r="B67" s="11">
        <f t="shared" si="4"/>
        <v>743.3378297809187</v>
      </c>
      <c r="C67" s="12">
        <v>1.5720000000000001</v>
      </c>
      <c r="D67" s="44">
        <v>1</v>
      </c>
      <c r="E67" s="13">
        <v>1.52E-2</v>
      </c>
      <c r="F67" s="48">
        <f t="shared" si="5"/>
        <v>8.6168114661844584</v>
      </c>
      <c r="G67" s="47">
        <f t="shared" si="1"/>
        <v>8.4627525244898028</v>
      </c>
      <c r="H67" s="46">
        <v>5.0000000000000001E-4</v>
      </c>
      <c r="I67" s="48">
        <f t="shared" si="6"/>
        <v>726.49482222698725</v>
      </c>
      <c r="J67" s="43">
        <f t="shared" si="2"/>
        <v>556.76003450590815</v>
      </c>
      <c r="K67" s="43">
        <f t="shared" si="7"/>
        <v>8.6168114661844584</v>
      </c>
      <c r="L67" s="49">
        <f t="shared" si="0"/>
        <v>79.537147786558307</v>
      </c>
      <c r="M67" s="50">
        <f t="shared" si="8"/>
        <v>1.7951690554550954</v>
      </c>
      <c r="N67" s="43">
        <f t="shared" si="3"/>
        <v>2585.0434398553375</v>
      </c>
    </row>
    <row r="68" spans="1:14" x14ac:dyDescent="0.35">
      <c r="A68" s="10">
        <v>63</v>
      </c>
      <c r="B68" s="11">
        <f t="shared" si="4"/>
        <v>755.02310046507466</v>
      </c>
      <c r="C68" s="12">
        <v>1.367</v>
      </c>
      <c r="D68" s="44">
        <v>1</v>
      </c>
      <c r="E68" s="13">
        <v>1.52E-2</v>
      </c>
      <c r="F68" s="48">
        <f t="shared" si="5"/>
        <v>8.752267742432764</v>
      </c>
      <c r="G68" s="47">
        <f t="shared" si="1"/>
        <v>8.595786994174782</v>
      </c>
      <c r="H68" s="46">
        <v>5.0000000000000001E-4</v>
      </c>
      <c r="I68" s="48">
        <f t="shared" si="6"/>
        <v>726.13157481587371</v>
      </c>
      <c r="J68" s="43">
        <f t="shared" si="2"/>
        <v>565.51230224834092</v>
      </c>
      <c r="K68" s="43">
        <f t="shared" si="7"/>
        <v>8.752267742432764</v>
      </c>
      <c r="L68" s="49">
        <f t="shared" si="0"/>
        <v>80.787471749762986</v>
      </c>
      <c r="M68" s="50">
        <f t="shared" si="8"/>
        <v>1.8233891130068258</v>
      </c>
      <c r="N68" s="43">
        <f t="shared" si="3"/>
        <v>2625.6803227298292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3060-AA67-47B8-84CF-C362F115CC47}">
  <dimension ref="A1:Q15"/>
  <sheetViews>
    <sheetView zoomScale="90" zoomScaleNormal="90" workbookViewId="0">
      <selection activeCell="C38" sqref="C38"/>
    </sheetView>
  </sheetViews>
  <sheetFormatPr baseColWidth="10" defaultRowHeight="14.5" x14ac:dyDescent="0.35"/>
  <sheetData>
    <row r="1" spans="1:17" x14ac:dyDescent="0.35">
      <c r="A1" s="2" t="s">
        <v>43</v>
      </c>
      <c r="B1" s="2"/>
    </row>
    <row r="2" spans="1:17" ht="15" thickBot="1" x14ac:dyDescent="0.4"/>
    <row r="3" spans="1:17" ht="15" thickBot="1" x14ac:dyDescent="0.4">
      <c r="A3" s="51" t="s">
        <v>44</v>
      </c>
      <c r="B3" s="52">
        <f>'[1] 264 g ved 12 grader'!B3</f>
        <v>749</v>
      </c>
      <c r="C3" s="53"/>
      <c r="D3" s="53"/>
      <c r="E3" s="53"/>
      <c r="F3" s="53"/>
      <c r="G3" s="54" t="s">
        <v>45</v>
      </c>
      <c r="H3" s="55">
        <f>'[1] 264 g ved 12 grader'!G3</f>
        <v>7</v>
      </c>
      <c r="I3" s="1"/>
      <c r="J3" s="1"/>
    </row>
    <row r="4" spans="1:17" ht="15" thickBot="1" x14ac:dyDescent="0.4"/>
    <row r="5" spans="1:17" ht="44" thickBot="1" x14ac:dyDescent="0.4">
      <c r="A5" s="56" t="s">
        <v>46</v>
      </c>
      <c r="B5" s="57" t="s">
        <v>36</v>
      </c>
      <c r="C5" s="58" t="s">
        <v>47</v>
      </c>
      <c r="D5" s="57" t="s">
        <v>48</v>
      </c>
      <c r="E5" s="59" t="s">
        <v>24</v>
      </c>
      <c r="F5" s="59" t="s">
        <v>37</v>
      </c>
      <c r="G5" s="40" t="s">
        <v>49</v>
      </c>
      <c r="H5" s="40" t="s">
        <v>38</v>
      </c>
      <c r="I5" s="60" t="s">
        <v>29</v>
      </c>
      <c r="J5" s="60" t="s">
        <v>28</v>
      </c>
      <c r="K5" s="60" t="s">
        <v>50</v>
      </c>
      <c r="L5" s="60" t="s">
        <v>31</v>
      </c>
      <c r="M5" s="60" t="s">
        <v>42</v>
      </c>
      <c r="N5" s="61" t="s">
        <v>33</v>
      </c>
      <c r="O5" s="62" t="s">
        <v>34</v>
      </c>
      <c r="P5" s="62" t="s">
        <v>51</v>
      </c>
      <c r="Q5" s="62" t="s">
        <v>23</v>
      </c>
    </row>
    <row r="6" spans="1:17" x14ac:dyDescent="0.35">
      <c r="A6" s="42">
        <v>0</v>
      </c>
      <c r="B6" s="63">
        <f>'[1] 264 g ved 12 grader'!B6</f>
        <v>264</v>
      </c>
      <c r="C6" s="63"/>
      <c r="D6" s="63"/>
      <c r="E6" s="63">
        <v>1</v>
      </c>
      <c r="F6" s="63"/>
      <c r="G6" s="45">
        <f>'[1] 264 g ved 12 grader'!E6</f>
        <v>2.06E-2</v>
      </c>
      <c r="H6" s="47">
        <f>'[1] 264 g ved 12 grader'!G6</f>
        <v>4.0733616000000001</v>
      </c>
      <c r="I6" s="50">
        <v>761</v>
      </c>
      <c r="J6" s="46">
        <v>5.0000000000000001E-4</v>
      </c>
      <c r="K6" s="43">
        <f>'[1] 264 g ved 12 grader'!J6</f>
        <v>197.73599999999999</v>
      </c>
      <c r="L6" s="43"/>
      <c r="M6" s="43">
        <f>'[1] 264 g ved 12 grader'!L6</f>
        <v>28.247999999999998</v>
      </c>
      <c r="N6" s="50">
        <f>'[1] 264 g ved 12 grader'!M6</f>
        <v>0.84861699999999995</v>
      </c>
      <c r="O6" s="43">
        <f>'[1] 264 g ved 12 grader'!N6</f>
        <v>1222.00848</v>
      </c>
      <c r="P6" s="50">
        <f>'[1] 264 g ved 12 grader'!O6</f>
        <v>0.81467232000000012</v>
      </c>
      <c r="Q6" s="64"/>
    </row>
    <row r="7" spans="1:17" x14ac:dyDescent="0.35">
      <c r="A7" s="10">
        <v>1</v>
      </c>
      <c r="B7" s="65">
        <f>'[1] 264 g ved 12 grader'!B12</f>
        <v>294.57170618379365</v>
      </c>
      <c r="C7" s="65">
        <f>B7-B6</f>
        <v>30.571706183793651</v>
      </c>
      <c r="D7" s="66">
        <f>C7/B6</f>
        <v>0.11580191736285474</v>
      </c>
      <c r="E7" s="63">
        <v>1</v>
      </c>
      <c r="F7" s="63">
        <f>L7*E7</f>
        <v>22.237132134767478</v>
      </c>
      <c r="G7" s="13">
        <f>'[1] 264 g ved 12 grader'!E12</f>
        <v>2.06E-2</v>
      </c>
      <c r="H7" s="15">
        <f>'[1] 264 g ved 12 grader'!G12</f>
        <v>4.5450646833922255</v>
      </c>
      <c r="I7" s="19">
        <f>'[1] 264 g ved 12 grader'!I12</f>
        <v>746.75580687820207</v>
      </c>
      <c r="J7" s="46">
        <v>5.0000000000000001E-4</v>
      </c>
      <c r="K7" s="11">
        <f>'[1] 264 g ved 12 grader'!J12</f>
        <v>219.97313213476747</v>
      </c>
      <c r="L7" s="11">
        <f>K7-K6</f>
        <v>22.237132134767478</v>
      </c>
      <c r="M7" s="11">
        <f>'[1] 264 g ved 12 grader'!L12</f>
        <v>31.424733162109639</v>
      </c>
      <c r="N7" s="19">
        <f>'[1] 264 g ved 12 grader'!M12</f>
        <v>0.94688847570671364</v>
      </c>
      <c r="O7" s="11">
        <f>'[1] 264 g ved 12 grader'!N12</f>
        <v>1363.5194050176676</v>
      </c>
      <c r="P7" s="19">
        <f>'[1] 264 g ved 12 grader'!O12</f>
        <v>0.90901293667844518</v>
      </c>
      <c r="Q7" s="67">
        <f>(LN('[1] 264 g ved 12 grader'!B12)-LN('[1] 264 g ved 12 grader'!B6))/('[1] 264 g ved 12 grader'!A12-'[1] 264 g ved 12 grader'!A6)*100</f>
        <v>1.8262225800473579</v>
      </c>
    </row>
    <row r="8" spans="1:17" x14ac:dyDescent="0.35">
      <c r="A8" s="10">
        <v>2</v>
      </c>
      <c r="B8" s="65">
        <f>'[1] 264 g ved 12 grader'!B19</f>
        <v>331.40270069389146</v>
      </c>
      <c r="C8" s="65">
        <f t="shared" ref="C8:C15" si="0">B8-B7</f>
        <v>36.83099451009781</v>
      </c>
      <c r="D8" s="66">
        <f t="shared" ref="D8:D15" si="1">C8/B7</f>
        <v>0.12503235625460124</v>
      </c>
      <c r="E8" s="63">
        <v>1</v>
      </c>
      <c r="F8" s="63">
        <f t="shared" ref="F8:F15" si="2">L8*E8</f>
        <v>26.638888075969163</v>
      </c>
      <c r="G8" s="13">
        <f>'[1] 264 g ved 12 grader'!E19</f>
        <v>1.9E-2</v>
      </c>
      <c r="H8" s="15">
        <f>'[1] 264 g ved 12 grader'!G19</f>
        <v>4.7161918335747686</v>
      </c>
      <c r="I8" s="19">
        <f>'[1] 264 g ved 12 grader'!I19</f>
        <v>744.14607875669094</v>
      </c>
      <c r="J8" s="46">
        <v>5.0000000000000001E-4</v>
      </c>
      <c r="K8" s="11">
        <f>'[1] 264 g ved 12 grader'!J19</f>
        <v>246.61202021073663</v>
      </c>
      <c r="L8" s="11">
        <f t="shared" ref="L8:L15" si="3">K8-K7</f>
        <v>26.638888075969163</v>
      </c>
      <c r="M8" s="11">
        <f>'[1] 264 g ved 12 grader'!L19</f>
        <v>35.230288601533807</v>
      </c>
      <c r="N8" s="19">
        <f>'[1] 264 g ved 12 grader'!M19</f>
        <v>0.98253996532807675</v>
      </c>
      <c r="O8" s="11">
        <f>'[1] 264 g ved 12 grader'!N19</f>
        <v>1414.8575500724305</v>
      </c>
      <c r="P8" s="19">
        <f>'[1] 264 g ved 12 grader'!O19</f>
        <v>0.94323836671495376</v>
      </c>
      <c r="Q8" s="67">
        <f>(LN('[1] 264 g ved 12 grader'!B13)-LN('[1] 264 g ved 12 grader'!B7))/('[1] 264 g ved 12 grader'!A13-'[1] 264 g ved 12 grader'!A7)*100</f>
        <v>1.8262225800473579</v>
      </c>
    </row>
    <row r="9" spans="1:17" x14ac:dyDescent="0.35">
      <c r="A9" s="10">
        <v>3</v>
      </c>
      <c r="B9" s="65">
        <f>'[1] 264 g ved 12 grader'!B26</f>
        <v>372.21640535547658</v>
      </c>
      <c r="C9" s="65">
        <f t="shared" si="0"/>
        <v>40.81370466158512</v>
      </c>
      <c r="D9" s="66">
        <f t="shared" si="1"/>
        <v>0.12315441176589487</v>
      </c>
      <c r="E9" s="63">
        <v>1</v>
      </c>
      <c r="F9" s="63">
        <f t="shared" si="2"/>
        <v>29.403369410263139</v>
      </c>
      <c r="G9" s="13">
        <f>'[1] 264 g ved 12 grader'!E26</f>
        <v>1.9E-2</v>
      </c>
      <c r="H9" s="15">
        <f>'[1] 264 g ved 12 grader'!G26</f>
        <v>5.2970116646137866</v>
      </c>
      <c r="I9" s="19">
        <f>'[1] 264 g ved 12 grader'!I26</f>
        <v>741.54547099394426</v>
      </c>
      <c r="J9" s="46">
        <v>5.0000000000000001E-4</v>
      </c>
      <c r="K9" s="11">
        <f>'[1] 264 g ved 12 grader'!J26</f>
        <v>276.01538962099977</v>
      </c>
      <c r="L9" s="11">
        <f t="shared" si="3"/>
        <v>29.403369410263139</v>
      </c>
      <c r="M9" s="11">
        <f>'[1] 264 g ved 12 grader'!L26</f>
        <v>39.430769945857108</v>
      </c>
      <c r="N9" s="19">
        <f>'[1] 264 g ved 12 grader'!M26</f>
        <v>1.1035440967945389</v>
      </c>
      <c r="O9" s="11">
        <f>'[1] 264 g ved 12 grader'!N26</f>
        <v>1589.1034993841358</v>
      </c>
      <c r="P9" s="19">
        <f>'[1] 264 g ved 12 grader'!O26</f>
        <v>1.0594023329227573</v>
      </c>
      <c r="Q9" s="67">
        <f>(LN('[1] 264 g ved 12 grader'!B14)-LN('[1] 264 g ved 12 grader'!B8))/('[1] 264 g ved 12 grader'!A14-'[1] 264 g ved 12 grader'!A8)*100</f>
        <v>1.7983787349214648</v>
      </c>
    </row>
    <row r="10" spans="1:17" x14ac:dyDescent="0.35">
      <c r="A10" s="10">
        <v>4</v>
      </c>
      <c r="B10" s="65">
        <f>'[1] 264 g ved 12 grader'!B33</f>
        <v>416.98811976692576</v>
      </c>
      <c r="C10" s="65">
        <f t="shared" si="0"/>
        <v>44.771714411449182</v>
      </c>
      <c r="D10" s="66">
        <f t="shared" si="1"/>
        <v>0.1202840975498944</v>
      </c>
      <c r="E10" s="63">
        <v>1</v>
      </c>
      <c r="F10" s="63">
        <f t="shared" si="2"/>
        <v>32.119629299623341</v>
      </c>
      <c r="G10" s="13">
        <f>'[1] 264 g ved 12 grader'!E33</f>
        <v>1.9E-2</v>
      </c>
      <c r="H10" s="15">
        <f>'[1] 264 g ved 12 grader'!G33</f>
        <v>5.93415793240312</v>
      </c>
      <c r="I10" s="19">
        <f>'[1] 264 g ved 12 grader'!I33</f>
        <v>738.95395171654832</v>
      </c>
      <c r="J10" s="46">
        <v>5.0000000000000001E-4</v>
      </c>
      <c r="K10" s="11">
        <f>'[1] 264 g ved 12 grader'!J33</f>
        <v>308.13501892062311</v>
      </c>
      <c r="L10" s="11">
        <f t="shared" si="3"/>
        <v>32.119629299623341</v>
      </c>
      <c r="M10" s="11">
        <f>'[1] 264 g ved 12 grader'!L33</f>
        <v>44.01928841723187</v>
      </c>
      <c r="N10" s="19">
        <f>'[1] 264 g ved 12 grader'!M33</f>
        <v>1.2362829025839832</v>
      </c>
      <c r="O10" s="11">
        <f>'[1] 264 g ved 12 grader'!N33</f>
        <v>1780.2473797209359</v>
      </c>
      <c r="P10" s="19">
        <f>'[1] 264 g ved 12 grader'!O33</f>
        <v>1.186831586480624</v>
      </c>
      <c r="Q10" s="67">
        <f>(LN('[1] 264 g ved 12 grader'!B15)-LN('[1] 264 g ved 12 grader'!B9))/('[1] 264 g ved 12 grader'!A15-'[1] 264 g ved 12 grader'!A9)*100</f>
        <v>1.7705348897955571</v>
      </c>
    </row>
    <row r="11" spans="1:17" x14ac:dyDescent="0.35">
      <c r="A11" s="10">
        <v>5</v>
      </c>
      <c r="B11" s="65">
        <f>'[1] 264 g ved 12 grader'!B40</f>
        <v>464.16630703200741</v>
      </c>
      <c r="C11" s="65">
        <f t="shared" si="0"/>
        <v>47.178187265081647</v>
      </c>
      <c r="D11" s="66">
        <f t="shared" si="1"/>
        <v>0.11314036306706232</v>
      </c>
      <c r="E11" s="63">
        <v>1</v>
      </c>
      <c r="F11" s="63">
        <f t="shared" si="2"/>
        <v>33.663815807584797</v>
      </c>
      <c r="G11" s="13">
        <f>'[1] 264 g ved 12 grader'!E40</f>
        <v>1.7299999999999999E-2</v>
      </c>
      <c r="H11" s="15">
        <f>'[1] 264 g ved 12 grader'!G40</f>
        <v>6.0145277566286426</v>
      </c>
      <c r="I11" s="19">
        <f>'[1] 264 g ved 12 grader'!I40</f>
        <v>736.37148916247929</v>
      </c>
      <c r="J11" s="46">
        <v>5.0000000000000001E-4</v>
      </c>
      <c r="K11" s="11">
        <f>'[1] 264 g ved 12 grader'!J40</f>
        <v>341.79883472820791</v>
      </c>
      <c r="L11" s="11">
        <f t="shared" si="3"/>
        <v>33.663815807584797</v>
      </c>
      <c r="M11" s="11">
        <f>'[1] 264 g ved 12 grader'!L40</f>
        <v>48.828404961172559</v>
      </c>
      <c r="N11" s="19">
        <f>'[1] 264 g ved 12 grader'!M40</f>
        <v>1.2530266159643006</v>
      </c>
      <c r="O11" s="11">
        <f>'[1] 264 g ved 12 grader'!N40</f>
        <v>1804.3583269885928</v>
      </c>
      <c r="P11" s="19">
        <f>'[1] 264 g ved 12 grader'!O40</f>
        <v>1.2029055513257285</v>
      </c>
      <c r="Q11" s="67">
        <f>(LN('[1] 264 g ved 12 grader'!B16)-LN('[1] 264 g ved 12 grader'!B10))/('[1] 264 g ved 12 grader'!A16-'[1] 264 g ved 12 grader'!A10)*100</f>
        <v>1.7426910446696642</v>
      </c>
    </row>
    <row r="12" spans="1:17" x14ac:dyDescent="0.35">
      <c r="A12" s="10">
        <v>6</v>
      </c>
      <c r="B12" s="65">
        <f>'[1] 264 g ved 12 grader'!B47</f>
        <v>515.63459131097216</v>
      </c>
      <c r="C12" s="65">
        <f t="shared" si="0"/>
        <v>51.468284278964745</v>
      </c>
      <c r="D12" s="66">
        <f t="shared" si="1"/>
        <v>0.11088328364043808</v>
      </c>
      <c r="E12" s="63">
        <v>1</v>
      </c>
      <c r="F12" s="63">
        <f t="shared" si="2"/>
        <v>36.572823754964588</v>
      </c>
      <c r="G12" s="13">
        <f>'[1] 264 g ved 12 grader'!E47</f>
        <v>1.7299999999999999E-2</v>
      </c>
      <c r="H12" s="15">
        <f>'[1] 264 g ved 12 grader'!G47</f>
        <v>6.6814383438301839</v>
      </c>
      <c r="I12" s="19">
        <f>'[1] 264 g ved 12 grader'!I47</f>
        <v>733.7980516807138</v>
      </c>
      <c r="J12" s="46">
        <v>5.0000000000000001E-4</v>
      </c>
      <c r="K12" s="11">
        <f>'[1] 264 g ved 12 grader'!J47</f>
        <v>378.3716584831725</v>
      </c>
      <c r="L12" s="11">
        <f t="shared" si="3"/>
        <v>36.572823754964588</v>
      </c>
      <c r="M12" s="11">
        <f>'[1] 264 g ved 12 grader'!L47</f>
        <v>54.053094069024645</v>
      </c>
      <c r="N12" s="19">
        <f>'[1] 264 g ved 12 grader'!M47</f>
        <v>1.3919663216312883</v>
      </c>
      <c r="O12" s="11">
        <f>'[1] 264 g ved 12 grader'!N47</f>
        <v>2004.4315031490553</v>
      </c>
      <c r="P12" s="19">
        <f>'[1] 264 g ved 12 grader'!O47</f>
        <v>1.3362876687660368</v>
      </c>
      <c r="Q12" s="67">
        <f>(LN('[1] 264 g ved 12 grader'!B17)-LN('[1] 264 g ved 12 grader'!B11))/('[1] 264 g ved 12 grader'!A17-'[1] 264 g ved 12 grader'!A11)*100</f>
        <v>1.7148471995437564</v>
      </c>
    </row>
    <row r="13" spans="1:17" x14ac:dyDescent="0.35">
      <c r="A13" s="10">
        <v>7</v>
      </c>
      <c r="B13" s="65">
        <f>'[1] 264 g ved 12 grader'!B54</f>
        <v>569.91059129732855</v>
      </c>
      <c r="C13" s="65">
        <f t="shared" si="0"/>
        <v>54.275999986356396</v>
      </c>
      <c r="D13" s="66">
        <f t="shared" si="1"/>
        <v>0.10526058744112317</v>
      </c>
      <c r="E13" s="63">
        <v>1</v>
      </c>
      <c r="F13" s="63">
        <f t="shared" si="2"/>
        <v>38.366119275189817</v>
      </c>
      <c r="G13" s="13">
        <f>'[1] 264 g ved 12 grader'!E54</f>
        <v>1.6E-2</v>
      </c>
      <c r="H13" s="15">
        <f>'[1] 264 g ved 12 grader'!G54</f>
        <v>6.8298085261071853</v>
      </c>
      <c r="I13" s="19">
        <f>'[1] 264 g ved 12 grader'!I54</f>
        <v>731.23360773084084</v>
      </c>
      <c r="J13" s="46">
        <v>5.0000000000000001E-4</v>
      </c>
      <c r="K13" s="11">
        <f>'[1] 264 g ved 12 grader'!J54</f>
        <v>416.73777775836231</v>
      </c>
      <c r="L13" s="11">
        <f t="shared" si="3"/>
        <v>38.366119275189817</v>
      </c>
      <c r="M13" s="11">
        <f>'[1] 264 g ved 12 grader'!L54</f>
        <v>59.533968251194615</v>
      </c>
      <c r="N13" s="19">
        <f>'[1] 264 g ved 12 grader'!M54</f>
        <v>1.4228767762723302</v>
      </c>
      <c r="O13" s="11">
        <f>'[1] 264 g ved 12 grader'!N54</f>
        <v>2048.9425578321557</v>
      </c>
      <c r="P13" s="19">
        <f>'[1] 264 g ved 12 grader'!O54</f>
        <v>1.3659617052214372</v>
      </c>
      <c r="Q13" s="67">
        <f>(LN('[1] 264 g ved 12 grader'!B18)-LN('[1] 264 g ved 12 grader'!B12))/('[1] 264 g ved 12 grader'!A18-'[1] 264 g ved 12 grader'!A12)*100</f>
        <v>1.6870033544178635</v>
      </c>
    </row>
    <row r="14" spans="1:17" x14ac:dyDescent="0.35">
      <c r="A14" s="10">
        <v>8</v>
      </c>
      <c r="B14" s="65">
        <f>'[1] 264 g ved 12 grader'!B61</f>
        <v>629.89971492620327</v>
      </c>
      <c r="C14" s="65">
        <f t="shared" si="0"/>
        <v>59.989123628874722</v>
      </c>
      <c r="D14" s="66">
        <f t="shared" si="1"/>
        <v>0.10526058744112328</v>
      </c>
      <c r="E14" s="63">
        <v>1</v>
      </c>
      <c r="F14" s="63">
        <f t="shared" si="2"/>
        <v>42.256366008095085</v>
      </c>
      <c r="G14" s="13">
        <f>'[1] 264 g ved 12 grader'!E61</f>
        <v>1.6E-2</v>
      </c>
      <c r="H14" s="15">
        <f>'[1] 264 g ved 12 grader'!G61</f>
        <v>7.5487181836756205</v>
      </c>
      <c r="I14" s="19">
        <f>'[1] 264 g ved 12 grader'!I61</f>
        <v>728.67812588267554</v>
      </c>
      <c r="J14" s="46">
        <v>5.0000000000000001E-4</v>
      </c>
      <c r="K14" s="11">
        <f>'[1] 264 g ved 12 grader'!J61</f>
        <v>458.9941437664574</v>
      </c>
      <c r="L14" s="11">
        <f t="shared" si="3"/>
        <v>42.256366008095085</v>
      </c>
      <c r="M14" s="11">
        <f>'[1] 264 g ved 12 grader'!L61</f>
        <v>65.570591966636769</v>
      </c>
      <c r="N14" s="19">
        <f>'[1] 264 g ved 12 grader'!M61</f>
        <v>1.5726496215990875</v>
      </c>
      <c r="O14" s="11">
        <f>'[1] 264 g ved 12 grader'!N61</f>
        <v>2264.6154551026862</v>
      </c>
      <c r="P14" s="19">
        <f>'[1] 264 g ved 12 grader'!O61</f>
        <v>1.5097436367351242</v>
      </c>
      <c r="Q14" s="67">
        <f>(LN('[1] 264 g ved 12 grader'!B19)-LN('[1] 264 g ved 12 grader'!B13))/('[1] 264 g ved 12 grader'!A19-'[1] 264 g ved 12 grader'!A13)*100</f>
        <v>1.6591595092919704</v>
      </c>
    </row>
    <row r="15" spans="1:17" x14ac:dyDescent="0.35">
      <c r="A15" s="10">
        <v>9</v>
      </c>
      <c r="B15" s="65">
        <f>'[1] 264 g ved 12 grader'!B68</f>
        <v>696.20332894833166</v>
      </c>
      <c r="C15" s="65">
        <f t="shared" si="0"/>
        <v>66.303614022128386</v>
      </c>
      <c r="D15" s="66">
        <f t="shared" si="1"/>
        <v>0.1052605874411235</v>
      </c>
      <c r="E15" s="63">
        <v>1</v>
      </c>
      <c r="F15" s="63">
        <f t="shared" si="2"/>
        <v>46.541075874848389</v>
      </c>
      <c r="G15" s="13">
        <f>'[1] 264 g ved 12 grader'!E68</f>
        <v>1.52E-2</v>
      </c>
      <c r="H15" s="15">
        <f>'[1] 264 g ved 12 grader'!G68</f>
        <v>7.9261356594109662</v>
      </c>
      <c r="I15" s="19">
        <f>'[1] 264 g ved 12 grader'!I68</f>
        <v>726.13157481587371</v>
      </c>
      <c r="J15" s="46">
        <v>5.0000000000000001E-4</v>
      </c>
      <c r="K15" s="11">
        <f>'[1] 264 g ved 12 grader'!J68</f>
        <v>505.53521964130579</v>
      </c>
      <c r="L15" s="11">
        <f t="shared" si="3"/>
        <v>46.541075874848389</v>
      </c>
      <c r="M15" s="11">
        <f>'[1] 264 g ved 12 grader'!L68</f>
        <v>72.21931709161511</v>
      </c>
      <c r="N15" s="19">
        <f>'[1] 264 g ved 12 grader'!M68</f>
        <v>1.6512782623772846</v>
      </c>
      <c r="O15" s="11">
        <f>'[1] 264 g ved 12 grader'!N68</f>
        <v>2377.8406978232897</v>
      </c>
      <c r="P15" s="19">
        <f>'[1] 264 g ved 12 grader'!O68</f>
        <v>1.5852271318821933</v>
      </c>
      <c r="Q15" s="67">
        <f>(LN('[1] 264 g ved 12 grader'!B20)-LN('[1] 264 g ved 12 grader'!B14))/('[1] 264 g ved 12 grader'!A20-'[1] 264 g ved 12 grader'!A14)*100</f>
        <v>1.6591595092919704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EBDE-C230-474E-847B-1E657E5E45C4}">
  <dimension ref="A3:M43"/>
  <sheetViews>
    <sheetView topLeftCell="A4" zoomScale="78" workbookViewId="0">
      <selection activeCell="E12" sqref="E12"/>
    </sheetView>
  </sheetViews>
  <sheetFormatPr baseColWidth="10" defaultRowHeight="14.5" x14ac:dyDescent="0.35"/>
  <cols>
    <col min="13" max="13" width="27.7265625" customWidth="1"/>
  </cols>
  <sheetData>
    <row r="3" spans="1:13" ht="15" thickBot="1" x14ac:dyDescent="0.4"/>
    <row r="4" spans="1:13" x14ac:dyDescent="0.35">
      <c r="B4" s="205" t="s">
        <v>52</v>
      </c>
      <c r="C4" s="206"/>
      <c r="D4" s="207"/>
      <c r="E4" s="68" t="s">
        <v>53</v>
      </c>
      <c r="F4" s="205" t="s">
        <v>54</v>
      </c>
      <c r="G4" s="207"/>
      <c r="H4" s="205" t="s">
        <v>55</v>
      </c>
      <c r="I4" s="206"/>
      <c r="J4" s="206"/>
      <c r="K4" s="206"/>
      <c r="L4" s="208" t="s">
        <v>56</v>
      </c>
      <c r="M4" s="208" t="s">
        <v>57</v>
      </c>
    </row>
    <row r="5" spans="1:13" ht="15" thickBot="1" x14ac:dyDescent="0.4">
      <c r="A5" s="69" t="s">
        <v>58</v>
      </c>
      <c r="B5" s="69" t="s">
        <v>18</v>
      </c>
      <c r="C5" s="69" t="s">
        <v>59</v>
      </c>
      <c r="D5" s="69" t="s">
        <v>60</v>
      </c>
      <c r="E5" s="69" t="s">
        <v>61</v>
      </c>
      <c r="F5" s="69" t="s">
        <v>62</v>
      </c>
      <c r="G5" s="69" t="s">
        <v>63</v>
      </c>
      <c r="H5" s="69" t="s">
        <v>60</v>
      </c>
      <c r="I5" s="70" t="s">
        <v>64</v>
      </c>
      <c r="J5" s="70" t="s">
        <v>65</v>
      </c>
      <c r="K5" s="71" t="s">
        <v>59</v>
      </c>
      <c r="L5" s="209"/>
      <c r="M5" s="209"/>
    </row>
    <row r="6" spans="1:13" x14ac:dyDescent="0.35">
      <c r="A6" s="72"/>
      <c r="B6" s="72" t="s">
        <v>66</v>
      </c>
      <c r="C6" s="72" t="s">
        <v>67</v>
      </c>
      <c r="D6" s="73">
        <v>0.85</v>
      </c>
      <c r="E6" s="73" t="s">
        <v>68</v>
      </c>
      <c r="F6" s="72">
        <v>1.2</v>
      </c>
      <c r="G6" s="72">
        <v>1.2</v>
      </c>
      <c r="H6" s="72">
        <v>85</v>
      </c>
      <c r="I6" s="72">
        <v>15</v>
      </c>
      <c r="J6" s="72" t="s">
        <v>69</v>
      </c>
      <c r="K6" s="72"/>
      <c r="L6" s="74" t="s">
        <v>70</v>
      </c>
      <c r="M6" s="74"/>
    </row>
    <row r="7" spans="1:13" x14ac:dyDescent="0.35">
      <c r="A7" s="75">
        <v>44278</v>
      </c>
      <c r="B7" s="11">
        <v>15</v>
      </c>
      <c r="C7" s="76">
        <v>7.23</v>
      </c>
      <c r="D7" s="11">
        <v>84.7</v>
      </c>
      <c r="E7" s="11">
        <v>152</v>
      </c>
      <c r="F7" s="11">
        <v>1.2</v>
      </c>
      <c r="G7" s="11">
        <v>1.2</v>
      </c>
      <c r="H7" s="76">
        <v>85</v>
      </c>
      <c r="I7" s="76">
        <v>15.7</v>
      </c>
      <c r="J7" s="76">
        <v>14.7</v>
      </c>
      <c r="K7" s="76"/>
      <c r="L7" s="76"/>
      <c r="M7" s="76" t="s">
        <v>71</v>
      </c>
    </row>
    <row r="8" spans="1:13" x14ac:dyDescent="0.35">
      <c r="A8" s="75">
        <v>44279</v>
      </c>
      <c r="B8" s="76">
        <v>14.8</v>
      </c>
      <c r="C8" s="76">
        <v>8.02</v>
      </c>
      <c r="D8" s="11">
        <v>84</v>
      </c>
      <c r="E8" s="11">
        <v>149</v>
      </c>
      <c r="F8" s="11">
        <v>1.2</v>
      </c>
      <c r="G8" s="11">
        <v>1.2</v>
      </c>
      <c r="H8" s="76">
        <v>86</v>
      </c>
      <c r="I8" s="11">
        <v>16</v>
      </c>
      <c r="J8" s="76">
        <v>14.7</v>
      </c>
      <c r="K8" s="76"/>
      <c r="L8" s="11">
        <v>4.3</v>
      </c>
      <c r="M8" s="76"/>
    </row>
    <row r="9" spans="1:13" x14ac:dyDescent="0.35">
      <c r="A9" s="75">
        <v>44280</v>
      </c>
      <c r="B9" s="76">
        <v>14.9</v>
      </c>
      <c r="C9" s="76">
        <v>8.19</v>
      </c>
      <c r="D9" s="11">
        <v>84.8</v>
      </c>
      <c r="E9" s="11">
        <v>162</v>
      </c>
      <c r="F9" s="11">
        <v>1.1000000000000001</v>
      </c>
      <c r="G9" s="11">
        <v>1.2</v>
      </c>
      <c r="H9" s="76">
        <v>88</v>
      </c>
      <c r="I9" s="76">
        <v>14.4</v>
      </c>
      <c r="J9" s="76">
        <v>14.7</v>
      </c>
      <c r="K9" s="76"/>
      <c r="L9" s="11"/>
      <c r="M9" s="76" t="s">
        <v>72</v>
      </c>
    </row>
    <row r="10" spans="1:13" x14ac:dyDescent="0.35">
      <c r="A10" s="75">
        <v>44281</v>
      </c>
      <c r="B10" s="76">
        <v>14.4</v>
      </c>
      <c r="C10" s="76">
        <v>7.96</v>
      </c>
      <c r="D10" s="11">
        <v>84.2</v>
      </c>
      <c r="E10" s="11">
        <v>168</v>
      </c>
      <c r="F10" s="11">
        <v>1.2</v>
      </c>
      <c r="G10" s="11">
        <v>1.3</v>
      </c>
      <c r="H10" s="76">
        <v>87</v>
      </c>
      <c r="I10" s="76">
        <v>14.9</v>
      </c>
      <c r="J10" s="76">
        <v>14.2</v>
      </c>
      <c r="K10" s="76"/>
      <c r="L10" s="11">
        <v>5.0999999999999996</v>
      </c>
      <c r="M10" s="76" t="s">
        <v>73</v>
      </c>
    </row>
    <row r="11" spans="1:13" x14ac:dyDescent="0.35">
      <c r="A11" s="75">
        <v>44282</v>
      </c>
      <c r="B11" s="76">
        <v>14.4</v>
      </c>
      <c r="C11" s="76">
        <v>7.64</v>
      </c>
      <c r="D11" s="11">
        <v>85.1</v>
      </c>
      <c r="E11" s="11">
        <v>168</v>
      </c>
      <c r="F11" s="11">
        <v>1.2</v>
      </c>
      <c r="G11" s="11">
        <v>1.3</v>
      </c>
      <c r="H11" s="76">
        <v>88</v>
      </c>
      <c r="I11" s="76">
        <v>15.5</v>
      </c>
      <c r="J11" s="76">
        <v>14.2</v>
      </c>
      <c r="K11" s="76"/>
      <c r="L11" s="11"/>
      <c r="M11" s="76" t="s">
        <v>74</v>
      </c>
    </row>
    <row r="12" spans="1:13" x14ac:dyDescent="0.35">
      <c r="A12" s="75">
        <v>44283</v>
      </c>
      <c r="B12" s="76">
        <v>14.7</v>
      </c>
      <c r="C12" s="76">
        <v>7.45</v>
      </c>
      <c r="D12" s="11">
        <v>84.4</v>
      </c>
      <c r="E12" s="11">
        <v>167</v>
      </c>
      <c r="F12" s="11">
        <v>1.2</v>
      </c>
      <c r="G12" s="11">
        <v>1.3</v>
      </c>
      <c r="H12" s="76">
        <v>84</v>
      </c>
      <c r="I12" s="76">
        <v>16.5</v>
      </c>
      <c r="J12" s="76">
        <v>14.6</v>
      </c>
      <c r="K12" s="76"/>
      <c r="L12" s="11"/>
      <c r="M12" s="76"/>
    </row>
    <row r="13" spans="1:13" x14ac:dyDescent="0.35">
      <c r="A13" s="75">
        <v>44284</v>
      </c>
      <c r="B13" s="76">
        <v>14.9</v>
      </c>
      <c r="C13" s="76">
        <v>7.18</v>
      </c>
      <c r="D13" s="11">
        <v>85</v>
      </c>
      <c r="E13" s="11">
        <v>168</v>
      </c>
      <c r="F13" s="11">
        <v>1.6</v>
      </c>
      <c r="G13" s="11">
        <v>1.6</v>
      </c>
      <c r="H13" s="76">
        <v>87</v>
      </c>
      <c r="I13" s="76">
        <v>15.8</v>
      </c>
      <c r="J13" s="76">
        <v>14.8</v>
      </c>
      <c r="K13" s="76"/>
      <c r="L13" s="11">
        <v>10</v>
      </c>
      <c r="M13" s="76"/>
    </row>
    <row r="14" spans="1:13" x14ac:dyDescent="0.35">
      <c r="A14" s="75">
        <v>44285</v>
      </c>
      <c r="B14" s="76">
        <v>14.7</v>
      </c>
      <c r="C14" s="76">
        <v>7.24</v>
      </c>
      <c r="D14" s="11">
        <v>85</v>
      </c>
      <c r="E14" s="11">
        <v>168</v>
      </c>
      <c r="F14" s="11">
        <v>2</v>
      </c>
      <c r="G14" s="11">
        <v>2</v>
      </c>
      <c r="H14" s="76">
        <v>85</v>
      </c>
      <c r="I14" s="76">
        <v>16.600000000000001</v>
      </c>
      <c r="J14" s="76">
        <v>14.4</v>
      </c>
      <c r="K14" s="76"/>
      <c r="L14" s="11"/>
      <c r="M14" s="76"/>
    </row>
    <row r="15" spans="1:13" x14ac:dyDescent="0.35">
      <c r="A15" s="75">
        <v>44286</v>
      </c>
      <c r="B15" s="76">
        <v>14.7</v>
      </c>
      <c r="C15" s="76">
        <v>7.24</v>
      </c>
      <c r="D15" s="11">
        <v>84.7</v>
      </c>
      <c r="E15" s="11">
        <v>171.2</v>
      </c>
      <c r="F15" s="11">
        <v>1.9</v>
      </c>
      <c r="G15" s="11">
        <v>2</v>
      </c>
      <c r="H15" s="76">
        <v>85</v>
      </c>
      <c r="I15" s="76">
        <v>16.3</v>
      </c>
      <c r="J15" s="76">
        <v>14.4</v>
      </c>
      <c r="K15" s="76"/>
      <c r="L15" s="11">
        <v>7</v>
      </c>
      <c r="M15" s="76"/>
    </row>
    <row r="16" spans="1:13" x14ac:dyDescent="0.35">
      <c r="A16" s="75">
        <v>44287</v>
      </c>
      <c r="B16" s="76">
        <v>12.5</v>
      </c>
      <c r="C16" s="76">
        <v>7.25</v>
      </c>
      <c r="D16" s="11">
        <v>85.1</v>
      </c>
      <c r="E16" s="11">
        <v>168.6</v>
      </c>
      <c r="F16" s="11">
        <v>2</v>
      </c>
      <c r="G16" s="11">
        <v>2</v>
      </c>
      <c r="H16" s="76">
        <v>87</v>
      </c>
      <c r="I16" s="76">
        <v>15.1</v>
      </c>
      <c r="J16" s="76">
        <v>12.2</v>
      </c>
      <c r="K16" s="76"/>
      <c r="L16" s="11">
        <v>6.7</v>
      </c>
      <c r="M16" s="76" t="s">
        <v>75</v>
      </c>
    </row>
    <row r="17" spans="1:13" x14ac:dyDescent="0.35">
      <c r="A17" s="75">
        <v>44288</v>
      </c>
      <c r="B17" s="76">
        <v>12.9</v>
      </c>
      <c r="C17" s="76">
        <v>7.2</v>
      </c>
      <c r="D17" s="11">
        <v>85.4</v>
      </c>
      <c r="E17" s="11">
        <v>168.6</v>
      </c>
      <c r="F17" s="11">
        <v>2</v>
      </c>
      <c r="G17" s="11">
        <v>2.1</v>
      </c>
      <c r="H17" s="76">
        <v>85</v>
      </c>
      <c r="I17" s="76">
        <v>15.9</v>
      </c>
      <c r="J17" s="76">
        <v>12.8</v>
      </c>
      <c r="K17" s="76"/>
      <c r="L17" s="11">
        <v>5.2</v>
      </c>
      <c r="M17" s="76"/>
    </row>
    <row r="18" spans="1:13" x14ac:dyDescent="0.35">
      <c r="A18" s="75">
        <v>44289</v>
      </c>
      <c r="B18" s="76">
        <v>12.8</v>
      </c>
      <c r="C18" s="76">
        <v>7.22</v>
      </c>
      <c r="D18" s="11">
        <v>84.4</v>
      </c>
      <c r="E18" s="11">
        <v>168.7</v>
      </c>
      <c r="F18" s="11">
        <v>2</v>
      </c>
      <c r="G18" s="11">
        <v>1.9</v>
      </c>
      <c r="H18" s="76">
        <v>87</v>
      </c>
      <c r="I18" s="76">
        <v>16.2</v>
      </c>
      <c r="J18" s="76">
        <v>12.5</v>
      </c>
      <c r="K18" s="76"/>
      <c r="L18" s="11"/>
      <c r="M18" s="76" t="s">
        <v>76</v>
      </c>
    </row>
    <row r="19" spans="1:13" x14ac:dyDescent="0.35">
      <c r="A19" s="75">
        <v>44290</v>
      </c>
      <c r="B19" s="76">
        <v>13.1</v>
      </c>
      <c r="C19" s="76">
        <v>7.21</v>
      </c>
      <c r="D19" s="11">
        <v>85.5</v>
      </c>
      <c r="E19" s="11">
        <v>171.8</v>
      </c>
      <c r="F19" s="11">
        <v>1.8</v>
      </c>
      <c r="G19" s="11">
        <v>2.2000000000000002</v>
      </c>
      <c r="H19" s="76">
        <v>85</v>
      </c>
      <c r="I19" s="76">
        <v>16.3</v>
      </c>
      <c r="J19" s="76">
        <v>12.9</v>
      </c>
      <c r="K19" s="76"/>
      <c r="L19" s="11"/>
      <c r="M19" s="76"/>
    </row>
    <row r="20" spans="1:13" x14ac:dyDescent="0.35">
      <c r="A20" s="75">
        <v>44291</v>
      </c>
      <c r="B20" s="76">
        <v>11.4</v>
      </c>
      <c r="C20" s="76">
        <v>7.17</v>
      </c>
      <c r="D20" s="11">
        <v>84.2</v>
      </c>
      <c r="E20" s="11">
        <v>172</v>
      </c>
      <c r="F20" s="11">
        <v>8</v>
      </c>
      <c r="G20" s="11">
        <v>8</v>
      </c>
      <c r="H20" s="76">
        <v>84</v>
      </c>
      <c r="I20" s="76">
        <v>17.8</v>
      </c>
      <c r="J20" s="76">
        <v>11.1</v>
      </c>
      <c r="K20" s="76"/>
      <c r="L20" s="11">
        <v>5.5</v>
      </c>
      <c r="M20" s="76"/>
    </row>
    <row r="21" spans="1:13" x14ac:dyDescent="0.35">
      <c r="A21" s="75">
        <v>44292</v>
      </c>
      <c r="B21" s="76">
        <v>12.8</v>
      </c>
      <c r="C21" s="76">
        <v>7.1</v>
      </c>
      <c r="D21" s="11">
        <v>85.2</v>
      </c>
      <c r="E21" s="11">
        <v>173.2</v>
      </c>
      <c r="F21" s="11">
        <v>3</v>
      </c>
      <c r="G21" s="11">
        <v>4</v>
      </c>
      <c r="H21" s="76">
        <v>84</v>
      </c>
      <c r="I21" s="76">
        <v>17.2</v>
      </c>
      <c r="J21" s="76">
        <v>12.6</v>
      </c>
      <c r="K21" s="76"/>
      <c r="L21" s="11"/>
      <c r="M21" s="76"/>
    </row>
    <row r="22" spans="1:13" x14ac:dyDescent="0.35">
      <c r="A22" s="75">
        <v>44293</v>
      </c>
      <c r="B22" s="76">
        <v>12.6</v>
      </c>
      <c r="C22" s="76">
        <v>7.09</v>
      </c>
      <c r="D22" s="11">
        <v>84.7</v>
      </c>
      <c r="E22" s="11">
        <v>175</v>
      </c>
      <c r="F22" s="11">
        <v>3</v>
      </c>
      <c r="G22" s="11">
        <v>4</v>
      </c>
      <c r="H22" s="76">
        <v>88</v>
      </c>
      <c r="I22" s="76">
        <v>14.9</v>
      </c>
      <c r="J22" s="76">
        <v>12.6</v>
      </c>
      <c r="K22" s="76"/>
      <c r="L22" s="11">
        <v>4.5999999999999996</v>
      </c>
      <c r="M22" s="76"/>
    </row>
    <row r="23" spans="1:13" x14ac:dyDescent="0.35">
      <c r="A23" s="75">
        <v>44294</v>
      </c>
      <c r="B23" s="76">
        <v>13.3</v>
      </c>
      <c r="C23" s="76">
        <v>7.09</v>
      </c>
      <c r="D23" s="11">
        <v>84.4</v>
      </c>
      <c r="E23" s="11">
        <v>175</v>
      </c>
      <c r="F23" s="11">
        <v>3.2</v>
      </c>
      <c r="G23" s="11">
        <v>3.8</v>
      </c>
      <c r="H23" s="76">
        <v>88</v>
      </c>
      <c r="I23" s="76">
        <v>15.5</v>
      </c>
      <c r="J23" s="76">
        <v>13.1</v>
      </c>
      <c r="K23" s="76"/>
      <c r="L23" s="11"/>
      <c r="M23" s="76" t="s">
        <v>77</v>
      </c>
    </row>
    <row r="24" spans="1:13" x14ac:dyDescent="0.35">
      <c r="A24" s="75">
        <v>44295</v>
      </c>
      <c r="B24" s="76">
        <v>13.3</v>
      </c>
      <c r="C24" s="76">
        <v>7.1</v>
      </c>
      <c r="D24" s="11">
        <v>84.4</v>
      </c>
      <c r="E24" s="11">
        <v>173.3</v>
      </c>
      <c r="F24" s="11">
        <v>4.4000000000000004</v>
      </c>
      <c r="G24" s="11">
        <v>6</v>
      </c>
      <c r="H24" s="76">
        <v>86</v>
      </c>
      <c r="I24" s="76">
        <v>15.6</v>
      </c>
      <c r="J24" s="76">
        <v>13.1</v>
      </c>
      <c r="K24" s="76"/>
      <c r="L24" s="76"/>
      <c r="M24" s="76"/>
    </row>
    <row r="25" spans="1:13" x14ac:dyDescent="0.35">
      <c r="A25" s="75">
        <v>44296</v>
      </c>
      <c r="B25" s="76">
        <v>12.4</v>
      </c>
      <c r="C25" s="76">
        <v>7.11</v>
      </c>
      <c r="D25" s="11">
        <v>84.6</v>
      </c>
      <c r="E25" s="11">
        <v>172.5</v>
      </c>
      <c r="F25" s="11">
        <v>4</v>
      </c>
      <c r="G25" s="11">
        <v>6.4</v>
      </c>
      <c r="H25" s="76">
        <v>87</v>
      </c>
      <c r="I25" s="76">
        <v>14.3</v>
      </c>
      <c r="J25" s="76">
        <v>12.1</v>
      </c>
      <c r="K25" s="76"/>
      <c r="L25" s="76"/>
      <c r="M25" s="76"/>
    </row>
    <row r="26" spans="1:13" x14ac:dyDescent="0.35">
      <c r="A26" s="75">
        <v>44297</v>
      </c>
      <c r="B26" s="76">
        <v>12.3</v>
      </c>
      <c r="C26" s="76">
        <v>7.08</v>
      </c>
      <c r="D26" s="11">
        <v>83.9</v>
      </c>
      <c r="E26" s="11">
        <v>170.9</v>
      </c>
      <c r="F26" s="11">
        <v>3.2</v>
      </c>
      <c r="G26" s="11">
        <v>4.2</v>
      </c>
      <c r="H26" s="76">
        <v>88</v>
      </c>
      <c r="I26" s="76">
        <v>13.8</v>
      </c>
      <c r="J26" s="76">
        <v>12.1</v>
      </c>
      <c r="K26" s="76"/>
      <c r="L26" s="76"/>
      <c r="M26" s="76"/>
    </row>
    <row r="27" spans="1:13" x14ac:dyDescent="0.35">
      <c r="A27" s="75">
        <v>44298</v>
      </c>
      <c r="B27" s="76">
        <v>13.2</v>
      </c>
      <c r="C27" s="76">
        <v>7.04</v>
      </c>
      <c r="D27" s="11">
        <v>86.3</v>
      </c>
      <c r="E27" s="11">
        <v>170.1</v>
      </c>
      <c r="F27" s="11">
        <v>3.2</v>
      </c>
      <c r="G27" s="11">
        <v>4.2</v>
      </c>
      <c r="H27" s="76">
        <v>90</v>
      </c>
      <c r="I27" s="76">
        <v>15.5</v>
      </c>
      <c r="J27" s="76">
        <v>12.9</v>
      </c>
      <c r="K27" s="76"/>
      <c r="L27" s="76">
        <v>7.7</v>
      </c>
      <c r="M27" s="76" t="s">
        <v>78</v>
      </c>
    </row>
    <row r="28" spans="1:13" x14ac:dyDescent="0.35">
      <c r="A28" s="75">
        <v>44299</v>
      </c>
      <c r="B28" s="76">
        <v>14.3</v>
      </c>
      <c r="C28" s="76">
        <v>7.11</v>
      </c>
      <c r="D28" s="11">
        <v>88</v>
      </c>
      <c r="E28" s="11">
        <v>164.4</v>
      </c>
      <c r="F28" s="11">
        <v>1.4</v>
      </c>
      <c r="G28" s="11">
        <v>2.2000000000000002</v>
      </c>
      <c r="H28" s="76">
        <v>88</v>
      </c>
      <c r="I28" s="11">
        <v>14.6</v>
      </c>
      <c r="J28" s="76">
        <v>14.1</v>
      </c>
      <c r="K28" s="76"/>
      <c r="L28" s="76"/>
      <c r="M28" s="76"/>
    </row>
    <row r="29" spans="1:13" x14ac:dyDescent="0.35">
      <c r="A29" s="75">
        <v>44300</v>
      </c>
      <c r="B29" s="76">
        <v>14.1</v>
      </c>
      <c r="C29" s="76">
        <v>7.11</v>
      </c>
      <c r="D29" s="11">
        <v>84.4</v>
      </c>
      <c r="E29" s="11">
        <v>176.1</v>
      </c>
      <c r="F29" s="11">
        <v>1.4</v>
      </c>
      <c r="G29" s="11">
        <v>1.8</v>
      </c>
      <c r="H29" s="76">
        <v>86</v>
      </c>
      <c r="I29" s="11">
        <v>15.3</v>
      </c>
      <c r="J29" s="76">
        <v>13.9</v>
      </c>
      <c r="K29" s="76"/>
      <c r="L29" s="76">
        <v>6.7</v>
      </c>
      <c r="M29" s="76"/>
    </row>
    <row r="30" spans="1:13" x14ac:dyDescent="0.35">
      <c r="A30" s="75">
        <v>44301</v>
      </c>
      <c r="B30" s="76">
        <v>14.2</v>
      </c>
      <c r="C30" s="76">
        <v>7.1</v>
      </c>
      <c r="D30" s="11">
        <v>86</v>
      </c>
      <c r="E30" s="11">
        <v>177.4</v>
      </c>
      <c r="F30" s="11">
        <v>1.4</v>
      </c>
      <c r="G30" s="11">
        <v>2</v>
      </c>
      <c r="H30" s="76">
        <v>88</v>
      </c>
      <c r="I30" s="11">
        <v>15.6</v>
      </c>
      <c r="J30" s="11">
        <v>14</v>
      </c>
      <c r="K30" s="76"/>
      <c r="L30" s="76"/>
      <c r="M30" s="76"/>
    </row>
    <row r="31" spans="1:13" x14ac:dyDescent="0.35">
      <c r="A31" s="75">
        <v>44302</v>
      </c>
      <c r="B31" s="76">
        <v>14.1</v>
      </c>
      <c r="C31" s="76">
        <v>7.09</v>
      </c>
      <c r="D31" s="11">
        <v>86</v>
      </c>
      <c r="E31" s="11">
        <v>175.6</v>
      </c>
      <c r="F31" s="11">
        <v>1.4</v>
      </c>
      <c r="G31" s="11">
        <v>2</v>
      </c>
      <c r="H31" s="76">
        <v>87</v>
      </c>
      <c r="I31" s="11">
        <v>15.7</v>
      </c>
      <c r="J31" s="76">
        <v>13.9</v>
      </c>
      <c r="K31" s="76"/>
      <c r="L31" s="76"/>
      <c r="M31" s="76"/>
    </row>
    <row r="32" spans="1:13" x14ac:dyDescent="0.35">
      <c r="A32" s="75">
        <v>44303</v>
      </c>
      <c r="B32" s="76">
        <v>14.1</v>
      </c>
      <c r="C32" s="76">
        <v>7.1</v>
      </c>
      <c r="D32" s="11">
        <v>84</v>
      </c>
      <c r="E32" s="11">
        <v>172.4</v>
      </c>
      <c r="F32" s="11">
        <v>1.4</v>
      </c>
      <c r="G32" s="11">
        <v>1.6</v>
      </c>
      <c r="H32" s="76">
        <v>86</v>
      </c>
      <c r="I32" s="11">
        <v>15.9</v>
      </c>
      <c r="J32" s="76">
        <v>13.9</v>
      </c>
      <c r="K32" s="76"/>
      <c r="L32" s="76">
        <v>10.6</v>
      </c>
      <c r="M32" s="76"/>
    </row>
    <row r="33" spans="1:13" x14ac:dyDescent="0.35">
      <c r="A33" s="75">
        <v>44304</v>
      </c>
      <c r="B33" s="76">
        <v>14</v>
      </c>
      <c r="C33" s="76">
        <v>7.1</v>
      </c>
      <c r="D33" s="11">
        <v>84</v>
      </c>
      <c r="E33" s="11">
        <v>170.7</v>
      </c>
      <c r="F33" s="11">
        <v>1.2</v>
      </c>
      <c r="G33" s="11">
        <v>1.6</v>
      </c>
      <c r="H33" s="76">
        <v>87</v>
      </c>
      <c r="I33" s="11">
        <v>15.9</v>
      </c>
      <c r="J33" s="11">
        <v>14</v>
      </c>
      <c r="K33" s="76"/>
      <c r="L33" s="76">
        <v>10.6</v>
      </c>
      <c r="M33" s="76"/>
    </row>
    <row r="34" spans="1:13" x14ac:dyDescent="0.35">
      <c r="A34" s="75">
        <v>44305</v>
      </c>
      <c r="B34" s="76">
        <v>14.3</v>
      </c>
      <c r="C34" s="76">
        <v>7.14</v>
      </c>
      <c r="D34" s="11">
        <v>86</v>
      </c>
      <c r="E34" s="11">
        <v>166.2</v>
      </c>
      <c r="F34" s="11">
        <v>1.2</v>
      </c>
      <c r="G34" s="11">
        <v>2.2000000000000002</v>
      </c>
      <c r="H34" s="76">
        <v>90</v>
      </c>
      <c r="I34" s="11">
        <v>16.100000000000001</v>
      </c>
      <c r="J34" s="76">
        <v>14.1</v>
      </c>
      <c r="K34" s="76"/>
      <c r="L34" s="76">
        <v>8.6</v>
      </c>
      <c r="M34" s="76"/>
    </row>
    <row r="35" spans="1:13" x14ac:dyDescent="0.35">
      <c r="A35" s="77">
        <v>44306</v>
      </c>
      <c r="B35" s="78">
        <v>14.1</v>
      </c>
      <c r="C35" s="78">
        <v>7.07</v>
      </c>
      <c r="D35" s="79">
        <v>84</v>
      </c>
      <c r="E35" s="79">
        <v>162.19999999999999</v>
      </c>
      <c r="F35" s="79">
        <v>1.2</v>
      </c>
      <c r="G35" s="79">
        <v>2.2000000000000002</v>
      </c>
      <c r="H35" s="78">
        <v>87</v>
      </c>
      <c r="I35" s="79">
        <v>15.5</v>
      </c>
      <c r="J35" s="78">
        <v>13.8</v>
      </c>
      <c r="K35" s="78"/>
      <c r="L35" s="78"/>
      <c r="M35" s="78"/>
    </row>
    <row r="36" spans="1:13" x14ac:dyDescent="0.35">
      <c r="A36" s="75">
        <v>44309</v>
      </c>
      <c r="B36" s="76">
        <v>14.3</v>
      </c>
      <c r="C36" s="76">
        <v>7.1</v>
      </c>
      <c r="D36" s="11">
        <v>84</v>
      </c>
      <c r="E36" s="11">
        <v>163.19999999999999</v>
      </c>
      <c r="F36" s="11">
        <v>1.2</v>
      </c>
      <c r="G36" s="11">
        <v>2.4</v>
      </c>
      <c r="H36" s="76">
        <v>88</v>
      </c>
      <c r="I36" s="11">
        <v>15.9</v>
      </c>
      <c r="J36" s="11">
        <v>14</v>
      </c>
      <c r="K36" s="76"/>
      <c r="L36" s="76">
        <v>8.1</v>
      </c>
      <c r="M36" s="76" t="s">
        <v>79</v>
      </c>
    </row>
    <row r="37" spans="1:13" x14ac:dyDescent="0.35">
      <c r="A37" s="75">
        <v>44310</v>
      </c>
      <c r="B37" s="76">
        <v>14.3</v>
      </c>
      <c r="C37" s="76">
        <v>7.1</v>
      </c>
      <c r="D37" s="11">
        <v>85</v>
      </c>
      <c r="E37" s="11">
        <v>165.6</v>
      </c>
      <c r="F37" s="11">
        <v>1</v>
      </c>
      <c r="G37" s="11">
        <v>2.4</v>
      </c>
      <c r="H37" s="76">
        <v>86</v>
      </c>
      <c r="I37" s="11">
        <v>15.5</v>
      </c>
      <c r="J37" s="11">
        <v>14</v>
      </c>
      <c r="K37" s="76"/>
      <c r="L37" s="76"/>
      <c r="M37" s="76"/>
    </row>
    <row r="38" spans="1:13" x14ac:dyDescent="0.35">
      <c r="A38" s="75">
        <v>44311</v>
      </c>
      <c r="B38" s="76">
        <v>13.4</v>
      </c>
      <c r="C38" s="76">
        <v>7.1</v>
      </c>
      <c r="D38" s="11">
        <v>85</v>
      </c>
      <c r="E38" s="11">
        <v>165.7</v>
      </c>
      <c r="F38" s="11">
        <v>1</v>
      </c>
      <c r="G38" s="11">
        <v>2.4</v>
      </c>
      <c r="H38" s="76">
        <v>88</v>
      </c>
      <c r="I38" s="11">
        <v>14.7</v>
      </c>
      <c r="J38" s="76">
        <v>13.2</v>
      </c>
      <c r="K38" s="76"/>
      <c r="L38" s="76"/>
      <c r="M38" s="76"/>
    </row>
    <row r="39" spans="1:13" x14ac:dyDescent="0.35">
      <c r="A39" s="75">
        <v>44312</v>
      </c>
      <c r="B39" s="76">
        <v>13.5</v>
      </c>
      <c r="C39" s="76">
        <v>7.09</v>
      </c>
      <c r="D39" s="11">
        <v>85</v>
      </c>
      <c r="E39" s="11">
        <v>166.2</v>
      </c>
      <c r="F39" s="11">
        <v>1.2</v>
      </c>
      <c r="G39" s="11">
        <v>2.8</v>
      </c>
      <c r="H39" s="76">
        <v>88</v>
      </c>
      <c r="I39" s="11">
        <v>13.4</v>
      </c>
      <c r="J39" s="76">
        <v>13.3</v>
      </c>
      <c r="K39" s="76"/>
      <c r="L39" s="76">
        <v>5.3</v>
      </c>
      <c r="M39" s="76"/>
    </row>
    <row r="40" spans="1:13" x14ac:dyDescent="0.35">
      <c r="A40" s="75">
        <v>44313</v>
      </c>
      <c r="B40" s="76">
        <v>13.5</v>
      </c>
      <c r="C40" s="76"/>
      <c r="D40" s="11">
        <v>89</v>
      </c>
      <c r="E40" s="11">
        <v>166.8</v>
      </c>
      <c r="F40" s="76"/>
      <c r="G40" s="76"/>
      <c r="H40" s="76"/>
      <c r="I40" s="76"/>
      <c r="J40" s="76"/>
      <c r="K40" s="76"/>
      <c r="L40" s="76"/>
      <c r="M40" s="76" t="s">
        <v>80</v>
      </c>
    </row>
    <row r="41" spans="1:13" x14ac:dyDescent="0.35">
      <c r="A41" s="75">
        <v>44314</v>
      </c>
      <c r="B41" s="76">
        <v>14.1</v>
      </c>
      <c r="C41" s="76">
        <v>7.26</v>
      </c>
      <c r="D41" s="11">
        <v>84</v>
      </c>
      <c r="E41" s="11">
        <v>166.2</v>
      </c>
      <c r="F41" s="11">
        <v>1</v>
      </c>
      <c r="G41" s="11">
        <v>2.1</v>
      </c>
      <c r="H41" s="11">
        <v>90</v>
      </c>
      <c r="I41" s="11">
        <v>14.5</v>
      </c>
      <c r="J41" s="11">
        <v>14</v>
      </c>
      <c r="K41" s="76"/>
      <c r="L41" s="11">
        <v>10.3</v>
      </c>
      <c r="M41" s="76" t="s">
        <v>81</v>
      </c>
    </row>
    <row r="42" spans="1:13" x14ac:dyDescent="0.35">
      <c r="A42" s="75">
        <v>44315</v>
      </c>
      <c r="B42" s="76">
        <v>13.8</v>
      </c>
      <c r="C42" s="76">
        <v>7.2</v>
      </c>
      <c r="D42" s="11">
        <v>84</v>
      </c>
      <c r="E42" s="11">
        <v>165.2</v>
      </c>
      <c r="F42" s="11">
        <v>1</v>
      </c>
      <c r="G42" s="11">
        <v>1.8</v>
      </c>
      <c r="H42" s="11">
        <v>90</v>
      </c>
      <c r="I42" s="11">
        <v>14.6</v>
      </c>
      <c r="J42" s="11">
        <v>13.5</v>
      </c>
      <c r="K42" s="76"/>
      <c r="L42" s="76"/>
      <c r="M42" s="76"/>
    </row>
    <row r="43" spans="1:13" x14ac:dyDescent="0.35">
      <c r="A43" s="75">
        <v>44316</v>
      </c>
      <c r="B43" s="76">
        <v>13.8</v>
      </c>
      <c r="C43" s="76">
        <v>7.19</v>
      </c>
      <c r="D43" s="11">
        <v>84</v>
      </c>
      <c r="E43" s="11">
        <v>163.30000000000001</v>
      </c>
      <c r="F43" s="80" t="s">
        <v>82</v>
      </c>
      <c r="G43" s="11">
        <v>1.6</v>
      </c>
      <c r="H43" s="11">
        <v>90</v>
      </c>
      <c r="I43" s="11">
        <v>14.7</v>
      </c>
      <c r="J43" s="11">
        <v>13.6</v>
      </c>
      <c r="K43" s="76"/>
      <c r="L43" s="11">
        <v>5.8</v>
      </c>
      <c r="M43" s="76"/>
    </row>
  </sheetData>
  <mergeCells count="5">
    <mergeCell ref="B4:D4"/>
    <mergeCell ref="F4:G4"/>
    <mergeCell ref="H4:K4"/>
    <mergeCell ref="L4:L5"/>
    <mergeCell ref="M4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A82C-3EB2-4698-A024-6180380C6120}">
  <dimension ref="A1:O42"/>
  <sheetViews>
    <sheetView zoomScale="80" zoomScaleNormal="80" workbookViewId="0">
      <selection activeCell="B43" sqref="B43"/>
    </sheetView>
  </sheetViews>
  <sheetFormatPr baseColWidth="10" defaultRowHeight="14.5" x14ac:dyDescent="0.35"/>
  <cols>
    <col min="15" max="15" width="33.7265625" customWidth="1"/>
  </cols>
  <sheetData>
    <row r="1" spans="1:15" ht="15" thickBot="1" x14ac:dyDescent="0.4"/>
    <row r="2" spans="1:15" x14ac:dyDescent="0.35">
      <c r="A2" s="216" t="s">
        <v>91</v>
      </c>
      <c r="B2" s="214" t="s">
        <v>29</v>
      </c>
      <c r="C2" s="218" t="s">
        <v>92</v>
      </c>
      <c r="D2" s="214" t="s">
        <v>93</v>
      </c>
      <c r="E2" s="214" t="s">
        <v>94</v>
      </c>
      <c r="F2" s="214" t="s">
        <v>95</v>
      </c>
      <c r="G2" s="214" t="s">
        <v>96</v>
      </c>
      <c r="H2" s="214" t="s">
        <v>97</v>
      </c>
      <c r="I2" s="214" t="s">
        <v>98</v>
      </c>
      <c r="J2" s="214" t="s">
        <v>86</v>
      </c>
      <c r="K2" s="214" t="s">
        <v>87</v>
      </c>
      <c r="L2" s="214" t="s">
        <v>88</v>
      </c>
      <c r="M2" s="210" t="s">
        <v>99</v>
      </c>
      <c r="N2" s="210" t="s">
        <v>100</v>
      </c>
      <c r="O2" s="212" t="s">
        <v>57</v>
      </c>
    </row>
    <row r="3" spans="1:15" ht="15" thickBot="1" x14ac:dyDescent="0.4">
      <c r="A3" s="217"/>
      <c r="B3" s="215"/>
      <c r="C3" s="219"/>
      <c r="D3" s="215"/>
      <c r="E3" s="215"/>
      <c r="F3" s="215"/>
      <c r="G3" s="215"/>
      <c r="H3" s="215"/>
      <c r="I3" s="215"/>
      <c r="J3" s="215"/>
      <c r="K3" s="215"/>
      <c r="L3" s="215"/>
      <c r="M3" s="211"/>
      <c r="N3" s="211"/>
      <c r="O3" s="213"/>
    </row>
    <row r="4" spans="1:15" x14ac:dyDescent="0.35">
      <c r="A4" s="82">
        <v>44278</v>
      </c>
      <c r="B4" s="81">
        <v>257</v>
      </c>
      <c r="C4" s="81" t="s">
        <v>101</v>
      </c>
      <c r="D4" s="81">
        <v>0</v>
      </c>
      <c r="E4" s="81">
        <v>11350801</v>
      </c>
      <c r="F4" s="83">
        <v>650</v>
      </c>
      <c r="G4" s="81">
        <v>247</v>
      </c>
      <c r="H4" s="81" t="s">
        <v>102</v>
      </c>
      <c r="I4" s="81"/>
      <c r="J4" s="81"/>
      <c r="K4" s="81"/>
      <c r="L4" s="81"/>
      <c r="M4" s="81"/>
      <c r="N4" s="81"/>
      <c r="O4" s="81" t="s">
        <v>71</v>
      </c>
    </row>
    <row r="5" spans="1:15" x14ac:dyDescent="0.35">
      <c r="A5" s="84">
        <v>44279</v>
      </c>
      <c r="B5" s="76">
        <v>523</v>
      </c>
      <c r="C5" s="76" t="s">
        <v>103</v>
      </c>
      <c r="D5" s="76">
        <v>0</v>
      </c>
      <c r="E5" s="76"/>
      <c r="F5" s="80">
        <v>1000</v>
      </c>
      <c r="G5" s="76">
        <v>400</v>
      </c>
      <c r="H5" s="76"/>
      <c r="I5" s="76"/>
      <c r="J5" s="76">
        <v>0.09</v>
      </c>
      <c r="K5" s="76"/>
      <c r="L5" s="76"/>
      <c r="M5" s="76"/>
      <c r="N5" s="76"/>
      <c r="O5" s="76" t="s">
        <v>104</v>
      </c>
    </row>
    <row r="6" spans="1:15" x14ac:dyDescent="0.35">
      <c r="A6" s="84">
        <v>44280</v>
      </c>
      <c r="B6" s="76">
        <v>776</v>
      </c>
      <c r="C6" s="76" t="s">
        <v>105</v>
      </c>
      <c r="D6" s="76">
        <v>0</v>
      </c>
      <c r="E6" s="76"/>
      <c r="F6" s="80">
        <v>2100</v>
      </c>
      <c r="G6" s="76">
        <v>300</v>
      </c>
      <c r="H6" s="76"/>
      <c r="I6" s="76"/>
      <c r="J6" s="19">
        <v>0.2</v>
      </c>
      <c r="K6" s="76">
        <v>0.67</v>
      </c>
      <c r="L6" s="76">
        <v>3.9</v>
      </c>
      <c r="M6" s="76"/>
      <c r="N6" s="76"/>
      <c r="O6" s="76"/>
    </row>
    <row r="7" spans="1:15" x14ac:dyDescent="0.35">
      <c r="A7" s="84">
        <v>44281</v>
      </c>
      <c r="B7" s="76">
        <v>763</v>
      </c>
      <c r="C7" s="76" t="s">
        <v>106</v>
      </c>
      <c r="D7" s="76">
        <v>-13</v>
      </c>
      <c r="E7" s="76"/>
      <c r="F7" s="80" t="s">
        <v>107</v>
      </c>
      <c r="G7" s="76">
        <v>260</v>
      </c>
      <c r="H7" s="76"/>
      <c r="I7" s="76"/>
      <c r="J7" s="76">
        <v>0.34</v>
      </c>
      <c r="K7" s="76">
        <v>0.94</v>
      </c>
      <c r="L7" s="76"/>
      <c r="M7" s="76"/>
      <c r="N7" s="76"/>
      <c r="O7" s="76"/>
    </row>
    <row r="8" spans="1:15" x14ac:dyDescent="0.35">
      <c r="A8" s="84">
        <v>44282</v>
      </c>
      <c r="B8" s="76"/>
      <c r="C8" s="76"/>
      <c r="D8" s="76">
        <v>0</v>
      </c>
      <c r="E8" s="76"/>
      <c r="F8" s="80"/>
      <c r="G8" s="76">
        <v>150</v>
      </c>
      <c r="H8" s="76"/>
      <c r="I8" s="76"/>
      <c r="J8" s="76"/>
      <c r="K8" s="76"/>
      <c r="L8" s="76"/>
      <c r="M8" s="76"/>
      <c r="N8" s="76"/>
      <c r="O8" s="76"/>
    </row>
    <row r="9" spans="1:15" x14ac:dyDescent="0.35">
      <c r="A9" s="84">
        <v>44283</v>
      </c>
      <c r="B9" s="76"/>
      <c r="C9" s="76"/>
      <c r="D9" s="76">
        <v>0</v>
      </c>
      <c r="E9" s="76"/>
      <c r="F9" s="80"/>
      <c r="G9" s="76">
        <v>100</v>
      </c>
      <c r="H9" s="76"/>
      <c r="I9" s="76"/>
      <c r="J9" s="76"/>
      <c r="K9" s="76"/>
      <c r="L9" s="76"/>
      <c r="M9" s="76"/>
      <c r="N9" s="76"/>
      <c r="O9" s="76"/>
    </row>
    <row r="10" spans="1:15" x14ac:dyDescent="0.35">
      <c r="A10" s="84">
        <v>44284</v>
      </c>
      <c r="B10" s="76"/>
      <c r="C10" s="76"/>
      <c r="D10" s="76">
        <v>0</v>
      </c>
      <c r="E10" s="76"/>
      <c r="F10" s="80" t="s">
        <v>108</v>
      </c>
      <c r="G10" s="76">
        <v>90</v>
      </c>
      <c r="H10" s="76"/>
      <c r="I10" s="76">
        <v>1</v>
      </c>
      <c r="J10" s="76">
        <v>4.8</v>
      </c>
      <c r="K10" s="76">
        <v>1.24</v>
      </c>
      <c r="L10" s="76">
        <v>8.4</v>
      </c>
      <c r="M10" s="76">
        <v>3.7999999999999976</v>
      </c>
      <c r="N10" s="76">
        <v>98</v>
      </c>
      <c r="O10" s="76"/>
    </row>
    <row r="11" spans="1:15" x14ac:dyDescent="0.35">
      <c r="A11" s="84">
        <v>44285</v>
      </c>
      <c r="B11" s="76"/>
      <c r="C11" s="76"/>
      <c r="D11" s="76">
        <v>0</v>
      </c>
      <c r="E11" s="76"/>
      <c r="F11" s="80" t="s">
        <v>108</v>
      </c>
      <c r="G11" s="76">
        <v>90</v>
      </c>
      <c r="H11" s="76"/>
      <c r="I11" s="76"/>
      <c r="J11" s="76">
        <v>2.11</v>
      </c>
      <c r="K11" s="76">
        <v>0.47</v>
      </c>
      <c r="L11" s="76">
        <v>3.7</v>
      </c>
      <c r="M11" s="76"/>
      <c r="N11" s="76"/>
      <c r="O11" s="76"/>
    </row>
    <row r="12" spans="1:15" x14ac:dyDescent="0.35">
      <c r="A12" s="84">
        <v>44286</v>
      </c>
      <c r="B12" s="76"/>
      <c r="C12" s="76"/>
      <c r="D12" s="76">
        <v>0</v>
      </c>
      <c r="E12" s="76"/>
      <c r="F12" s="80" t="s">
        <v>109</v>
      </c>
      <c r="G12" s="76">
        <v>85</v>
      </c>
      <c r="H12" s="76"/>
      <c r="I12" s="76"/>
      <c r="J12" s="76"/>
      <c r="K12" s="76"/>
      <c r="L12" s="76"/>
      <c r="M12" s="76"/>
      <c r="N12" s="76"/>
      <c r="O12" s="76"/>
    </row>
    <row r="13" spans="1:15" x14ac:dyDescent="0.35">
      <c r="A13" s="84">
        <v>44287</v>
      </c>
      <c r="B13" s="76"/>
      <c r="C13" s="76"/>
      <c r="D13" s="76">
        <v>0</v>
      </c>
      <c r="E13" s="76"/>
      <c r="F13" s="80" t="s">
        <v>108</v>
      </c>
      <c r="G13" s="76">
        <v>85</v>
      </c>
      <c r="H13" s="76"/>
      <c r="I13" s="76">
        <v>1</v>
      </c>
      <c r="J13" s="76">
        <v>9.4</v>
      </c>
      <c r="K13" s="76">
        <v>0.28000000000000003</v>
      </c>
      <c r="L13" s="76">
        <v>1.8</v>
      </c>
      <c r="M13" s="76">
        <v>2.6999999999999802</v>
      </c>
      <c r="N13" s="76">
        <v>70</v>
      </c>
      <c r="O13" s="76"/>
    </row>
    <row r="14" spans="1:15" x14ac:dyDescent="0.35">
      <c r="A14" s="84">
        <v>44288</v>
      </c>
      <c r="B14" s="76">
        <v>762</v>
      </c>
      <c r="C14" s="76"/>
      <c r="D14" s="76">
        <v>-1</v>
      </c>
      <c r="E14" s="76"/>
      <c r="F14" s="80" t="s">
        <v>108</v>
      </c>
      <c r="G14" s="76">
        <v>85</v>
      </c>
      <c r="H14" s="76"/>
      <c r="I14" s="76"/>
      <c r="J14" s="76"/>
      <c r="K14" s="76"/>
      <c r="L14" s="76"/>
      <c r="M14" s="76"/>
      <c r="N14" s="76"/>
      <c r="O14" s="76"/>
    </row>
    <row r="15" spans="1:15" x14ac:dyDescent="0.35">
      <c r="A15" s="84">
        <v>44289</v>
      </c>
      <c r="B15" s="76"/>
      <c r="C15" s="76"/>
      <c r="D15" s="76">
        <v>0</v>
      </c>
      <c r="E15" s="76"/>
      <c r="F15" s="80" t="s">
        <v>108</v>
      </c>
      <c r="G15" s="76">
        <v>85</v>
      </c>
      <c r="H15" s="76"/>
      <c r="I15" s="76"/>
      <c r="J15" s="76"/>
      <c r="K15" s="76"/>
      <c r="L15" s="76"/>
      <c r="M15" s="76"/>
      <c r="N15" s="76"/>
      <c r="O15" s="76"/>
    </row>
    <row r="16" spans="1:15" x14ac:dyDescent="0.35">
      <c r="A16" s="84">
        <v>44290</v>
      </c>
      <c r="B16" s="76"/>
      <c r="C16" s="76"/>
      <c r="D16" s="76">
        <v>0</v>
      </c>
      <c r="E16" s="76"/>
      <c r="F16" s="80" t="s">
        <v>108</v>
      </c>
      <c r="G16" s="76">
        <v>85</v>
      </c>
      <c r="H16" s="76"/>
      <c r="I16" s="76"/>
      <c r="J16" s="76"/>
      <c r="K16" s="76"/>
      <c r="L16" s="76"/>
      <c r="M16" s="76"/>
      <c r="N16" s="76"/>
      <c r="O16" s="76"/>
    </row>
    <row r="17" spans="1:15" x14ac:dyDescent="0.35">
      <c r="A17" s="84">
        <v>44291</v>
      </c>
      <c r="B17" s="76"/>
      <c r="C17" s="76"/>
      <c r="D17" s="76">
        <v>0</v>
      </c>
      <c r="E17" s="76"/>
      <c r="F17" s="80" t="s">
        <v>108</v>
      </c>
      <c r="G17" s="76">
        <v>85</v>
      </c>
      <c r="H17" s="76"/>
      <c r="I17" s="76">
        <v>1</v>
      </c>
      <c r="J17" s="76">
        <v>5.9</v>
      </c>
      <c r="K17" s="76">
        <v>0.19</v>
      </c>
      <c r="L17" s="76">
        <v>1.5</v>
      </c>
      <c r="M17" s="76"/>
      <c r="N17" s="76">
        <v>72</v>
      </c>
      <c r="O17" s="76"/>
    </row>
    <row r="18" spans="1:15" x14ac:dyDescent="0.35">
      <c r="A18" s="84">
        <v>44292</v>
      </c>
      <c r="B18" s="76"/>
      <c r="C18" s="76"/>
      <c r="D18" s="76">
        <v>0</v>
      </c>
      <c r="E18" s="76"/>
      <c r="F18" s="80" t="s">
        <v>108</v>
      </c>
      <c r="G18" s="76">
        <v>85</v>
      </c>
      <c r="H18" s="76"/>
      <c r="I18" s="76"/>
      <c r="J18" s="76"/>
      <c r="K18" s="76"/>
      <c r="L18" s="76"/>
      <c r="M18" s="76">
        <v>3.2999999999999972</v>
      </c>
      <c r="N18" s="76"/>
      <c r="O18" s="76"/>
    </row>
    <row r="19" spans="1:15" x14ac:dyDescent="0.35">
      <c r="A19" s="84">
        <v>44293</v>
      </c>
      <c r="B19" s="76"/>
      <c r="C19" s="76"/>
      <c r="D19" s="76">
        <v>0</v>
      </c>
      <c r="E19" s="76"/>
      <c r="F19" s="80" t="s">
        <v>108</v>
      </c>
      <c r="G19" s="76">
        <v>85</v>
      </c>
      <c r="H19" s="76"/>
      <c r="I19" s="76"/>
      <c r="J19" s="76"/>
      <c r="K19" s="76"/>
      <c r="L19" s="76"/>
      <c r="M19" s="76"/>
      <c r="N19" s="76"/>
      <c r="O19" s="76"/>
    </row>
    <row r="20" spans="1:15" x14ac:dyDescent="0.35">
      <c r="A20" s="84">
        <v>44294</v>
      </c>
      <c r="B20" s="76"/>
      <c r="C20" s="76"/>
      <c r="D20" s="76">
        <v>0</v>
      </c>
      <c r="E20" s="76"/>
      <c r="F20" s="80" t="s">
        <v>108</v>
      </c>
      <c r="G20" s="76">
        <v>85</v>
      </c>
      <c r="H20" s="76"/>
      <c r="I20" s="76">
        <v>3</v>
      </c>
      <c r="J20" s="76">
        <v>7.4</v>
      </c>
      <c r="K20" s="76">
        <v>0.37</v>
      </c>
      <c r="L20" s="76">
        <v>6.2</v>
      </c>
      <c r="M20" s="76">
        <v>5.2000000000000099</v>
      </c>
      <c r="N20" s="76">
        <v>84</v>
      </c>
      <c r="O20" s="76"/>
    </row>
    <row r="21" spans="1:15" x14ac:dyDescent="0.35">
      <c r="A21" s="84">
        <v>44295</v>
      </c>
      <c r="B21" s="76"/>
      <c r="C21" s="76"/>
      <c r="D21" s="76">
        <v>0</v>
      </c>
      <c r="E21" s="76"/>
      <c r="F21" s="80" t="s">
        <v>108</v>
      </c>
      <c r="G21" s="76">
        <v>85</v>
      </c>
      <c r="H21" s="76"/>
      <c r="I21" s="76"/>
      <c r="J21" s="76">
        <v>6.4</v>
      </c>
      <c r="K21" s="76"/>
      <c r="L21" s="76"/>
      <c r="M21" s="76"/>
      <c r="N21" s="76"/>
      <c r="O21" s="76"/>
    </row>
    <row r="22" spans="1:15" x14ac:dyDescent="0.35">
      <c r="A22" s="84">
        <v>44296</v>
      </c>
      <c r="B22" s="76"/>
      <c r="C22" s="76"/>
      <c r="D22" s="76">
        <v>0</v>
      </c>
      <c r="E22" s="76"/>
      <c r="F22" s="80" t="s">
        <v>108</v>
      </c>
      <c r="G22" s="76">
        <v>85</v>
      </c>
      <c r="H22" s="76"/>
      <c r="I22" s="76"/>
      <c r="J22" s="76"/>
      <c r="K22" s="76"/>
      <c r="L22" s="76"/>
      <c r="M22" s="76"/>
      <c r="N22" s="76"/>
      <c r="O22" s="76"/>
    </row>
    <row r="23" spans="1:15" x14ac:dyDescent="0.35">
      <c r="A23" s="84">
        <v>44297</v>
      </c>
      <c r="B23" s="76"/>
      <c r="C23" s="76"/>
      <c r="D23" s="76">
        <v>0</v>
      </c>
      <c r="E23" s="76"/>
      <c r="F23" s="80" t="s">
        <v>110</v>
      </c>
      <c r="G23" s="76">
        <v>85</v>
      </c>
      <c r="H23" s="76"/>
      <c r="I23" s="76"/>
      <c r="J23" s="76"/>
      <c r="K23" s="76"/>
      <c r="L23" s="76"/>
      <c r="M23" s="76"/>
      <c r="N23" s="76"/>
      <c r="O23" s="76"/>
    </row>
    <row r="24" spans="1:15" x14ac:dyDescent="0.35">
      <c r="A24" s="84">
        <v>44298</v>
      </c>
      <c r="B24" s="76"/>
      <c r="C24" s="76"/>
      <c r="D24" s="76">
        <v>0</v>
      </c>
      <c r="E24" s="76"/>
      <c r="F24" s="80" t="s">
        <v>108</v>
      </c>
      <c r="G24" s="76">
        <v>85</v>
      </c>
      <c r="H24" s="76"/>
      <c r="I24" s="76">
        <v>1</v>
      </c>
      <c r="J24" s="76">
        <v>0.49</v>
      </c>
      <c r="K24" s="76">
        <v>0.42</v>
      </c>
      <c r="L24" s="76">
        <v>9.4</v>
      </c>
      <c r="M24" s="76"/>
      <c r="N24" s="76"/>
      <c r="O24" s="76"/>
    </row>
    <row r="25" spans="1:15" x14ac:dyDescent="0.35">
      <c r="A25" s="84">
        <v>44299</v>
      </c>
      <c r="B25" s="76"/>
      <c r="C25" s="76"/>
      <c r="D25" s="76">
        <v>0</v>
      </c>
      <c r="E25" s="76"/>
      <c r="F25" s="80" t="s">
        <v>108</v>
      </c>
      <c r="G25" s="76">
        <v>80</v>
      </c>
      <c r="H25" s="76"/>
      <c r="I25" s="76"/>
      <c r="J25" s="76"/>
      <c r="K25" s="76"/>
      <c r="L25" s="76"/>
      <c r="M25" s="76"/>
      <c r="N25" s="76"/>
      <c r="O25" s="76"/>
    </row>
    <row r="26" spans="1:15" x14ac:dyDescent="0.35">
      <c r="A26" s="84">
        <v>44300</v>
      </c>
      <c r="B26" s="76"/>
      <c r="C26" s="76"/>
      <c r="D26" s="76">
        <v>0</v>
      </c>
      <c r="E26" s="76"/>
      <c r="F26" s="80" t="s">
        <v>108</v>
      </c>
      <c r="G26" s="76">
        <v>75</v>
      </c>
      <c r="H26" s="76"/>
      <c r="I26" s="76"/>
      <c r="J26" s="76"/>
      <c r="K26" s="76"/>
      <c r="L26" s="76"/>
      <c r="M26" s="76"/>
      <c r="N26" s="76"/>
      <c r="O26" s="76"/>
    </row>
    <row r="27" spans="1:15" x14ac:dyDescent="0.35">
      <c r="A27" s="84">
        <v>44301</v>
      </c>
      <c r="B27" s="76"/>
      <c r="C27" s="76"/>
      <c r="D27" s="76">
        <v>0</v>
      </c>
      <c r="E27" s="76"/>
      <c r="F27" s="80" t="s">
        <v>108</v>
      </c>
      <c r="G27" s="76">
        <v>73</v>
      </c>
      <c r="H27" s="76"/>
      <c r="I27" s="76"/>
      <c r="J27" s="76">
        <v>1.1399999999999999</v>
      </c>
      <c r="K27" s="76">
        <v>1.93</v>
      </c>
      <c r="L27" s="76">
        <v>22.6</v>
      </c>
      <c r="M27" s="76"/>
      <c r="N27" s="76">
        <v>99</v>
      </c>
      <c r="O27" s="76"/>
    </row>
    <row r="28" spans="1:15" x14ac:dyDescent="0.35">
      <c r="A28" s="84">
        <v>44302</v>
      </c>
      <c r="B28" s="76"/>
      <c r="C28" s="76"/>
      <c r="D28" s="76">
        <v>0</v>
      </c>
      <c r="E28" s="76"/>
      <c r="F28" s="80" t="s">
        <v>108</v>
      </c>
      <c r="G28" s="76">
        <v>71</v>
      </c>
      <c r="H28" s="76"/>
      <c r="I28" s="76"/>
      <c r="J28" s="76"/>
      <c r="K28" s="76"/>
      <c r="L28" s="76"/>
      <c r="M28" s="76"/>
      <c r="N28" s="76"/>
      <c r="O28" s="76"/>
    </row>
    <row r="29" spans="1:15" x14ac:dyDescent="0.35">
      <c r="A29" s="84">
        <v>44303</v>
      </c>
      <c r="B29" s="76"/>
      <c r="C29" s="76"/>
      <c r="D29" s="76">
        <v>0</v>
      </c>
      <c r="E29" s="76"/>
      <c r="F29" s="80" t="s">
        <v>108</v>
      </c>
      <c r="G29" s="76"/>
      <c r="H29" s="76"/>
      <c r="I29" s="76"/>
      <c r="J29" s="76"/>
      <c r="K29" s="76"/>
      <c r="L29" s="76"/>
      <c r="M29" s="76"/>
      <c r="N29" s="76"/>
      <c r="O29" s="76"/>
    </row>
    <row r="30" spans="1:15" x14ac:dyDescent="0.35">
      <c r="A30" s="84">
        <v>44304</v>
      </c>
      <c r="B30" s="76"/>
      <c r="C30" s="76"/>
      <c r="D30" s="76">
        <v>0</v>
      </c>
      <c r="E30" s="76"/>
      <c r="F30" s="80" t="s">
        <v>108</v>
      </c>
      <c r="G30" s="76"/>
      <c r="H30" s="76"/>
      <c r="I30" s="76"/>
      <c r="J30" s="76"/>
      <c r="K30" s="76"/>
      <c r="L30" s="76"/>
      <c r="M30" s="76"/>
      <c r="N30" s="76"/>
      <c r="O30" s="76"/>
    </row>
    <row r="31" spans="1:15" x14ac:dyDescent="0.35">
      <c r="A31" s="84">
        <v>44305</v>
      </c>
      <c r="B31" s="76">
        <v>762</v>
      </c>
      <c r="C31" s="76"/>
      <c r="D31" s="76">
        <v>0</v>
      </c>
      <c r="E31" s="76">
        <v>1135080</v>
      </c>
      <c r="F31" s="80" t="s">
        <v>108</v>
      </c>
      <c r="G31" s="76">
        <v>70</v>
      </c>
      <c r="H31" s="76"/>
      <c r="I31" s="76"/>
      <c r="J31" s="76">
        <v>0.98</v>
      </c>
      <c r="K31" s="76">
        <v>1.72</v>
      </c>
      <c r="L31" s="76">
        <v>28.7</v>
      </c>
      <c r="M31" s="76"/>
      <c r="N31" s="76">
        <v>119</v>
      </c>
      <c r="O31" s="76" t="s">
        <v>111</v>
      </c>
    </row>
    <row r="32" spans="1:15" x14ac:dyDescent="0.35">
      <c r="A32" s="84">
        <v>44306</v>
      </c>
      <c r="B32" s="76"/>
      <c r="C32" s="76"/>
      <c r="D32" s="76">
        <v>0</v>
      </c>
      <c r="E32" s="76"/>
      <c r="F32" s="80" t="s">
        <v>108</v>
      </c>
      <c r="G32" s="76"/>
      <c r="H32" s="76"/>
      <c r="I32" s="76"/>
      <c r="J32" s="76"/>
      <c r="K32" s="76"/>
      <c r="L32" s="76"/>
      <c r="M32" s="76"/>
      <c r="N32" s="76"/>
      <c r="O32" s="76"/>
    </row>
    <row r="33" spans="1:15" x14ac:dyDescent="0.35">
      <c r="A33" s="84">
        <v>44307</v>
      </c>
      <c r="B33" s="76">
        <v>761</v>
      </c>
      <c r="C33" s="76"/>
      <c r="D33" s="76">
        <v>-1</v>
      </c>
      <c r="E33" s="76"/>
      <c r="F33" s="80" t="s">
        <v>108</v>
      </c>
      <c r="G33" s="76"/>
      <c r="H33" s="76"/>
      <c r="I33" s="76"/>
      <c r="J33" s="76"/>
      <c r="K33" s="76"/>
      <c r="L33" s="76"/>
      <c r="M33" s="76"/>
      <c r="N33" s="76"/>
      <c r="O33" s="76" t="s">
        <v>112</v>
      </c>
    </row>
    <row r="34" spans="1:15" x14ac:dyDescent="0.35">
      <c r="A34" s="84">
        <v>44308</v>
      </c>
      <c r="B34" s="76"/>
      <c r="C34" s="76"/>
      <c r="D34" s="76">
        <v>0</v>
      </c>
      <c r="E34" s="76"/>
      <c r="F34" s="80" t="s">
        <v>108</v>
      </c>
      <c r="G34" s="76">
        <v>29</v>
      </c>
      <c r="H34" s="76"/>
      <c r="I34" s="76"/>
      <c r="J34" s="76">
        <v>0.53</v>
      </c>
      <c r="K34" s="76">
        <v>0.48</v>
      </c>
      <c r="L34" s="11">
        <v>26</v>
      </c>
      <c r="M34" s="76"/>
      <c r="N34" s="76"/>
      <c r="O34" s="76"/>
    </row>
    <row r="35" spans="1:15" x14ac:dyDescent="0.35">
      <c r="A35" s="84">
        <v>44309</v>
      </c>
      <c r="B35" s="76"/>
      <c r="C35" s="76"/>
      <c r="D35" s="76">
        <v>0</v>
      </c>
      <c r="E35" s="76"/>
      <c r="F35" s="80" t="s">
        <v>108</v>
      </c>
      <c r="G35" s="76">
        <v>200</v>
      </c>
      <c r="H35" s="76"/>
      <c r="I35" s="76"/>
      <c r="J35" s="76"/>
      <c r="K35" s="76"/>
      <c r="L35" s="76"/>
      <c r="M35" s="76"/>
      <c r="N35" s="76"/>
      <c r="O35" s="76"/>
    </row>
    <row r="36" spans="1:15" x14ac:dyDescent="0.35">
      <c r="A36" s="84">
        <v>44310</v>
      </c>
      <c r="B36" s="76"/>
      <c r="C36" s="76"/>
      <c r="D36" s="76">
        <v>0</v>
      </c>
      <c r="E36" s="76"/>
      <c r="F36" s="80" t="s">
        <v>108</v>
      </c>
      <c r="G36" s="76">
        <v>160</v>
      </c>
      <c r="H36" s="76"/>
      <c r="I36" s="76"/>
      <c r="J36" s="76"/>
      <c r="K36" s="76"/>
      <c r="L36" s="76"/>
      <c r="M36" s="76"/>
      <c r="N36" s="76"/>
      <c r="O36" s="76"/>
    </row>
    <row r="37" spans="1:15" x14ac:dyDescent="0.35">
      <c r="A37" s="84">
        <v>44311</v>
      </c>
      <c r="B37" s="76"/>
      <c r="C37" s="76"/>
      <c r="D37" s="76">
        <v>0</v>
      </c>
      <c r="E37" s="76"/>
      <c r="F37" s="80" t="s">
        <v>108</v>
      </c>
      <c r="G37" s="76">
        <v>140</v>
      </c>
      <c r="H37" s="76"/>
      <c r="I37" s="76"/>
      <c r="J37" s="76"/>
      <c r="K37" s="76"/>
      <c r="L37" s="76"/>
      <c r="M37" s="76"/>
      <c r="N37" s="76"/>
      <c r="O37" s="76"/>
    </row>
    <row r="38" spans="1:15" x14ac:dyDescent="0.35">
      <c r="A38" s="84">
        <v>44312</v>
      </c>
      <c r="B38" s="76">
        <v>749</v>
      </c>
      <c r="C38" s="76"/>
      <c r="D38" s="76">
        <v>0</v>
      </c>
      <c r="E38" s="76"/>
      <c r="F38" s="80" t="s">
        <v>108</v>
      </c>
      <c r="G38" s="76">
        <v>160</v>
      </c>
      <c r="H38" s="76"/>
      <c r="I38" s="76"/>
      <c r="J38" s="76">
        <v>0.52</v>
      </c>
      <c r="K38" s="76">
        <v>0.22</v>
      </c>
      <c r="L38" s="76">
        <v>21.9</v>
      </c>
      <c r="M38" s="76"/>
      <c r="N38" s="76">
        <v>82</v>
      </c>
      <c r="O38" s="76"/>
    </row>
    <row r="39" spans="1:15" x14ac:dyDescent="0.35">
      <c r="A39" s="84">
        <v>44313</v>
      </c>
      <c r="B39" s="76"/>
      <c r="C39" s="76"/>
      <c r="D39" s="76">
        <v>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35">
      <c r="A40" s="84">
        <v>44314</v>
      </c>
      <c r="B40" s="76"/>
      <c r="C40" s="76"/>
      <c r="D40" s="76">
        <v>0</v>
      </c>
      <c r="E40" s="76"/>
      <c r="F40" s="80" t="s">
        <v>108</v>
      </c>
      <c r="G40" s="76"/>
      <c r="H40" s="76"/>
      <c r="I40" s="76"/>
      <c r="J40" s="76"/>
      <c r="K40" s="76"/>
      <c r="L40" s="76"/>
      <c r="M40" s="76"/>
      <c r="N40" s="76"/>
      <c r="O40" s="76"/>
    </row>
    <row r="41" spans="1:15" x14ac:dyDescent="0.35">
      <c r="A41" s="84">
        <v>44315</v>
      </c>
      <c r="B41" s="76"/>
      <c r="C41" s="76"/>
      <c r="D41" s="76">
        <v>0</v>
      </c>
      <c r="E41" s="76"/>
      <c r="F41" s="80" t="s">
        <v>113</v>
      </c>
      <c r="G41" s="80" t="s">
        <v>114</v>
      </c>
      <c r="H41" s="76"/>
      <c r="I41" s="76"/>
      <c r="J41" s="76">
        <v>0.93</v>
      </c>
      <c r="K41" s="76">
        <v>0.45</v>
      </c>
      <c r="L41" s="76">
        <v>30.7</v>
      </c>
      <c r="M41" s="76"/>
      <c r="N41" s="76">
        <v>127</v>
      </c>
      <c r="O41" s="76"/>
    </row>
    <row r="42" spans="1:15" x14ac:dyDescent="0.35">
      <c r="A42" s="84">
        <v>44316</v>
      </c>
      <c r="B42" s="76"/>
      <c r="C42" s="76"/>
      <c r="D42" s="76">
        <v>0</v>
      </c>
      <c r="E42" s="76"/>
      <c r="F42" s="80" t="s">
        <v>113</v>
      </c>
      <c r="G42" s="76"/>
      <c r="H42" s="76"/>
      <c r="I42" s="76"/>
      <c r="J42" s="76"/>
      <c r="K42" s="76"/>
      <c r="L42" s="76"/>
      <c r="M42" s="76"/>
      <c r="N42" s="76"/>
      <c r="O42" s="76"/>
    </row>
  </sheetData>
  <mergeCells count="15">
    <mergeCell ref="F2:F3"/>
    <mergeCell ref="A2:A3"/>
    <mergeCell ref="B2:B3"/>
    <mergeCell ref="C2:C3"/>
    <mergeCell ref="D2:D3"/>
    <mergeCell ref="E2:E3"/>
    <mergeCell ref="M2:M3"/>
    <mergeCell ref="N2:N3"/>
    <mergeCell ref="O2:O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25E6-8937-458F-80BB-4764A1E078F3}">
  <dimension ref="A2:U34"/>
  <sheetViews>
    <sheetView zoomScale="98" zoomScaleNormal="98" workbookViewId="0">
      <selection activeCell="P28" sqref="P28"/>
    </sheetView>
  </sheetViews>
  <sheetFormatPr baseColWidth="10" defaultRowHeight="14.5" x14ac:dyDescent="0.35"/>
  <sheetData>
    <row r="2" spans="1:21" x14ac:dyDescent="0.3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x14ac:dyDescent="0.35">
      <c r="A3" s="147" t="s">
        <v>194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15" thickBot="1" x14ac:dyDescent="0.4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15" thickBot="1" x14ac:dyDescent="0.4">
      <c r="A5" s="147"/>
      <c r="B5" s="147"/>
      <c r="C5" s="147"/>
      <c r="D5" s="147"/>
      <c r="E5" s="147"/>
      <c r="F5" s="229" t="s">
        <v>83</v>
      </c>
      <c r="G5" s="230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x14ac:dyDescent="0.35">
      <c r="A6" s="220" t="s">
        <v>91</v>
      </c>
      <c r="B6" s="222" t="s">
        <v>59</v>
      </c>
      <c r="C6" s="222" t="s">
        <v>195</v>
      </c>
      <c r="D6" s="222" t="s">
        <v>196</v>
      </c>
      <c r="E6" s="222" t="s">
        <v>197</v>
      </c>
      <c r="F6" s="222" t="s">
        <v>84</v>
      </c>
      <c r="G6" s="222" t="s">
        <v>85</v>
      </c>
      <c r="H6" s="222" t="s">
        <v>86</v>
      </c>
      <c r="I6" s="222" t="s">
        <v>87</v>
      </c>
      <c r="J6" s="222" t="s">
        <v>88</v>
      </c>
      <c r="K6" s="222" t="s">
        <v>57</v>
      </c>
      <c r="L6" s="224"/>
      <c r="M6" s="147"/>
      <c r="N6" s="147"/>
      <c r="O6" s="147"/>
      <c r="P6" s="147"/>
      <c r="Q6" s="147"/>
      <c r="R6" s="147"/>
      <c r="S6" s="147"/>
      <c r="T6" s="147"/>
      <c r="U6" s="147"/>
    </row>
    <row r="7" spans="1:21" ht="15" thickBot="1" x14ac:dyDescent="0.4">
      <c r="A7" s="221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5"/>
      <c r="M7" s="147"/>
      <c r="N7" s="147"/>
      <c r="O7" s="147"/>
      <c r="P7" s="147"/>
      <c r="Q7" s="147"/>
      <c r="R7" s="147"/>
      <c r="S7" s="147"/>
      <c r="T7" s="147"/>
      <c r="U7" s="147"/>
    </row>
    <row r="8" spans="1:21" x14ac:dyDescent="0.35">
      <c r="A8" s="158">
        <v>44263</v>
      </c>
      <c r="B8" s="162"/>
      <c r="C8" s="162"/>
      <c r="D8" s="152"/>
      <c r="E8" s="152"/>
      <c r="F8" s="152">
        <v>30</v>
      </c>
      <c r="G8" s="152"/>
      <c r="H8" s="152"/>
      <c r="I8" s="152"/>
      <c r="J8" s="152"/>
      <c r="K8" s="231"/>
      <c r="L8" s="232"/>
      <c r="M8" s="147"/>
      <c r="N8" s="147"/>
      <c r="O8" s="147"/>
      <c r="P8" s="147"/>
      <c r="Q8" s="147"/>
      <c r="R8" s="147"/>
      <c r="S8" s="147"/>
      <c r="T8" s="147"/>
      <c r="U8" s="147"/>
    </row>
    <row r="9" spans="1:21" x14ac:dyDescent="0.35">
      <c r="A9" s="157">
        <v>44266</v>
      </c>
      <c r="B9" s="150">
        <v>7.01</v>
      </c>
      <c r="C9" s="149">
        <v>13.5</v>
      </c>
      <c r="D9" s="148">
        <v>9.8000000000000007</v>
      </c>
      <c r="E9" s="148">
        <v>101</v>
      </c>
      <c r="F9" s="148">
        <v>50</v>
      </c>
      <c r="G9" s="148"/>
      <c r="H9" s="148"/>
      <c r="I9" s="148"/>
      <c r="J9" s="148"/>
      <c r="K9" s="226"/>
      <c r="L9" s="227"/>
      <c r="M9" s="147"/>
      <c r="N9" s="147"/>
      <c r="O9" s="147"/>
      <c r="P9" s="147"/>
      <c r="Q9" s="147"/>
      <c r="R9" s="147"/>
      <c r="S9" s="147"/>
      <c r="T9" s="147"/>
      <c r="U9" s="147"/>
    </row>
    <row r="10" spans="1:21" x14ac:dyDescent="0.35">
      <c r="A10" s="157">
        <v>44267</v>
      </c>
      <c r="B10" s="150">
        <v>7.35</v>
      </c>
      <c r="C10" s="149">
        <v>13.5</v>
      </c>
      <c r="D10" s="148">
        <v>8.8000000000000007</v>
      </c>
      <c r="E10" s="148">
        <v>101</v>
      </c>
      <c r="F10" s="148">
        <v>50</v>
      </c>
      <c r="G10" s="148"/>
      <c r="H10" s="148"/>
      <c r="I10" s="148"/>
      <c r="J10" s="148"/>
      <c r="K10" s="226"/>
      <c r="L10" s="22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x14ac:dyDescent="0.35">
      <c r="A11" s="157">
        <v>44268</v>
      </c>
      <c r="B11" s="150">
        <v>7.79</v>
      </c>
      <c r="C11" s="149">
        <v>13.7</v>
      </c>
      <c r="D11" s="148">
        <v>7.9</v>
      </c>
      <c r="E11" s="148">
        <v>102</v>
      </c>
      <c r="F11" s="148">
        <v>50</v>
      </c>
      <c r="G11" s="148"/>
      <c r="H11" s="148"/>
      <c r="I11" s="148"/>
      <c r="J11" s="148"/>
      <c r="K11" s="226"/>
      <c r="L11" s="22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x14ac:dyDescent="0.35">
      <c r="A12" s="157">
        <v>44269</v>
      </c>
      <c r="B12" s="150">
        <v>7.65</v>
      </c>
      <c r="C12" s="149">
        <v>13.5</v>
      </c>
      <c r="D12" s="148">
        <v>13.9</v>
      </c>
      <c r="E12" s="148">
        <v>103</v>
      </c>
      <c r="F12" s="148">
        <v>0</v>
      </c>
      <c r="G12" s="148"/>
      <c r="H12" s="148"/>
      <c r="I12" s="148"/>
      <c r="J12" s="148"/>
      <c r="K12" s="226"/>
      <c r="L12" s="22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x14ac:dyDescent="0.35">
      <c r="A13" s="157">
        <v>44270</v>
      </c>
      <c r="B13" s="150">
        <v>7.2</v>
      </c>
      <c r="C13" s="149">
        <v>14.7</v>
      </c>
      <c r="D13" s="148">
        <v>15.3</v>
      </c>
      <c r="E13" s="148">
        <v>103</v>
      </c>
      <c r="F13" s="148">
        <v>50</v>
      </c>
      <c r="G13" s="148"/>
      <c r="H13" s="148">
        <v>0.11</v>
      </c>
      <c r="I13" s="148">
        <v>0.16</v>
      </c>
      <c r="J13" s="148">
        <v>0.8</v>
      </c>
      <c r="K13" s="226"/>
      <c r="L13" s="22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x14ac:dyDescent="0.35">
      <c r="A14" s="157">
        <v>44271</v>
      </c>
      <c r="B14" s="150">
        <v>7.94</v>
      </c>
      <c r="C14" s="149">
        <v>14</v>
      </c>
      <c r="D14" s="148">
        <v>15.9</v>
      </c>
      <c r="E14" s="148">
        <v>103</v>
      </c>
      <c r="F14" s="148">
        <v>50</v>
      </c>
      <c r="G14" s="148"/>
      <c r="H14" s="148"/>
      <c r="I14" s="148"/>
      <c r="J14" s="148"/>
      <c r="K14" s="226"/>
      <c r="L14" s="22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x14ac:dyDescent="0.35">
      <c r="A15" s="157">
        <v>44272</v>
      </c>
      <c r="B15" s="150">
        <v>7.85</v>
      </c>
      <c r="C15" s="149">
        <v>13.9</v>
      </c>
      <c r="D15" s="148">
        <v>15.4</v>
      </c>
      <c r="E15" s="148">
        <v>103</v>
      </c>
      <c r="F15" s="148">
        <v>50</v>
      </c>
      <c r="G15" s="148"/>
      <c r="H15" s="148"/>
      <c r="I15" s="148"/>
      <c r="J15" s="148"/>
      <c r="K15" s="226"/>
      <c r="L15" s="22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x14ac:dyDescent="0.35">
      <c r="A16" s="157">
        <v>44273</v>
      </c>
      <c r="B16" s="150">
        <v>7.6</v>
      </c>
      <c r="C16" s="149">
        <v>16.2</v>
      </c>
      <c r="D16" s="148">
        <v>15.2</v>
      </c>
      <c r="E16" s="148">
        <v>103</v>
      </c>
      <c r="F16" s="148">
        <v>75</v>
      </c>
      <c r="G16" s="148"/>
      <c r="H16" s="161" t="s">
        <v>89</v>
      </c>
      <c r="I16" s="148">
        <v>0.44</v>
      </c>
      <c r="J16" s="148">
        <v>0.9</v>
      </c>
      <c r="K16" s="226"/>
      <c r="L16" s="22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x14ac:dyDescent="0.35">
      <c r="A17" s="157">
        <v>44274</v>
      </c>
      <c r="B17" s="150">
        <v>6.68</v>
      </c>
      <c r="C17" s="149">
        <v>15</v>
      </c>
      <c r="D17" s="148">
        <v>14.6</v>
      </c>
      <c r="E17" s="148">
        <v>102</v>
      </c>
      <c r="F17" s="148">
        <v>75</v>
      </c>
      <c r="G17" s="161">
        <v>500</v>
      </c>
      <c r="H17" s="148"/>
      <c r="I17" s="148"/>
      <c r="J17" s="148"/>
      <c r="K17" s="226"/>
      <c r="L17" s="22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x14ac:dyDescent="0.35">
      <c r="A18" s="157">
        <v>44275</v>
      </c>
      <c r="B18" s="150">
        <v>7.6</v>
      </c>
      <c r="C18" s="149">
        <v>15.6</v>
      </c>
      <c r="D18" s="148">
        <v>15.5</v>
      </c>
      <c r="E18" s="148">
        <v>101</v>
      </c>
      <c r="F18" s="148">
        <v>75</v>
      </c>
      <c r="G18" s="148"/>
      <c r="H18" s="148"/>
      <c r="I18" s="148"/>
      <c r="J18" s="148"/>
      <c r="K18" s="226"/>
      <c r="L18" s="22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x14ac:dyDescent="0.35">
      <c r="A19" s="157">
        <v>44276</v>
      </c>
      <c r="B19" s="150">
        <v>7.6</v>
      </c>
      <c r="C19" s="149">
        <v>15.4</v>
      </c>
      <c r="D19" s="148">
        <v>15.4</v>
      </c>
      <c r="E19" s="148">
        <v>101</v>
      </c>
      <c r="F19" s="148">
        <v>75</v>
      </c>
      <c r="G19" s="148"/>
      <c r="H19" s="148"/>
      <c r="I19" s="148"/>
      <c r="J19" s="148"/>
      <c r="K19" s="226"/>
      <c r="L19" s="22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x14ac:dyDescent="0.35">
      <c r="A20" s="157">
        <v>44277</v>
      </c>
      <c r="B20" s="150">
        <v>7.37</v>
      </c>
      <c r="C20" s="149">
        <v>15.4</v>
      </c>
      <c r="D20" s="148">
        <v>14.4</v>
      </c>
      <c r="E20" s="148">
        <v>103</v>
      </c>
      <c r="F20" s="148">
        <v>50</v>
      </c>
      <c r="G20" s="148"/>
      <c r="H20" s="148">
        <v>0.03</v>
      </c>
      <c r="I20" s="148">
        <v>1.07</v>
      </c>
      <c r="J20" s="148">
        <v>4.5999999999999996</v>
      </c>
      <c r="K20" s="228" t="s">
        <v>90</v>
      </c>
      <c r="L20" s="228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x14ac:dyDescent="0.3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x14ac:dyDescent="0.3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x14ac:dyDescent="0.3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15" thickBot="1" x14ac:dyDescent="0.4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x14ac:dyDescent="0.35">
      <c r="A25" s="220" t="s">
        <v>91</v>
      </c>
      <c r="B25" s="222" t="s">
        <v>214</v>
      </c>
      <c r="C25" s="222" t="s">
        <v>215</v>
      </c>
      <c r="D25" s="224" t="s">
        <v>216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15" thickBot="1" x14ac:dyDescent="0.4">
      <c r="A26" s="221"/>
      <c r="B26" s="223"/>
      <c r="C26" s="223"/>
      <c r="D26" s="225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x14ac:dyDescent="0.35">
      <c r="A27" s="164">
        <v>44270</v>
      </c>
      <c r="B27" s="148">
        <v>0.11</v>
      </c>
      <c r="C27" s="148">
        <v>0.16</v>
      </c>
      <c r="D27" s="159">
        <v>0.8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x14ac:dyDescent="0.35">
      <c r="A28" s="164">
        <v>44273</v>
      </c>
      <c r="B28" s="161" t="s">
        <v>89</v>
      </c>
      <c r="C28" s="148">
        <v>0.44</v>
      </c>
      <c r="D28" s="159">
        <v>0.9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15" thickBot="1" x14ac:dyDescent="0.4">
      <c r="A29" s="165">
        <v>44277</v>
      </c>
      <c r="B29" s="166">
        <v>0.03</v>
      </c>
      <c r="C29" s="166">
        <v>1.07</v>
      </c>
      <c r="D29" s="160">
        <v>4.5999999999999996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x14ac:dyDescent="0.3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x14ac:dyDescent="0.3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x14ac:dyDescent="0.3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x14ac:dyDescent="0.3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x14ac:dyDescent="0.3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</sheetData>
  <mergeCells count="29">
    <mergeCell ref="K9:L9"/>
    <mergeCell ref="F5:G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7"/>
    <mergeCell ref="K8:L8"/>
    <mergeCell ref="A25:A26"/>
    <mergeCell ref="B25:B26"/>
    <mergeCell ref="C25:C26"/>
    <mergeCell ref="D25:D26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Tilveksttabell</vt:lpstr>
      <vt:lpstr>SGR tabell</vt:lpstr>
      <vt:lpstr>Tilveksttabell -10 grader</vt:lpstr>
      <vt:lpstr>Tilveksttabell - 12 grader</vt:lpstr>
      <vt:lpstr>Tilveksttabell - 14 grader</vt:lpstr>
      <vt:lpstr>Ukentlig vekst</vt:lpstr>
      <vt:lpstr>Vannparametere</vt:lpstr>
      <vt:lpstr>Vannparametere etter fisk</vt:lpstr>
      <vt:lpstr>Nitrifikasjonstall før fisk</vt:lpstr>
      <vt:lpstr>Nitrifikasjons etter fisk</vt:lpstr>
      <vt:lpstr>TSS og Turbiditet</vt:lpstr>
      <vt:lpstr>Plasmaprøver</vt:lpstr>
      <vt:lpstr>Gjelleprøver</vt:lpstr>
      <vt:lpstr>Vekst</vt:lpstr>
      <vt:lpstr>Reynolds tall</vt:lpstr>
      <vt:lpstr>Trykktap ∆p og porøsitet</vt:lpstr>
      <vt:lpstr>Strømmningshastighet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Klaussen</dc:creator>
  <cp:lastModifiedBy>Frida Klaussen</cp:lastModifiedBy>
  <dcterms:created xsi:type="dcterms:W3CDTF">2021-05-16T08:42:47Z</dcterms:created>
  <dcterms:modified xsi:type="dcterms:W3CDTF">2021-05-25T11:46:04Z</dcterms:modified>
</cp:coreProperties>
</file>