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dc13e4208667e9/Documents/Marinteknikk/MAS153 - Bachelor/Wiseflow/"/>
    </mc:Choice>
  </mc:AlternateContent>
  <xr:revisionPtr revIDLastSave="0" documentId="8_{A5508FF6-7B75-4303-964D-4BFF30EECC74}" xr6:coauthVersionLast="46" xr6:coauthVersionMax="47" xr10:uidLastSave="{00000000-0000-0000-0000-000000000000}"/>
  <bookViews>
    <workbookView xWindow="-108" yWindow="-108" windowWidth="23256" windowHeight="12576" tabRatio="807" activeTab="4" xr2:uid="{59E0750A-6D7D-420C-8D0E-F9ED18783D64}"/>
  </bookViews>
  <sheets>
    <sheet name="Cover" sheetId="21" r:id="rId1"/>
    <sheet name="Aim &amp; Scope" sheetId="22" r:id="rId2"/>
    <sheet name="Source of CO2" sheetId="24" r:id="rId3"/>
    <sheet name="Manufacturing" sheetId="15" r:id="rId4"/>
    <sheet name="Transport" sheetId="2" r:id="rId5"/>
    <sheet name="Operation" sheetId="13" r:id="rId6"/>
    <sheet name="Calculations" sheetId="4" r:id="rId7"/>
    <sheet name="Diesel engine" sheetId="3" r:id="rId8"/>
    <sheet name="Electric engine" sheetId="14" r:id="rId9"/>
    <sheet name="Electric Battery" sheetId="18" r:id="rId10"/>
    <sheet name="Tables" sheetId="25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5" l="1"/>
  <c r="B44" i="18"/>
  <c r="B48" i="18"/>
  <c r="C84" i="25"/>
  <c r="F23" i="24"/>
  <c r="F24" i="24"/>
  <c r="I13" i="13"/>
  <c r="K13" i="13"/>
  <c r="H13" i="13"/>
  <c r="U13" i="13"/>
  <c r="I9" i="13"/>
  <c r="J9" i="13"/>
  <c r="J13" i="13" s="1"/>
  <c r="K9" i="13"/>
  <c r="H9" i="13"/>
  <c r="C46" i="18"/>
  <c r="B47" i="18"/>
  <c r="B46" i="18"/>
  <c r="B45" i="18"/>
  <c r="H61" i="4"/>
  <c r="N97" i="4"/>
  <c r="U15" i="13"/>
  <c r="V10" i="13"/>
  <c r="V12" i="13" s="1"/>
  <c r="W10" i="13"/>
  <c r="W12" i="13" s="1"/>
  <c r="X10" i="13"/>
  <c r="X12" i="13" s="1"/>
  <c r="U10" i="13"/>
  <c r="U12" i="13" s="1"/>
  <c r="Q35" i="2"/>
  <c r="Q34" i="2"/>
  <c r="P35" i="2"/>
  <c r="O35" i="2"/>
  <c r="O34" i="2"/>
  <c r="N35" i="2"/>
  <c r="I35" i="2"/>
  <c r="K35" i="2" s="1"/>
  <c r="I34" i="2"/>
  <c r="K34" i="2" s="1"/>
  <c r="H35" i="2"/>
  <c r="H34" i="2"/>
  <c r="G35" i="2"/>
  <c r="R18" i="2"/>
  <c r="R17" i="2"/>
  <c r="Q18" i="2"/>
  <c r="O18" i="2"/>
  <c r="N18" i="2"/>
  <c r="N17" i="2"/>
  <c r="M18" i="2"/>
  <c r="I18" i="2"/>
  <c r="K18" i="2" s="1"/>
  <c r="H18" i="2"/>
  <c r="H17" i="2"/>
  <c r="M15" i="2"/>
  <c r="N15" i="2"/>
  <c r="O15" i="2"/>
  <c r="R15" i="2"/>
  <c r="Q15" i="2"/>
  <c r="H15" i="2"/>
  <c r="N16" i="2"/>
  <c r="I15" i="2"/>
  <c r="K15" i="2" s="1"/>
  <c r="I16" i="2"/>
  <c r="U21" i="13"/>
  <c r="H17" i="13"/>
  <c r="N99" i="4"/>
  <c r="N98" i="4"/>
  <c r="Q39" i="2"/>
  <c r="I99" i="4"/>
  <c r="N89" i="4"/>
  <c r="V26" i="13"/>
  <c r="K92" i="4"/>
  <c r="I17" i="13"/>
  <c r="J17" i="13"/>
  <c r="K17" i="13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I98" i="4"/>
  <c r="G34" i="2"/>
  <c r="M99" i="4"/>
  <c r="M98" i="4"/>
  <c r="M40" i="2"/>
  <c r="G77" i="2"/>
  <c r="G78" i="2"/>
  <c r="G79" i="2"/>
  <c r="G80" i="2"/>
  <c r="G81" i="2"/>
  <c r="G82" i="2"/>
  <c r="C114" i="4"/>
  <c r="C115" i="4"/>
  <c r="C116" i="4"/>
  <c r="G124" i="4"/>
  <c r="E20" i="4"/>
  <c r="I43" i="15"/>
  <c r="I44" i="15"/>
  <c r="I45" i="15"/>
  <c r="I46" i="15"/>
  <c r="I47" i="15"/>
  <c r="I14" i="15"/>
  <c r="I15" i="15"/>
  <c r="I16" i="15"/>
  <c r="I17" i="15"/>
  <c r="I18" i="15"/>
  <c r="I19" i="15"/>
  <c r="G96" i="4"/>
  <c r="K94" i="4"/>
  <c r="G92" i="4"/>
  <c r="E9" i="4"/>
  <c r="E10" i="4"/>
  <c r="E11" i="4"/>
  <c r="E12" i="4"/>
  <c r="E13" i="4"/>
  <c r="E14" i="4"/>
  <c r="E15" i="4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8" i="4"/>
  <c r="G8" i="4"/>
  <c r="G9" i="4"/>
  <c r="G10" i="4"/>
  <c r="G11" i="4"/>
  <c r="G12" i="4"/>
  <c r="G13" i="4"/>
  <c r="I13" i="15" s="1"/>
  <c r="G14" i="4"/>
  <c r="G15" i="4"/>
  <c r="G17" i="4"/>
  <c r="G18" i="4"/>
  <c r="G19" i="4"/>
  <c r="G22" i="4"/>
  <c r="G24" i="4"/>
  <c r="G25" i="4"/>
  <c r="G26" i="4"/>
  <c r="G27" i="4"/>
  <c r="G28" i="4"/>
  <c r="F29" i="4"/>
  <c r="G30" i="4"/>
  <c r="L22" i="2"/>
  <c r="L25" i="2"/>
  <c r="L41" i="2"/>
  <c r="L42" i="2"/>
  <c r="M97" i="4"/>
  <c r="G28" i="15"/>
  <c r="I28" i="15" s="1"/>
  <c r="G27" i="15"/>
  <c r="I27" i="15" s="1"/>
  <c r="O27" i="18"/>
  <c r="P27" i="18"/>
  <c r="N27" i="18"/>
  <c r="P25" i="18"/>
  <c r="O25" i="18"/>
  <c r="N16" i="18"/>
  <c r="N25" i="18" s="1"/>
  <c r="N14" i="18"/>
  <c r="N19" i="18" s="1"/>
  <c r="S27" i="13"/>
  <c r="X26" i="13"/>
  <c r="W26" i="13"/>
  <c r="U26" i="13"/>
  <c r="X25" i="13"/>
  <c r="W25" i="13"/>
  <c r="V25" i="13"/>
  <c r="U25" i="13"/>
  <c r="X21" i="13"/>
  <c r="V17" i="13"/>
  <c r="V18" i="13" s="1"/>
  <c r="W17" i="13"/>
  <c r="W19" i="13" s="1"/>
  <c r="X17" i="13"/>
  <c r="X19" i="13" s="1"/>
  <c r="U17" i="13"/>
  <c r="U19" i="13" s="1"/>
  <c r="V16" i="13"/>
  <c r="W16" i="13"/>
  <c r="X16" i="13"/>
  <c r="U16" i="13"/>
  <c r="V15" i="13"/>
  <c r="W15" i="13"/>
  <c r="X15" i="13"/>
  <c r="V13" i="13"/>
  <c r="W13" i="13"/>
  <c r="X13" i="13"/>
  <c r="F27" i="13"/>
  <c r="I26" i="13"/>
  <c r="J26" i="13"/>
  <c r="K26" i="13"/>
  <c r="H26" i="13"/>
  <c r="I25" i="13"/>
  <c r="J25" i="13"/>
  <c r="K25" i="13"/>
  <c r="H25" i="13"/>
  <c r="I15" i="13"/>
  <c r="J15" i="13"/>
  <c r="K15" i="13"/>
  <c r="K14" i="13"/>
  <c r="I10" i="13"/>
  <c r="I12" i="13" s="1"/>
  <c r="J10" i="13"/>
  <c r="J12" i="13" s="1"/>
  <c r="K10" i="13"/>
  <c r="K12" i="13" s="1"/>
  <c r="H10" i="13"/>
  <c r="H12" i="13" s="1"/>
  <c r="K21" i="13"/>
  <c r="H15" i="13"/>
  <c r="K22" i="13" l="1"/>
  <c r="L26" i="15"/>
  <c r="U22" i="13"/>
  <c r="U23" i="13" s="1"/>
  <c r="P18" i="2"/>
  <c r="S18" i="2" s="1"/>
  <c r="P15" i="2"/>
  <c r="S15" i="2" s="1"/>
  <c r="U18" i="13"/>
  <c r="Q40" i="2"/>
  <c r="I42" i="15"/>
  <c r="J42" i="15" s="1"/>
  <c r="I11" i="15"/>
  <c r="I12" i="15"/>
  <c r="G29" i="4"/>
  <c r="N28" i="18"/>
  <c r="N23" i="18"/>
  <c r="G29" i="15"/>
  <c r="I29" i="15" s="1"/>
  <c r="F47" i="4" s="1"/>
  <c r="L39" i="2" s="1"/>
  <c r="W29" i="13"/>
  <c r="W18" i="13"/>
  <c r="V19" i="13"/>
  <c r="X18" i="13"/>
  <c r="X23" i="13" s="1"/>
  <c r="X22" i="13"/>
  <c r="U29" i="13"/>
  <c r="V29" i="13"/>
  <c r="X29" i="13"/>
  <c r="K29" i="13"/>
  <c r="H29" i="13"/>
  <c r="J29" i="13"/>
  <c r="I29" i="13"/>
  <c r="K18" i="13"/>
  <c r="K19" i="13" s="1"/>
  <c r="D11" i="15"/>
  <c r="E49" i="4"/>
  <c r="E43" i="4"/>
  <c r="L78" i="2"/>
  <c r="L79" i="2"/>
  <c r="L80" i="2"/>
  <c r="L81" i="2"/>
  <c r="L82" i="2"/>
  <c r="L61" i="2"/>
  <c r="L62" i="2"/>
  <c r="L63" i="2"/>
  <c r="L64" i="2"/>
  <c r="L65" i="2"/>
  <c r="L66" i="2"/>
  <c r="L67" i="2"/>
  <c r="G37" i="2"/>
  <c r="I37" i="2"/>
  <c r="K37" i="2" s="1"/>
  <c r="I76" i="2"/>
  <c r="K76" i="2" s="1"/>
  <c r="I38" i="2"/>
  <c r="I39" i="2"/>
  <c r="I40" i="2"/>
  <c r="I41" i="2"/>
  <c r="I42" i="2"/>
  <c r="Q38" i="2"/>
  <c r="Q41" i="2"/>
  <c r="Q42" i="2"/>
  <c r="P37" i="2"/>
  <c r="P38" i="2"/>
  <c r="P39" i="2"/>
  <c r="P40" i="2"/>
  <c r="P41" i="2"/>
  <c r="P42" i="2"/>
  <c r="O37" i="2"/>
  <c r="O38" i="2"/>
  <c r="O39" i="2"/>
  <c r="O40" i="2"/>
  <c r="O41" i="2"/>
  <c r="O42" i="2"/>
  <c r="N38" i="2"/>
  <c r="N39" i="2"/>
  <c r="N40" i="2"/>
  <c r="N41" i="2"/>
  <c r="N42" i="2"/>
  <c r="G41" i="2"/>
  <c r="G42" i="2"/>
  <c r="Q78" i="2"/>
  <c r="Q79" i="2"/>
  <c r="Q80" i="2"/>
  <c r="Q81" i="2"/>
  <c r="Q82" i="2"/>
  <c r="P77" i="2"/>
  <c r="P78" i="2"/>
  <c r="P79" i="2"/>
  <c r="P80" i="2"/>
  <c r="P81" i="2"/>
  <c r="P82" i="2"/>
  <c r="O77" i="2"/>
  <c r="O78" i="2"/>
  <c r="O79" i="2"/>
  <c r="O80" i="2"/>
  <c r="O81" i="2"/>
  <c r="O82" i="2"/>
  <c r="N78" i="2"/>
  <c r="N79" i="2"/>
  <c r="N80" i="2"/>
  <c r="N81" i="2"/>
  <c r="N82" i="2"/>
  <c r="P76" i="2"/>
  <c r="O76" i="2"/>
  <c r="I78" i="2"/>
  <c r="K78" i="2" s="1"/>
  <c r="I79" i="2"/>
  <c r="K79" i="2" s="1"/>
  <c r="I80" i="2"/>
  <c r="K80" i="2" s="1"/>
  <c r="I81" i="2"/>
  <c r="K81" i="2" s="1"/>
  <c r="I82" i="2"/>
  <c r="K82" i="2" s="1"/>
  <c r="G76" i="2"/>
  <c r="M37" i="2"/>
  <c r="M38" i="2"/>
  <c r="M39" i="2"/>
  <c r="M41" i="2"/>
  <c r="M42" i="2"/>
  <c r="M77" i="2"/>
  <c r="M78" i="2"/>
  <c r="M79" i="2"/>
  <c r="M80" i="2"/>
  <c r="M81" i="2"/>
  <c r="M82" i="2"/>
  <c r="H42" i="2"/>
  <c r="H41" i="2"/>
  <c r="H38" i="2"/>
  <c r="H37" i="2"/>
  <c r="M34" i="2"/>
  <c r="M76" i="2"/>
  <c r="H77" i="2"/>
  <c r="H78" i="2"/>
  <c r="H79" i="2"/>
  <c r="H80" i="2"/>
  <c r="H81" i="2"/>
  <c r="H82" i="2"/>
  <c r="H76" i="2"/>
  <c r="R25" i="2"/>
  <c r="Q25" i="2"/>
  <c r="O25" i="2"/>
  <c r="N25" i="2"/>
  <c r="M25" i="2"/>
  <c r="I25" i="2"/>
  <c r="K25" i="2" s="1"/>
  <c r="H25" i="2"/>
  <c r="R24" i="2"/>
  <c r="Q24" i="2"/>
  <c r="N24" i="2"/>
  <c r="M24" i="2"/>
  <c r="H24" i="2"/>
  <c r="R23" i="2"/>
  <c r="Q23" i="2"/>
  <c r="N23" i="2"/>
  <c r="M23" i="2"/>
  <c r="H23" i="2"/>
  <c r="R22" i="2"/>
  <c r="Q22" i="2"/>
  <c r="O22" i="2"/>
  <c r="N22" i="2"/>
  <c r="M22" i="2"/>
  <c r="I22" i="2"/>
  <c r="K22" i="2" s="1"/>
  <c r="H22" i="2"/>
  <c r="R21" i="2"/>
  <c r="Q21" i="2"/>
  <c r="N21" i="2"/>
  <c r="M21" i="2"/>
  <c r="H21" i="2"/>
  <c r="R20" i="2"/>
  <c r="Q20" i="2"/>
  <c r="N20" i="2"/>
  <c r="M20" i="2"/>
  <c r="H20" i="2"/>
  <c r="R19" i="2"/>
  <c r="Q19" i="2"/>
  <c r="O19" i="2"/>
  <c r="N19" i="2"/>
  <c r="M19" i="2"/>
  <c r="I19" i="2"/>
  <c r="K19" i="2" s="1"/>
  <c r="H19" i="2"/>
  <c r="Q17" i="2"/>
  <c r="O17" i="2"/>
  <c r="M17" i="2"/>
  <c r="I17" i="2"/>
  <c r="K17" i="2" s="1"/>
  <c r="R16" i="2"/>
  <c r="Q16" i="2"/>
  <c r="M16" i="2"/>
  <c r="H16" i="2"/>
  <c r="R14" i="2"/>
  <c r="Q14" i="2"/>
  <c r="N14" i="2"/>
  <c r="M14" i="2"/>
  <c r="H14" i="2"/>
  <c r="R59" i="2"/>
  <c r="R60" i="2"/>
  <c r="R61" i="2"/>
  <c r="R62" i="2"/>
  <c r="R63" i="2"/>
  <c r="R64" i="2"/>
  <c r="R65" i="2"/>
  <c r="R66" i="2"/>
  <c r="R67" i="2"/>
  <c r="R57" i="2"/>
  <c r="Q59" i="2"/>
  <c r="Q60" i="2"/>
  <c r="Q61" i="2"/>
  <c r="Q62" i="2"/>
  <c r="Q63" i="2"/>
  <c r="Q64" i="2"/>
  <c r="Q65" i="2"/>
  <c r="Q66" i="2"/>
  <c r="Q67" i="2"/>
  <c r="Q57" i="2"/>
  <c r="O61" i="2"/>
  <c r="O62" i="2"/>
  <c r="O63" i="2"/>
  <c r="O64" i="2"/>
  <c r="O65" i="2"/>
  <c r="O66" i="2"/>
  <c r="O67" i="2"/>
  <c r="N59" i="2"/>
  <c r="N60" i="2"/>
  <c r="N61" i="2"/>
  <c r="N62" i="2"/>
  <c r="N63" i="2"/>
  <c r="N64" i="2"/>
  <c r="N65" i="2"/>
  <c r="N66" i="2"/>
  <c r="N67" i="2"/>
  <c r="N57" i="2"/>
  <c r="M59" i="2"/>
  <c r="M60" i="2"/>
  <c r="M61" i="2"/>
  <c r="M62" i="2"/>
  <c r="M63" i="2"/>
  <c r="M64" i="2"/>
  <c r="M65" i="2"/>
  <c r="M66" i="2"/>
  <c r="M67" i="2"/>
  <c r="M57" i="2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H59" i="2"/>
  <c r="H60" i="2"/>
  <c r="H61" i="2"/>
  <c r="H62" i="2"/>
  <c r="H63" i="2"/>
  <c r="H64" i="2"/>
  <c r="H65" i="2"/>
  <c r="H66" i="2"/>
  <c r="H67" i="2"/>
  <c r="H57" i="2"/>
  <c r="D49" i="4"/>
  <c r="Q8" i="3"/>
  <c r="Q9" i="3"/>
  <c r="Q10" i="3"/>
  <c r="Q11" i="3"/>
  <c r="Q12" i="3"/>
  <c r="Q7" i="3"/>
  <c r="D50" i="4" s="1"/>
  <c r="D43" i="4"/>
  <c r="J97" i="4"/>
  <c r="E61" i="4"/>
  <c r="J61" i="4" s="1"/>
  <c r="N61" i="4" s="1"/>
  <c r="E62" i="4"/>
  <c r="H62" i="4" s="1"/>
  <c r="O16" i="2" s="1"/>
  <c r="E63" i="4"/>
  <c r="H63" i="4" s="1"/>
  <c r="O59" i="2" s="1"/>
  <c r="E64" i="4"/>
  <c r="H64" i="4" s="1"/>
  <c r="K89" i="4"/>
  <c r="J21" i="13"/>
  <c r="J22" i="13" s="1"/>
  <c r="E43" i="14"/>
  <c r="C44" i="14"/>
  <c r="C43" i="14"/>
  <c r="D43" i="14"/>
  <c r="N42" i="15"/>
  <c r="J43" i="15"/>
  <c r="J44" i="15"/>
  <c r="J45" i="15"/>
  <c r="J46" i="15"/>
  <c r="J47" i="15"/>
  <c r="I96" i="4"/>
  <c r="J96" i="4" s="1"/>
  <c r="K95" i="4"/>
  <c r="N95" i="4" s="1"/>
  <c r="Q37" i="2" s="1"/>
  <c r="I95" i="4"/>
  <c r="J95" i="4" s="1"/>
  <c r="N94" i="4"/>
  <c r="I94" i="4"/>
  <c r="J94" i="4" s="1"/>
  <c r="K93" i="4"/>
  <c r="I93" i="4"/>
  <c r="J93" i="4" s="1"/>
  <c r="I92" i="4"/>
  <c r="J92" i="4" s="1"/>
  <c r="K91" i="4"/>
  <c r="N91" i="4" s="1"/>
  <c r="I91" i="4"/>
  <c r="J91" i="4" s="1"/>
  <c r="K90" i="4"/>
  <c r="N90" i="4" s="1"/>
  <c r="I90" i="4"/>
  <c r="J90" i="4" s="1"/>
  <c r="I89" i="4"/>
  <c r="J89" i="4" s="1"/>
  <c r="D37" i="3"/>
  <c r="D36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K23" i="13" l="1"/>
  <c r="F9" i="24"/>
  <c r="C81" i="25" s="1"/>
  <c r="F21" i="24"/>
  <c r="U30" i="13"/>
  <c r="P17" i="2"/>
  <c r="S17" i="2" s="1"/>
  <c r="I20" i="2"/>
  <c r="K20" i="2" s="1"/>
  <c r="O20" i="2"/>
  <c r="L40" i="2"/>
  <c r="H14" i="13"/>
  <c r="H18" i="13" s="1"/>
  <c r="H19" i="13" s="1"/>
  <c r="I14" i="13"/>
  <c r="I18" i="13" s="1"/>
  <c r="I19" i="13" s="1"/>
  <c r="J14" i="13"/>
  <c r="J18" i="13" s="1"/>
  <c r="J19" i="13" s="1"/>
  <c r="J23" i="13" s="1"/>
  <c r="J30" i="13" s="1"/>
  <c r="V21" i="13"/>
  <c r="V22" i="13" s="1"/>
  <c r="I21" i="13"/>
  <c r="I22" i="13" s="1"/>
  <c r="W21" i="13"/>
  <c r="W22" i="13" s="1"/>
  <c r="W23" i="13" s="1"/>
  <c r="H21" i="13"/>
  <c r="H22" i="13" s="1"/>
  <c r="Q76" i="2"/>
  <c r="O23" i="2"/>
  <c r="L38" i="2"/>
  <c r="L24" i="2"/>
  <c r="L23" i="2"/>
  <c r="I24" i="2"/>
  <c r="K24" i="2" s="1"/>
  <c r="I23" i="2"/>
  <c r="K23" i="2" s="1"/>
  <c r="L19" i="2"/>
  <c r="O24" i="2"/>
  <c r="I77" i="2"/>
  <c r="K77" i="2" s="1"/>
  <c r="I59" i="2"/>
  <c r="K59" i="2" s="1"/>
  <c r="P59" i="2" s="1"/>
  <c r="S59" i="2" s="1"/>
  <c r="O14" i="2"/>
  <c r="I21" i="2"/>
  <c r="K21" i="2" s="1"/>
  <c r="F49" i="4"/>
  <c r="L76" i="2" s="1"/>
  <c r="I57" i="2"/>
  <c r="K57" i="2" s="1"/>
  <c r="I60" i="2"/>
  <c r="K60" i="2" s="1"/>
  <c r="N37" i="2"/>
  <c r="X30" i="13"/>
  <c r="F50" i="4"/>
  <c r="L57" i="2" s="1"/>
  <c r="K30" i="13"/>
  <c r="F43" i="4"/>
  <c r="L20" i="2" s="1"/>
  <c r="O57" i="2"/>
  <c r="O21" i="2"/>
  <c r="I14" i="2"/>
  <c r="K14" i="2" s="1"/>
  <c r="P34" i="2"/>
  <c r="O60" i="2"/>
  <c r="R78" i="2"/>
  <c r="R80" i="2"/>
  <c r="R79" i="2"/>
  <c r="R81" i="2"/>
  <c r="R82" i="2"/>
  <c r="C38" i="14"/>
  <c r="P19" i="2"/>
  <c r="S19" i="2" s="1"/>
  <c r="P67" i="2"/>
  <c r="S67" i="2" s="1"/>
  <c r="T67" i="2" s="1"/>
  <c r="N76" i="2"/>
  <c r="N77" i="2"/>
  <c r="N34" i="2"/>
  <c r="P66" i="2"/>
  <c r="S66" i="2" s="1"/>
  <c r="T66" i="2" s="1"/>
  <c r="P25" i="2"/>
  <c r="S25" i="2" s="1"/>
  <c r="T25" i="2" s="1"/>
  <c r="P65" i="2"/>
  <c r="S65" i="2" s="1"/>
  <c r="T65" i="2" s="1"/>
  <c r="P64" i="2"/>
  <c r="S64" i="2" s="1"/>
  <c r="T64" i="2" s="1"/>
  <c r="P63" i="2"/>
  <c r="S63" i="2" s="1"/>
  <c r="T63" i="2" s="1"/>
  <c r="P22" i="2"/>
  <c r="S22" i="2" s="1"/>
  <c r="T22" i="2" s="1"/>
  <c r="P62" i="2"/>
  <c r="S62" i="2" s="1"/>
  <c r="T62" i="2" s="1"/>
  <c r="P61" i="2"/>
  <c r="S61" i="2" s="1"/>
  <c r="T61" i="2" s="1"/>
  <c r="K41" i="2"/>
  <c r="R41" i="2" s="1"/>
  <c r="K42" i="2"/>
  <c r="R42" i="2" s="1"/>
  <c r="K40" i="2"/>
  <c r="K39" i="2"/>
  <c r="R39" i="2" s="1"/>
  <c r="K38" i="2"/>
  <c r="J64" i="4"/>
  <c r="N64" i="4" s="1"/>
  <c r="J62" i="4"/>
  <c r="N62" i="4" s="1"/>
  <c r="J63" i="4"/>
  <c r="N63" i="4" s="1"/>
  <c r="K42" i="15"/>
  <c r="M42" i="15" s="1"/>
  <c r="K96" i="4"/>
  <c r="N96" i="4" s="1"/>
  <c r="N93" i="4"/>
  <c r="Q77" i="2" s="1"/>
  <c r="D35" i="3"/>
  <c r="P20" i="2" l="1"/>
  <c r="S20" i="2" s="1"/>
  <c r="T20" i="2" s="1"/>
  <c r="W30" i="13"/>
  <c r="V23" i="13"/>
  <c r="V30" i="13" s="1"/>
  <c r="N8" i="24"/>
  <c r="G80" i="25" s="1"/>
  <c r="K16" i="2"/>
  <c r="P16" i="2" s="1"/>
  <c r="S16" i="2" s="1"/>
  <c r="R40" i="2"/>
  <c r="P57" i="2"/>
  <c r="S57" i="2" s="1"/>
  <c r="T57" i="2" s="1"/>
  <c r="H23" i="13"/>
  <c r="H30" i="13" s="1"/>
  <c r="R76" i="2"/>
  <c r="E31" i="14"/>
  <c r="D17" i="14" s="1"/>
  <c r="C17" i="14" s="1"/>
  <c r="E32" i="14"/>
  <c r="D18" i="14" s="1"/>
  <c r="C18" i="14" s="1"/>
  <c r="D45" i="4" s="1"/>
  <c r="F45" i="4" s="1"/>
  <c r="E34" i="14"/>
  <c r="D20" i="14" s="1"/>
  <c r="C20" i="14" s="1"/>
  <c r="E30" i="14"/>
  <c r="D16" i="14" s="1"/>
  <c r="C16" i="14" s="1"/>
  <c r="E29" i="14"/>
  <c r="E35" i="14"/>
  <c r="D21" i="14" s="1"/>
  <c r="C21" i="14" s="1"/>
  <c r="E37" i="14"/>
  <c r="D23" i="14" s="1"/>
  <c r="C23" i="14" s="1"/>
  <c r="E33" i="14"/>
  <c r="D19" i="14" s="1"/>
  <c r="C19" i="14" s="1"/>
  <c r="D46" i="4" s="1"/>
  <c r="F46" i="4" s="1"/>
  <c r="E36" i="14"/>
  <c r="D22" i="14" s="1"/>
  <c r="C22" i="14" s="1"/>
  <c r="I23" i="13"/>
  <c r="I30" i="13" s="1"/>
  <c r="P23" i="2"/>
  <c r="S23" i="2" s="1"/>
  <c r="T23" i="2" s="1"/>
  <c r="P24" i="2"/>
  <c r="S24" i="2" s="1"/>
  <c r="T24" i="2" s="1"/>
  <c r="R38" i="2"/>
  <c r="T19" i="2"/>
  <c r="L59" i="2"/>
  <c r="T59" i="2" s="1"/>
  <c r="L77" i="2"/>
  <c r="R77" i="2" s="1"/>
  <c r="L37" i="2"/>
  <c r="R37" i="2" s="1"/>
  <c r="L21" i="2"/>
  <c r="L60" i="2"/>
  <c r="P14" i="2"/>
  <c r="S14" i="2" s="1"/>
  <c r="P60" i="2"/>
  <c r="S60" i="2" s="1"/>
  <c r="P21" i="2"/>
  <c r="S21" i="2" s="1"/>
  <c r="N92" i="4"/>
  <c r="L16" i="2" l="1"/>
  <c r="T16" i="2" s="1"/>
  <c r="L34" i="2"/>
  <c r="R34" i="2" s="1"/>
  <c r="L15" i="2"/>
  <c r="T15" i="2" s="1"/>
  <c r="L17" i="2"/>
  <c r="T17" i="2" s="1"/>
  <c r="L35" i="2"/>
  <c r="R35" i="2" s="1"/>
  <c r="L18" i="2"/>
  <c r="T18" i="2" s="1"/>
  <c r="N25" i="24"/>
  <c r="N22" i="24"/>
  <c r="N12" i="24"/>
  <c r="N10" i="24"/>
  <c r="N20" i="24"/>
  <c r="U34" i="13"/>
  <c r="N15" i="24"/>
  <c r="N28" i="24"/>
  <c r="N18" i="24"/>
  <c r="N23" i="24"/>
  <c r="N13" i="24"/>
  <c r="N26" i="24"/>
  <c r="N16" i="24"/>
  <c r="N21" i="24"/>
  <c r="N19" i="24"/>
  <c r="N24" i="24"/>
  <c r="N29" i="24"/>
  <c r="N27" i="24"/>
  <c r="N17" i="24"/>
  <c r="N14" i="24"/>
  <c r="N11" i="24"/>
  <c r="F25" i="24"/>
  <c r="F33" i="24"/>
  <c r="F19" i="24"/>
  <c r="F26" i="24"/>
  <c r="F20" i="24"/>
  <c r="F27" i="24"/>
  <c r="F13" i="24"/>
  <c r="F28" i="24"/>
  <c r="F14" i="24"/>
  <c r="F12" i="24"/>
  <c r="F29" i="24"/>
  <c r="F15" i="24"/>
  <c r="F30" i="24"/>
  <c r="F16" i="24"/>
  <c r="F31" i="24"/>
  <c r="F17" i="24"/>
  <c r="F32" i="24"/>
  <c r="F18" i="24"/>
  <c r="F11" i="24"/>
  <c r="C83" i="25" s="1"/>
  <c r="F22" i="24"/>
  <c r="H34" i="13"/>
  <c r="H36" i="13" s="1"/>
  <c r="E38" i="14"/>
  <c r="D15" i="14"/>
  <c r="T21" i="2"/>
  <c r="T60" i="2"/>
  <c r="U37" i="13"/>
  <c r="U36" i="13"/>
  <c r="G18" i="15"/>
  <c r="J18" i="15" s="1"/>
  <c r="G17" i="15"/>
  <c r="J17" i="15" s="1"/>
  <c r="G16" i="15"/>
  <c r="J16" i="15" s="1"/>
  <c r="G15" i="15"/>
  <c r="J15" i="15" s="1"/>
  <c r="G14" i="15"/>
  <c r="J14" i="15" s="1"/>
  <c r="G13" i="15"/>
  <c r="J13" i="15" s="1"/>
  <c r="G12" i="15"/>
  <c r="J12" i="15" s="1"/>
  <c r="G19" i="15"/>
  <c r="J19" i="15" s="1"/>
  <c r="D24" i="14" l="1"/>
  <c r="C15" i="14"/>
  <c r="D44" i="4" s="1"/>
  <c r="F44" i="4" s="1"/>
  <c r="L14" i="2" s="1"/>
  <c r="U38" i="13"/>
  <c r="G82" i="25" s="1"/>
  <c r="U35" i="13"/>
  <c r="T76" i="2"/>
  <c r="H37" i="13"/>
  <c r="H38" i="13"/>
  <c r="H35" i="13"/>
  <c r="G11" i="15"/>
  <c r="J11" i="15" s="1"/>
  <c r="N9" i="24" l="1"/>
  <c r="G81" i="25" s="1"/>
  <c r="T14" i="2"/>
  <c r="K11" i="15"/>
  <c r="M11" i="15" s="1"/>
  <c r="J20" i="15"/>
  <c r="N11" i="15"/>
  <c r="F8" i="24" l="1"/>
  <c r="C80" i="25" s="1"/>
  <c r="O8" i="24"/>
  <c r="D7" i="25" s="1"/>
  <c r="N30" i="24"/>
  <c r="T34" i="2"/>
  <c r="F10" i="24"/>
  <c r="C82" i="25" s="1"/>
  <c r="F34" i="24" l="1"/>
  <c r="O10" i="24"/>
  <c r="D8" i="25" s="1"/>
  <c r="G8" i="24"/>
  <c r="C7" i="25" s="1"/>
  <c r="O11" i="24" l="1"/>
  <c r="D9" i="25" s="1"/>
  <c r="G12" i="24"/>
  <c r="C8" i="25" s="1"/>
  <c r="O12" i="24" l="1"/>
  <c r="D10" i="25" s="1"/>
  <c r="G13" i="24"/>
  <c r="C9" i="25" s="1"/>
  <c r="O13" i="24" l="1"/>
  <c r="D11" i="25" s="1"/>
  <c r="G14" i="24"/>
  <c r="C10" i="25" s="1"/>
  <c r="O14" i="24" l="1"/>
  <c r="D12" i="25" s="1"/>
  <c r="G15" i="24"/>
  <c r="C11" i="25" s="1"/>
  <c r="O15" i="24" l="1"/>
  <c r="D13" i="25" s="1"/>
  <c r="G16" i="24"/>
  <c r="C12" i="25" s="1"/>
  <c r="O16" i="24" l="1"/>
  <c r="D14" i="25" s="1"/>
  <c r="G17" i="24"/>
  <c r="C13" i="25" s="1"/>
  <c r="O17" i="24" l="1"/>
  <c r="D15" i="25" s="1"/>
  <c r="G18" i="24"/>
  <c r="C14" i="25" s="1"/>
  <c r="O18" i="24" l="1"/>
  <c r="D16" i="25" s="1"/>
  <c r="G19" i="24"/>
  <c r="G20" i="24" l="1"/>
  <c r="C15" i="25"/>
  <c r="O19" i="24"/>
  <c r="D17" i="25" s="1"/>
  <c r="G21" i="24" l="1"/>
  <c r="C16" i="25"/>
  <c r="O20" i="24"/>
  <c r="D18" i="25" s="1"/>
  <c r="G24" i="24" l="1"/>
  <c r="C17" i="25"/>
  <c r="O21" i="24"/>
  <c r="D19" i="25" s="1"/>
  <c r="C18" i="25" l="1"/>
  <c r="G25" i="24"/>
  <c r="O22" i="24"/>
  <c r="D20" i="25" s="1"/>
  <c r="C19" i="25" l="1"/>
  <c r="G26" i="24"/>
  <c r="O23" i="24"/>
  <c r="D21" i="25" s="1"/>
  <c r="G27" i="24" l="1"/>
  <c r="C20" i="25"/>
  <c r="O24" i="24"/>
  <c r="D22" i="25" s="1"/>
  <c r="G28" i="24" l="1"/>
  <c r="C21" i="25"/>
  <c r="O25" i="24"/>
  <c r="D23" i="25" s="1"/>
  <c r="G29" i="24" l="1"/>
  <c r="C22" i="25"/>
  <c r="O26" i="24"/>
  <c r="D24" i="25" s="1"/>
  <c r="G30" i="24" l="1"/>
  <c r="C23" i="25"/>
  <c r="O27" i="24"/>
  <c r="D25" i="25" s="1"/>
  <c r="G31" i="24" l="1"/>
  <c r="C24" i="25"/>
  <c r="O28" i="24"/>
  <c r="D26" i="25" s="1"/>
  <c r="G32" i="24" l="1"/>
  <c r="C25" i="25"/>
  <c r="O29" i="24"/>
  <c r="D27" i="25" s="1"/>
  <c r="G33" i="24" l="1"/>
  <c r="C27" i="25" s="1"/>
  <c r="C2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Kristoffer</author>
  </authors>
  <commentList>
    <comment ref="C5" authorId="0" shapeId="0" xr:uid="{A7FD65C8-25E2-4ED7-AF73-C6546520A33F}">
      <text>
        <r>
          <rPr>
            <b/>
            <sz val="9"/>
            <color indexed="81"/>
            <rFont val="Tahoma"/>
            <family val="2"/>
          </rPr>
          <t>Kristoffer:</t>
        </r>
        <r>
          <rPr>
            <sz val="9"/>
            <color indexed="81"/>
            <rFont val="Tahoma"/>
            <family val="2"/>
          </rPr>
          <t xml:space="preserve">
Fra personlig samtale med Odd Ivar Opsahl, Sales Manager Scania. Fra dokument Environmental Product Declaration and Material Declaration. </t>
        </r>
      </text>
    </comment>
    <comment ref="D35" authorId="0" shapeId="0" xr:uid="{5FE1D794-130A-4284-A1E3-AAF5DF31D882}">
      <text>
        <r>
          <rPr>
            <b/>
            <sz val="9"/>
            <color indexed="81"/>
            <rFont val="Tahoma"/>
            <family val="2"/>
          </rPr>
          <t>Kristoffer:</t>
        </r>
        <r>
          <rPr>
            <sz val="9"/>
            <color indexed="81"/>
            <rFont val="Tahoma"/>
            <family val="2"/>
          </rPr>
          <t xml:space="preserve">
kW x 1,36 = hp fra Engineering manual motor</t>
        </r>
      </text>
    </comment>
    <comment ref="L55" authorId="0" shapeId="0" xr:uid="{7A915A4A-9BC6-4440-8FCA-81BC8CF691DC}">
      <text>
        <r>
          <rPr>
            <b/>
            <sz val="9"/>
            <color indexed="81"/>
            <rFont val="Tahoma"/>
            <family val="2"/>
          </rPr>
          <t>Kristoffer:</t>
        </r>
        <r>
          <rPr>
            <sz val="9"/>
            <color indexed="81"/>
            <rFont val="Tahoma"/>
            <family val="2"/>
          </rPr>
          <t xml:space="preserve">
Hentet fra dokument "DI13070M_368kW.pdf" under test conditions
</t>
        </r>
      </text>
    </comment>
  </commentList>
</comments>
</file>

<file path=xl/sharedStrings.xml><?xml version="1.0" encoding="utf-8"?>
<sst xmlns="http://schemas.openxmlformats.org/spreadsheetml/2006/main" count="1160" uniqueCount="507">
  <si>
    <t>1.1 Cover</t>
  </si>
  <si>
    <t>Bachelor Thesis for MENG - A Comparative CO2 Emission Analysis 
of a Diesel Engine and an Electric Engine</t>
  </si>
  <si>
    <t>Department of Mechanical and Marine Engineering
Western Norway University of Applied Sciences (HVL)
Inndalsveien 28, NO-5063 Bergen, Norway</t>
  </si>
  <si>
    <t>MENG - Maritime Engineering
Lyngvegen 2, 5914 Isdalstø, Norway</t>
  </si>
  <si>
    <t>Date: 25.05.2021</t>
  </si>
  <si>
    <t xml:space="preserve">Authors: </t>
  </si>
  <si>
    <t>Vermund Leite
Mobil: +47 958 66 116
E-mail: Vermund98@hotmail.com
Kristoffer Brathetland Hauge
Mobil: +47 948 62 915
E-mail: Kristofferhauge@hotmail.com
Helene Moxnes
Mobil: +47 941 79 199
E-mail: Helene.moxnes@hotmail.com</t>
  </si>
  <si>
    <t xml:space="preserve">Assigned by: </t>
  </si>
  <si>
    <t>Study Programs: 
Supervisor at HVL</t>
  </si>
  <si>
    <t>Contact Person:</t>
  </si>
  <si>
    <t>Hans Marius Remmen
+47 951 73 652
Hans.marius@meng.no</t>
  </si>
  <si>
    <t>Ocean- &amp; Marin Technology</t>
  </si>
  <si>
    <t>Maneesh Singh, HVL Professor</t>
  </si>
  <si>
    <t>Mobil: +47 406 10 021</t>
  </si>
  <si>
    <t>E-mail: Maneesh.Singh@hvl.no</t>
  </si>
  <si>
    <t>1.2  Aim &amp; Scope</t>
  </si>
  <si>
    <t> </t>
  </si>
  <si>
    <t>Aim Of The Thesis</t>
  </si>
  <si>
    <t>Scope Of Work</t>
  </si>
  <si>
    <t>This Bachelor Thesis focuses on the following:</t>
  </si>
  <si>
    <t>1.</t>
  </si>
  <si>
    <t>2.</t>
  </si>
  <si>
    <t>3.</t>
  </si>
  <si>
    <t>CO2 Emissions Summary</t>
  </si>
  <si>
    <t>Electric engine</t>
  </si>
  <si>
    <t>Diesel engine</t>
  </si>
  <si>
    <t>Step</t>
  </si>
  <si>
    <t>Part</t>
  </si>
  <si>
    <t>Total CO2 Emission Electric Engine [kg]</t>
  </si>
  <si>
    <t>Manufacturing</t>
  </si>
  <si>
    <t>Electric engines</t>
  </si>
  <si>
    <t>Batteries</t>
  </si>
  <si>
    <t>Transport</t>
  </si>
  <si>
    <t>Year</t>
  </si>
  <si>
    <t/>
  </si>
  <si>
    <t>1. Choose category</t>
  </si>
  <si>
    <t>2. Choose region / country / organization</t>
  </si>
  <si>
    <t>3. Fill in number of engines</t>
  </si>
  <si>
    <t>Engine</t>
  </si>
  <si>
    <t>Weight of engine [kg]</t>
  </si>
  <si>
    <t>Materials</t>
  </si>
  <si>
    <t>Material category</t>
  </si>
  <si>
    <t>Share of material in engine [%]</t>
  </si>
  <si>
    <t>Production region / country / organization</t>
  </si>
  <si>
    <t>kg CO2 / kg material produced</t>
  </si>
  <si>
    <t>kg CO2 from material</t>
  </si>
  <si>
    <t>CO2 emissions from engine production [kg]</t>
  </si>
  <si>
    <t>Total engines in vesssel</t>
  </si>
  <si>
    <t>Total CO2 emissions from engine production [kg]</t>
  </si>
  <si>
    <t>% of engine manufacturing accounted for</t>
  </si>
  <si>
    <t>ABB electric engine</t>
  </si>
  <si>
    <t>Electric steel</t>
  </si>
  <si>
    <t>Steel</t>
  </si>
  <si>
    <t>EU</t>
  </si>
  <si>
    <t>Other steel</t>
  </si>
  <si>
    <t xml:space="preserve">Cast iron </t>
  </si>
  <si>
    <t xml:space="preserve">Aluminium </t>
  </si>
  <si>
    <t>Aluminum</t>
  </si>
  <si>
    <t>Copper</t>
  </si>
  <si>
    <t>World average (ICA members)</t>
  </si>
  <si>
    <t xml:space="preserve">Insulation material </t>
  </si>
  <si>
    <t>Other</t>
  </si>
  <si>
    <t>N/A</t>
  </si>
  <si>
    <t>Wooden packing material</t>
  </si>
  <si>
    <t xml:space="preserve">Impregnation resin </t>
  </si>
  <si>
    <t xml:space="preserve">Paint </t>
  </si>
  <si>
    <t>1. Fill in number of modules</t>
  </si>
  <si>
    <t>2. Fill inn number of packs</t>
  </si>
  <si>
    <t>3. Choose location</t>
  </si>
  <si>
    <t>Battery</t>
  </si>
  <si>
    <t>System specifications</t>
  </si>
  <si>
    <t>Battery pack</t>
  </si>
  <si>
    <t xml:space="preserve">Battery system </t>
  </si>
  <si>
    <t>Production location</t>
  </si>
  <si>
    <t>Manufacturing [kg CO2e / kWh]</t>
  </si>
  <si>
    <t>Total CO2 emissions from battery system [kg]</t>
  </si>
  <si>
    <t>Corvus Dolphin Energy</t>
  </si>
  <si>
    <t>Single module size [kWh]</t>
  </si>
  <si>
    <t>Modules</t>
  </si>
  <si>
    <t>Packs</t>
  </si>
  <si>
    <t>China</t>
  </si>
  <si>
    <t>Single module size [VDC]</t>
  </si>
  <si>
    <t>Energy [kWh]</t>
  </si>
  <si>
    <t>Max gravimetric density - pack [Wh / kg]</t>
  </si>
  <si>
    <t>Voltage (max) [VDC]</t>
  </si>
  <si>
    <t>Max gravimetric density - pack [kg / kWh]</t>
  </si>
  <si>
    <t>Weight [kg]</t>
  </si>
  <si>
    <t>Scania diesel engine</t>
  </si>
  <si>
    <t>Metals</t>
  </si>
  <si>
    <t>Polymers</t>
  </si>
  <si>
    <t>Elastomers</t>
  </si>
  <si>
    <t>Fluids</t>
  </si>
  <si>
    <t>MONM*</t>
  </si>
  <si>
    <t xml:space="preserve">Road Transport </t>
  </si>
  <si>
    <t>1. Choose product</t>
  </si>
  <si>
    <t xml:space="preserve">2. Fill inn note if necessary </t>
  </si>
  <si>
    <t>3. Fill inn transport route if necessary</t>
  </si>
  <si>
    <t>4. Choose transport option</t>
  </si>
  <si>
    <t>5. Fill in distance</t>
  </si>
  <si>
    <t>6. Fill in assumed cargo load</t>
  </si>
  <si>
    <t>Product</t>
  </si>
  <si>
    <t>Note</t>
  </si>
  <si>
    <t>Transport route</t>
  </si>
  <si>
    <t>Road transport option</t>
  </si>
  <si>
    <t>Distance [km]</t>
  </si>
  <si>
    <t xml:space="preserve">Weight unloaded [ton] </t>
  </si>
  <si>
    <t>Max cargo [ton]</t>
  </si>
  <si>
    <t>Assumed cargo [%]</t>
  </si>
  <si>
    <t>Weight cargo [ton]</t>
  </si>
  <si>
    <t>Weight of specific product [kg]</t>
  </si>
  <si>
    <t>Fuel consumption empty [liter/km]</t>
  </si>
  <si>
    <t>Fuel consumption max cargo [liter/km]</t>
  </si>
  <si>
    <t>Fuel consumption [liter/(km*ton)]</t>
  </si>
  <si>
    <t>Fuel consumptio as a function of cargo and distance [liter]</t>
  </si>
  <si>
    <t>Fuel</t>
  </si>
  <si>
    <t>kg CO2 / liter fuel</t>
  </si>
  <si>
    <t>CO2 emission from transport [kg]</t>
  </si>
  <si>
    <t>Specific CO2 emission from transport of product [kg]</t>
  </si>
  <si>
    <t>From SSAB Europe, Rautaruukintie, Finland to ABB Factory in Vaasa</t>
  </si>
  <si>
    <t>Oy - Vaasa</t>
  </si>
  <si>
    <t>Tractor and semi-trailer, long haul traffic</t>
  </si>
  <si>
    <t xml:space="preserve">From Hydro Sunndal to production assembly in Vaasa. 1 ferry conection. </t>
  </si>
  <si>
    <t>Hydro Sunndal - Umeå Ferry Pier</t>
  </si>
  <si>
    <t xml:space="preserve">Vaasa Ferry Pier - ABB Factory, Vaasa </t>
  </si>
  <si>
    <t xml:space="preserve">From Boliden Rönnskär to production assembly in Vaasa. 1 ferry conection. </t>
  </si>
  <si>
    <t xml:space="preserve">Boliden Rönnskär - Umeå Ferry Pier </t>
  </si>
  <si>
    <t xml:space="preserve">Vaasa Feryy Pier - ABB Factory, Vaasa </t>
  </si>
  <si>
    <t xml:space="preserve">  </t>
  </si>
  <si>
    <t>From ABB factory to assembly location in Mundal. 1 ferry connection.</t>
  </si>
  <si>
    <t>ABB Factory, Vaasa - Vaasa Ferry Pier</t>
  </si>
  <si>
    <t>Umeå Feryy Pier - Mundal, Radøy</t>
  </si>
  <si>
    <t xml:space="preserve">From CATL Ningde to assembly location in Mundal. 2 ferry conection. </t>
  </si>
  <si>
    <t>CATL in Ningde - Port of Shanghai</t>
  </si>
  <si>
    <t>Port of Bergen  -  Mundal, Radøy</t>
  </si>
  <si>
    <t xml:space="preserve">Maritim Transport </t>
  </si>
  <si>
    <t>2. Fill in note if necessary</t>
  </si>
  <si>
    <t>5. Fill in assumed cargo load</t>
  </si>
  <si>
    <t>Maritim transport option</t>
  </si>
  <si>
    <t>PBE
(Passenger Car Capacity)</t>
  </si>
  <si>
    <t>Max weight of cargo [ton]</t>
  </si>
  <si>
    <t>Assumed cargo load on vessel [%]</t>
  </si>
  <si>
    <t>Weight of cargo on vessel [ton]</t>
  </si>
  <si>
    <t>Fuel/power source</t>
  </si>
  <si>
    <t>CO2e [g/(PBE*km)]</t>
  </si>
  <si>
    <t>Engine power [kW]</t>
  </si>
  <si>
    <t>gCO2 / kWh</t>
  </si>
  <si>
    <t>CO2e per trip [kg]</t>
  </si>
  <si>
    <t>Specific CO2-emission from transport of product [kg]</t>
  </si>
  <si>
    <t>Total CO2 emissions from transport of electric engine [kg]</t>
  </si>
  <si>
    <t xml:space="preserve"> Umeå Ferry Pier - Vaasa Ferry Pier</t>
  </si>
  <si>
    <t>Wasa Express</t>
  </si>
  <si>
    <t>Diesel</t>
  </si>
  <si>
    <t>Vaasa - Umeå</t>
  </si>
  <si>
    <t>Shanghai - Hamburg</t>
  </si>
  <si>
    <t>CMA CGM CHAMPS ELYSEES</t>
  </si>
  <si>
    <t>-</t>
  </si>
  <si>
    <t>Hamburg - Bergen</t>
  </si>
  <si>
    <t xml:space="preserve">NCL Alesund </t>
  </si>
  <si>
    <t>3. Choose transport option</t>
  </si>
  <si>
    <t>4. Fill in distance</t>
  </si>
  <si>
    <t>From steel plant SSAB to Scania Production Facility</t>
  </si>
  <si>
    <t>Luleå - Södertalje</t>
  </si>
  <si>
    <t>From Scania Production Facility to 
Nogva Motor Factory 
(local supplier of engine).</t>
  </si>
  <si>
    <t>Södertelje - Søvik</t>
  </si>
  <si>
    <t>From Nogva Motor Factory to Mundal Group. 2x ferry crossover</t>
  </si>
  <si>
    <t>Søvik - Radøy</t>
  </si>
  <si>
    <t>Total</t>
  </si>
  <si>
    <t>Total CO2 emissions from transport of diesel engine [kg]</t>
  </si>
  <si>
    <t>M/F Festøya</t>
  </si>
  <si>
    <t>M/F Oppedal</t>
  </si>
  <si>
    <t xml:space="preserve">During a 1 year cycle </t>
  </si>
  <si>
    <t>Choose engine</t>
  </si>
  <si>
    <t>Engine speed [rpm]</t>
  </si>
  <si>
    <t>Choose engine speed</t>
  </si>
  <si>
    <t>Gross power [kW]</t>
  </si>
  <si>
    <t>Fill inn number of engines in vessel</t>
  </si>
  <si>
    <t>Total engines</t>
  </si>
  <si>
    <t>Fill in number of engines in vessel</t>
  </si>
  <si>
    <t>Total gross power [kW]</t>
  </si>
  <si>
    <t>Speed [knots]</t>
  </si>
  <si>
    <t>kWh during lifespan</t>
  </si>
  <si>
    <t>Choose load</t>
  </si>
  <si>
    <t>Engine load</t>
  </si>
  <si>
    <t>Lifespan [hour]</t>
  </si>
  <si>
    <t>Specific fuel consumption [g / kWh]</t>
  </si>
  <si>
    <t>Choose power source</t>
  </si>
  <si>
    <t>Power Source</t>
  </si>
  <si>
    <t>Norway</t>
  </si>
  <si>
    <t xml:space="preserve">Specific fuel consumption, propeller curve [liter / hour] </t>
  </si>
  <si>
    <t>kg CO2 / kWh</t>
  </si>
  <si>
    <t>kg CO2 through lifespan</t>
  </si>
  <si>
    <t>Density of fuel [kg / liter]</t>
  </si>
  <si>
    <t>kg CO2 / operating hour</t>
  </si>
  <si>
    <t xml:space="preserve">Choose route </t>
  </si>
  <si>
    <t>Route</t>
  </si>
  <si>
    <t>Rosendal - Salmon Eye - Hågardsneset - Rosendal</t>
  </si>
  <si>
    <t>CO2 emission per trip [kg]</t>
  </si>
  <si>
    <t>Choose season</t>
  </si>
  <si>
    <t>Season</t>
  </si>
  <si>
    <t>On</t>
  </si>
  <si>
    <t>Off</t>
  </si>
  <si>
    <t>Trips per day</t>
  </si>
  <si>
    <t>Operating days per week</t>
  </si>
  <si>
    <t>Fill in number of weeks. 
Note: total weeks can not exceed 52.</t>
  </si>
  <si>
    <t>Number of weeks per season</t>
  </si>
  <si>
    <t>Fill in number of trips on request.</t>
  </si>
  <si>
    <t xml:space="preserve">Trips on request </t>
  </si>
  <si>
    <t>Total trips during season</t>
  </si>
  <si>
    <t>Total CO2 emissions from route during season [kg]</t>
  </si>
  <si>
    <t>Summary</t>
  </si>
  <si>
    <t>CO2 emissions after 1 year [kg]</t>
  </si>
  <si>
    <t>CO2 emissions after 5 years [kg]</t>
  </si>
  <si>
    <t>CO2 emissions after 10 years [kg]</t>
  </si>
  <si>
    <t>CO2 emissions after 15 years [kg]</t>
  </si>
  <si>
    <t>CO2 emissions after 20 years [kg]</t>
  </si>
  <si>
    <t>CO2 emission from power sector and material production</t>
  </si>
  <si>
    <t>CO2 emission from power sector and material production
(Assumption: steel includes metals, electric steel, other steel and cast iron)</t>
  </si>
  <si>
    <t>Region / Country</t>
  </si>
  <si>
    <r>
      <rPr>
        <b/>
        <sz val="11"/>
        <color theme="1"/>
        <rFont val="Calibri"/>
        <family val="2"/>
        <scheme val="minor"/>
      </rPr>
      <t>Main energy source</t>
    </r>
    <r>
      <rPr>
        <b/>
        <sz val="12"/>
        <color theme="1"/>
        <rFont val="Calibri"/>
        <family val="2"/>
        <scheme val="minor"/>
      </rPr>
      <t xml:space="preserve"> </t>
    </r>
  </si>
  <si>
    <t>gCO2/kWh from power sector</t>
  </si>
  <si>
    <t>kg CO2 / kWh from power sector</t>
  </si>
  <si>
    <t>kg CO2/tonne steel production</t>
  </si>
  <si>
    <t>kg CO2/kg steel produced</t>
  </si>
  <si>
    <t>kg CO2 / kg aluminum produced</t>
  </si>
  <si>
    <t>kg CO2 / kg copper produced</t>
  </si>
  <si>
    <t xml:space="preserve">Argentina </t>
  </si>
  <si>
    <t xml:space="preserve">Natural gas </t>
  </si>
  <si>
    <t xml:space="preserve">Australia </t>
  </si>
  <si>
    <t xml:space="preserve">Coal and Lignite </t>
  </si>
  <si>
    <t xml:space="preserve">Brasil </t>
  </si>
  <si>
    <t>Hydro</t>
  </si>
  <si>
    <t>Canada</t>
  </si>
  <si>
    <t xml:space="preserve">China </t>
  </si>
  <si>
    <t>Fossil fuels</t>
  </si>
  <si>
    <t xml:space="preserve">France </t>
  </si>
  <si>
    <t>Nuclear</t>
  </si>
  <si>
    <t>Engine options</t>
  </si>
  <si>
    <t>Germany</t>
  </si>
  <si>
    <t xml:space="preserve">Renewable </t>
  </si>
  <si>
    <t>India</t>
  </si>
  <si>
    <t>Indonesia</t>
  </si>
  <si>
    <t>Italy</t>
  </si>
  <si>
    <t xml:space="preserve">Japan </t>
  </si>
  <si>
    <t>Mexico</t>
  </si>
  <si>
    <t>Russia</t>
  </si>
  <si>
    <t xml:space="preserve">Saudi Arabia </t>
  </si>
  <si>
    <t xml:space="preserve">South Africa </t>
  </si>
  <si>
    <t>South Korea</t>
  </si>
  <si>
    <t>Turkey</t>
  </si>
  <si>
    <t xml:space="preserve">United Kingdom </t>
  </si>
  <si>
    <t>USA</t>
  </si>
  <si>
    <t xml:space="preserve">G20 average </t>
  </si>
  <si>
    <t xml:space="preserve">World average </t>
  </si>
  <si>
    <t>Transported product</t>
  </si>
  <si>
    <t>Transportation product</t>
  </si>
  <si>
    <t>Weight per engine [kg]</t>
  </si>
  <si>
    <t>Total weight [kg]</t>
  </si>
  <si>
    <t>Road transportation data</t>
  </si>
  <si>
    <t>Transportation option</t>
  </si>
  <si>
    <t>Weight unloaded [tonn]</t>
  </si>
  <si>
    <t>Max weight [tonn]</t>
  </si>
  <si>
    <t>Max payload [tonn]</t>
  </si>
  <si>
    <t>Fuel consumption max payload [liter/km]</t>
  </si>
  <si>
    <t>Fuel consumption [liter/(km*tonn)]</t>
  </si>
  <si>
    <t>Weight payload [tonn]</t>
  </si>
  <si>
    <t xml:space="preserve">Liter/km as function of cargo </t>
  </si>
  <si>
    <t>kg CO2/liter fuel</t>
  </si>
  <si>
    <t>CO2-emission [kg]</t>
  </si>
  <si>
    <t>Truck, distribution traffic</t>
  </si>
  <si>
    <t>Truck, regional traffic</t>
  </si>
  <si>
    <t>Truck with trailer, long-haul traffic</t>
  </si>
  <si>
    <t>Maritime transportation data</t>
  </si>
  <si>
    <t>Ferry</t>
  </si>
  <si>
    <t>Consept</t>
  </si>
  <si>
    <t xml:space="preserve">1 x 50 PBE + 1 x 70 PBE
10/10,4 knots &amp; 6,8 km </t>
  </si>
  <si>
    <t>1 x 120 PBE
10 knots &amp; 6,8 km</t>
  </si>
  <si>
    <t>1 x 120 PBE
12,9 knots &amp; 6,8 km</t>
  </si>
  <si>
    <t>Relative cost [%]</t>
  </si>
  <si>
    <t>Energy consumption [MJ/(PBE*km)]</t>
  </si>
  <si>
    <t>CO2e [g/kWh]</t>
  </si>
  <si>
    <t>Diesel mechanically on regular fossil diesel</t>
  </si>
  <si>
    <t>Diesel mechanically with 100% biodiesel</t>
  </si>
  <si>
    <t>Diesel / battery hybrid without charging from land</t>
  </si>
  <si>
    <t>Plug-in hybrid with diesel</t>
  </si>
  <si>
    <t>Plug-in hybrid with 100% biodiesel and general measures</t>
  </si>
  <si>
    <t>Pure battery ferry with general measures</t>
  </si>
  <si>
    <t>Hydrogen ferry</t>
  </si>
  <si>
    <t>Maritime transport option</t>
  </si>
  <si>
    <t>Company</t>
  </si>
  <si>
    <t>PBE
(Passenger car capacity)</t>
  </si>
  <si>
    <t>Fuel / power source</t>
  </si>
  <si>
    <t>Time 
[hours]</t>
  </si>
  <si>
    <t>Average speed 
[km/h]</t>
  </si>
  <si>
    <t>Festøya - Solavågen</t>
  </si>
  <si>
    <t>Norled</t>
  </si>
  <si>
    <t>M/F Solavågen</t>
  </si>
  <si>
    <t>M/F Tidefjord</t>
  </si>
  <si>
    <t>Unknown [Festøya - Solavågen]</t>
  </si>
  <si>
    <t>Unknown</t>
  </si>
  <si>
    <t>Oppedal - Lavik</t>
  </si>
  <si>
    <t>M/F Ampere</t>
  </si>
  <si>
    <t>M/F Stavanger</t>
  </si>
  <si>
    <t>Unknown [Oppedal - Lavik]</t>
  </si>
  <si>
    <t>Wasaline</t>
  </si>
  <si>
    <t>COSCO</t>
  </si>
  <si>
    <t xml:space="preserve">Hamburg - Bergen </t>
  </si>
  <si>
    <t>NCL</t>
  </si>
  <si>
    <t xml:space="preserve">Ship type </t>
  </si>
  <si>
    <t xml:space="preserve">Average speed (Knots) </t>
  </si>
  <si>
    <t>General Cargo</t>
  </si>
  <si>
    <t>Passenger/Ro-ro Cargo</t>
  </si>
  <si>
    <t>Operation of vessel</t>
  </si>
  <si>
    <t>Rosendal - Salmon Eye - Rosendal</t>
  </si>
  <si>
    <t>Rosendal - Salmon Eye - Hondskår - Rosendal</t>
  </si>
  <si>
    <t>Mundal - Rosendal</t>
  </si>
  <si>
    <t>Number of weeks per route</t>
  </si>
  <si>
    <t>Total weeks during season</t>
  </si>
  <si>
    <t>Total trips per season</t>
  </si>
  <si>
    <t>Country</t>
  </si>
  <si>
    <t>Engine:</t>
  </si>
  <si>
    <t>Scania engine:</t>
  </si>
  <si>
    <t>Scania DI13 070M</t>
  </si>
  <si>
    <t>Material contents and recycling</t>
  </si>
  <si>
    <t>Engine group:</t>
  </si>
  <si>
    <t>IMO Tier II</t>
  </si>
  <si>
    <t>Material class             [excl. fuel weight]</t>
  </si>
  <si>
    <t>Weight share DI13</t>
  </si>
  <si>
    <t>Weight share [kg]</t>
  </si>
  <si>
    <t>DI</t>
  </si>
  <si>
    <t>Supercharged diesel engine with water-cooled charge air cooler.</t>
  </si>
  <si>
    <t>Displacement in whole dm3</t>
  </si>
  <si>
    <t>Performance and sertification code. The code indicates, together with the application code, the normal gross engine output.</t>
  </si>
  <si>
    <t>Others</t>
  </si>
  <si>
    <t>M</t>
  </si>
  <si>
    <t xml:space="preserve">Code for application. M means for marine use. </t>
  </si>
  <si>
    <t>* modified organic natural materials, such as leather, wood, cardboard and cotton fleece.</t>
  </si>
  <si>
    <t>Engine Emissions</t>
  </si>
  <si>
    <t>Recyclability and recoverability                          (ISO 22628)</t>
  </si>
  <si>
    <t>Exhaust emissions requirements, for engine group (g/kWh)</t>
  </si>
  <si>
    <t>NOx</t>
  </si>
  <si>
    <t>CO2e</t>
  </si>
  <si>
    <t>Recyclability rate**</t>
  </si>
  <si>
    <t>**</t>
  </si>
  <si>
    <t>1500 rpm</t>
  </si>
  <si>
    <t>Recoverability rate</t>
  </si>
  <si>
    <t>2000 rpm</t>
  </si>
  <si>
    <t>** No dismantling considered; only pre-treatment of fluids.</t>
  </si>
  <si>
    <t>(with heat exchanger)</t>
  </si>
  <si>
    <t>Proposed recycling method for engine</t>
  </si>
  <si>
    <t>Scrap metal</t>
  </si>
  <si>
    <t>Material recycling</t>
  </si>
  <si>
    <t>Plastics</t>
  </si>
  <si>
    <t>Material recycling, energy recovery</t>
  </si>
  <si>
    <t>Specific fuel consumption</t>
  </si>
  <si>
    <t>Unit</t>
  </si>
  <si>
    <t>Chemicals/oils</t>
  </si>
  <si>
    <t>Reuse if possible. Material recycling, otherwise destruction by an approved company.</t>
  </si>
  <si>
    <t>Full load</t>
  </si>
  <si>
    <t>g/kWh</t>
  </si>
  <si>
    <t>3/4 load</t>
  </si>
  <si>
    <t>Fuel- and oil filter</t>
  </si>
  <si>
    <t xml:space="preserve">Material recycling, otherwise destruction by an approved company. </t>
  </si>
  <si>
    <t>1/2 load</t>
  </si>
  <si>
    <t>Propeller curve</t>
  </si>
  <si>
    <t>l/h</t>
  </si>
  <si>
    <t>Paint</t>
  </si>
  <si>
    <t>No known methods. Energy recovery.</t>
  </si>
  <si>
    <t>Electronics</t>
  </si>
  <si>
    <t>Knots</t>
  </si>
  <si>
    <t>Engine performance [hp]</t>
  </si>
  <si>
    <t>Engine performance [kW]</t>
  </si>
  <si>
    <t>Vessel option</t>
  </si>
  <si>
    <t>Speed 
[knots]</t>
  </si>
  <si>
    <t>Engine speed
[rpm]</t>
  </si>
  <si>
    <t>Gross power 
[kW]</t>
  </si>
  <si>
    <t>Gross power 
[hp]</t>
  </si>
  <si>
    <t xml:space="preserve">Load </t>
  </si>
  <si>
    <t>Gross power, propeller curve [kW]</t>
  </si>
  <si>
    <t>Specific fuel consumption [g/kWh]</t>
  </si>
  <si>
    <t>Specific fuel consumption, propeller curve [liter/hour]</t>
  </si>
  <si>
    <t>Density of fuel [kg/liter]</t>
  </si>
  <si>
    <t>rpm</t>
  </si>
  <si>
    <t>Speed of vessel [knots]</t>
  </si>
  <si>
    <t xml:space="preserve">ABB engine: </t>
  </si>
  <si>
    <t>M3BP 355MLC 4</t>
  </si>
  <si>
    <t>Engine type:</t>
  </si>
  <si>
    <t>IEC 34 motor</t>
  </si>
  <si>
    <t>Engine power [kW]:</t>
  </si>
  <si>
    <t xml:space="preserve">Efficency </t>
  </si>
  <si>
    <t xml:space="preserve">Estimatet lifetime [years]: </t>
  </si>
  <si>
    <t>Estimated operatinghours per year:</t>
  </si>
  <si>
    <t>Engine for scale</t>
  </si>
  <si>
    <t xml:space="preserve">Product description </t>
  </si>
  <si>
    <t>M3BP 315MLA 4 B3</t>
  </si>
  <si>
    <t xml:space="preserve">Type of material </t>
  </si>
  <si>
    <t xml:space="preserve">kg/product </t>
  </si>
  <si>
    <t>kg/kW</t>
  </si>
  <si>
    <t>%/product</t>
  </si>
  <si>
    <t xml:space="preserve">Energy consumption and losses </t>
  </si>
  <si>
    <t>kWh/product</t>
  </si>
  <si>
    <t>kWh/kW</t>
  </si>
  <si>
    <t xml:space="preserve">Energy from </t>
  </si>
  <si>
    <t xml:space="preserve">Manufacturing phase </t>
  </si>
  <si>
    <t xml:space="preserve">Usage phase </t>
  </si>
  <si>
    <t>Diposal phase</t>
  </si>
  <si>
    <t>Electrical energy</t>
  </si>
  <si>
    <t>Heat energy</t>
  </si>
  <si>
    <t xml:space="preserve">Emission </t>
  </si>
  <si>
    <t>Environmental effect</t>
  </si>
  <si>
    <t xml:space="preserve">Equivalent unit </t>
  </si>
  <si>
    <t>Manufacturing phase</t>
  </si>
  <si>
    <t>Global warming potential GWP</t>
  </si>
  <si>
    <t>kg CO2/kW</t>
  </si>
  <si>
    <t xml:space="preserve"> </t>
  </si>
  <si>
    <t>Bills of materials per kg of NMC battery pack</t>
  </si>
  <si>
    <t>NMC111</t>
  </si>
  <si>
    <t>NMC622</t>
  </si>
  <si>
    <t>NMC811</t>
  </si>
  <si>
    <t>Cell materials</t>
  </si>
  <si>
    <t>[kg]</t>
  </si>
  <si>
    <t>Single module size / increments</t>
  </si>
  <si>
    <t>[kWh]</t>
  </si>
  <si>
    <t>Active Cathode Material</t>
  </si>
  <si>
    <t>[VDC]</t>
  </si>
  <si>
    <t>Graphite</t>
  </si>
  <si>
    <t>Single pack range</t>
  </si>
  <si>
    <t>11-88</t>
  </si>
  <si>
    <t>Carbon black</t>
  </si>
  <si>
    <t>Max gravimetric density - pack</t>
  </si>
  <si>
    <t>[Wh / kg]</t>
  </si>
  <si>
    <t>Binder (PVDF)</t>
  </si>
  <si>
    <t>[kg / kWh]</t>
  </si>
  <si>
    <t>Max volumetric density - pack</t>
  </si>
  <si>
    <t>[Wh / liter]</t>
  </si>
  <si>
    <t>Electrolyte: LiPF6</t>
  </si>
  <si>
    <t>Electrolyte: Ethylene Carbonate</t>
  </si>
  <si>
    <t>Electrolyte: Dimethyl Carbonate</t>
  </si>
  <si>
    <t>Energy</t>
  </si>
  <si>
    <t>Plastic: Polypropylene</t>
  </si>
  <si>
    <t>Voltage</t>
  </si>
  <si>
    <t>Max</t>
  </si>
  <si>
    <t>Nom</t>
  </si>
  <si>
    <t>Min</t>
  </si>
  <si>
    <t>Plastic: Polyethylene</t>
  </si>
  <si>
    <t>Non-cell materials</t>
  </si>
  <si>
    <t>Dimensions (vertical)</t>
  </si>
  <si>
    <t>[mm]</t>
  </si>
  <si>
    <t>Height</t>
  </si>
  <si>
    <t>Width</t>
  </si>
  <si>
    <t>Depth</t>
  </si>
  <si>
    <t>Weight</t>
  </si>
  <si>
    <t>Battery system</t>
  </si>
  <si>
    <t>PET</t>
  </si>
  <si>
    <t>Dimensions</t>
  </si>
  <si>
    <t>Reference</t>
  </si>
  <si>
    <t>Battery mass [kg]</t>
  </si>
  <si>
    <t>Battery capacity [kWh]</t>
  </si>
  <si>
    <t>Manufacturing 
[kg CO2e / kWh]</t>
  </si>
  <si>
    <t>United States</t>
  </si>
  <si>
    <t>Ellingsen et al. (2014)</t>
  </si>
  <si>
    <t>Kim et al. (2016)</t>
  </si>
  <si>
    <t>Dai et al. (2019)</t>
  </si>
  <si>
    <t>NMC battery</t>
  </si>
  <si>
    <t>Recycling
[kg CO2e / kWh]</t>
  </si>
  <si>
    <t>NMC</t>
  </si>
  <si>
    <t>East Asia / Norway</t>
  </si>
  <si>
    <t>Kallitsis et al. (2020)</t>
  </si>
  <si>
    <t>NMC333</t>
  </si>
  <si>
    <t>Accardo et al. (2021)</t>
  </si>
  <si>
    <t>NMC + LMO</t>
  </si>
  <si>
    <t>Process</t>
  </si>
  <si>
    <t>Operation</t>
  </si>
  <si>
    <t xml:space="preserve">Operation </t>
  </si>
  <si>
    <t>Yearly CO2 emission [kg]</t>
  </si>
  <si>
    <t>Power system</t>
  </si>
  <si>
    <t>Diesel engines</t>
  </si>
  <si>
    <t>Diesel engines + materials</t>
  </si>
  <si>
    <t>Electric engines + materials</t>
  </si>
  <si>
    <t>Total CO2 Emission Diesel Engine [kg]</t>
  </si>
  <si>
    <t>Total CO2 emission [kg]</t>
  </si>
  <si>
    <t>Total CO2 emission from electric [kg]</t>
  </si>
  <si>
    <t>Total CO2 emission from diesel [kg]</t>
  </si>
  <si>
    <t>Manufacturing of engine</t>
  </si>
  <si>
    <t xml:space="preserve">Manufacturing of battery </t>
  </si>
  <si>
    <t>Transport of battery</t>
  </si>
  <si>
    <t>Transport of engine</t>
  </si>
  <si>
    <t>A comparison study of an electric and diesel engine system</t>
  </si>
  <si>
    <t>Calculation of CO2 emissions through various stages:</t>
  </si>
  <si>
    <t>Discussion of the end-of-life phase and current recycling methods</t>
  </si>
  <si>
    <t>Maritme emission factor [g CO2 / kWh]</t>
  </si>
  <si>
    <t>Electric engine system</t>
  </si>
  <si>
    <t>Diesel engine system</t>
  </si>
  <si>
    <t>Time per trip [hour]</t>
  </si>
  <si>
    <t>Rpm (100 %)</t>
  </si>
  <si>
    <t>Assumed speed at 100 % rpm [knots]</t>
  </si>
  <si>
    <t>Maritime emissions factor 
[CO2 kg / tonne fuel]</t>
  </si>
  <si>
    <t>Electric</t>
  </si>
  <si>
    <r>
      <t xml:space="preserve">Manufacturing of fully electric engine system
</t>
    </r>
    <r>
      <rPr>
        <sz val="16"/>
        <color theme="1"/>
        <rFont val="Calibri"/>
        <family val="2"/>
        <scheme val="minor"/>
      </rPr>
      <t>Including engine and battery solution</t>
    </r>
  </si>
  <si>
    <r>
      <t xml:space="preserve">Manufacturing of diesel engine  system
</t>
    </r>
    <r>
      <rPr>
        <sz val="16"/>
        <color theme="1"/>
        <rFont val="Calibri"/>
        <family val="2"/>
        <scheme val="minor"/>
      </rPr>
      <t>Diesel engine</t>
    </r>
  </si>
  <si>
    <r>
      <rPr>
        <b/>
        <sz val="20"/>
        <color theme="1"/>
        <rFont val="Calibri"/>
        <family val="2"/>
        <scheme val="minor"/>
      </rPr>
      <t>Transportation of electric engine system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Including transport of engine and battery solution</t>
    </r>
  </si>
  <si>
    <r>
      <rPr>
        <b/>
        <sz val="20"/>
        <color theme="1"/>
        <rFont val="Calibri"/>
        <family val="2"/>
        <scheme val="minor"/>
      </rPr>
      <t xml:space="preserve">Transportation of diesel engine system 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Scania diesel engine</t>
    </r>
  </si>
  <si>
    <t xml:space="preserve">The aim of the thesis is to estimate the total CO2 emissions generated by a fully electric engine system and a diesel engine system, by including manufacturing, transport, operation and recycling. </t>
  </si>
  <si>
    <t>-Manufacturing of engines and batteries</t>
  </si>
  <si>
    <t>-Road and maritime transport of engines and batteries</t>
  </si>
  <si>
    <t>-Calculations of CO2 from the operational phase over a 20-year period</t>
  </si>
  <si>
    <t xml:space="preserve">-Total CO2 emissions for the concidered lifespan </t>
  </si>
  <si>
    <t>NOTE:
This Excel document will be added as an attachment for the final written report "Bachelor-CO2.Calculation" (PDF). The written report will refer to this excel CO2- Calculator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</si>
</sst>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\ 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u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1"/>
      <color rgb="FF42413C"/>
      <name val="Calibri"/>
      <family val="2"/>
      <scheme val="minor"/>
    </font>
    <font>
      <sz val="11"/>
      <color theme="1"/>
      <name val="Calibri"/>
    </font>
    <font>
      <sz val="11"/>
      <color rgb="FF444444"/>
      <name val="Calibri"/>
      <charset val="1"/>
    </font>
    <font>
      <sz val="11"/>
      <color rgb="FF444444"/>
      <name val="Calibri"/>
      <family val="2"/>
      <charset val="1"/>
    </font>
    <font>
      <sz val="11"/>
      <name val="Calibri"/>
      <family val="2"/>
      <charset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/>
      <bottom style="thin">
        <color indexed="64"/>
      </bottom>
      <diagonal/>
    </border>
    <border>
      <left style="thin">
        <color theme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 style="thin">
        <color theme="1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/>
  </cellStyleXfs>
  <cellXfs count="947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/>
    <xf numFmtId="2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2" xfId="0" applyNumberFormat="1" applyBorder="1" applyAlignment="1"/>
    <xf numFmtId="0" fontId="0" fillId="0" borderId="4" xfId="0" applyBorder="1"/>
    <xf numFmtId="0" fontId="0" fillId="0" borderId="3" xfId="0" applyBorder="1"/>
    <xf numFmtId="0" fontId="0" fillId="0" borderId="13" xfId="0" applyBorder="1"/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5" borderId="1" xfId="0" applyFill="1" applyBorder="1"/>
    <xf numFmtId="0" fontId="0" fillId="0" borderId="1" xfId="0" applyFill="1" applyBorder="1"/>
    <xf numFmtId="0" fontId="0" fillId="7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/>
    <xf numFmtId="0" fontId="0" fillId="0" borderId="20" xfId="0" applyBorder="1"/>
    <xf numFmtId="10" fontId="0" fillId="0" borderId="16" xfId="1" applyNumberFormat="1" applyFont="1" applyBorder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1" xfId="0" applyFill="1" applyBorder="1"/>
    <xf numFmtId="2" fontId="0" fillId="9" borderId="1" xfId="0" applyNumberFormat="1" applyFill="1" applyBorder="1"/>
    <xf numFmtId="0" fontId="0" fillId="0" borderId="1" xfId="0" applyFont="1" applyFill="1" applyBorder="1"/>
    <xf numFmtId="0" fontId="4" fillId="4" borderId="5" xfId="0" applyFont="1" applyFill="1" applyBorder="1"/>
    <xf numFmtId="0" fontId="0" fillId="0" borderId="5" xfId="2" applyFont="1" applyBorder="1"/>
    <xf numFmtId="0" fontId="4" fillId="0" borderId="5" xfId="2" applyFont="1" applyBorder="1"/>
    <xf numFmtId="0" fontId="0" fillId="0" borderId="9" xfId="2" applyFont="1" applyBorder="1"/>
    <xf numFmtId="0" fontId="0" fillId="7" borderId="12" xfId="0" applyFill="1" applyBorder="1"/>
    <xf numFmtId="0" fontId="0" fillId="12" borderId="0" xfId="0" applyFill="1" applyBorder="1"/>
    <xf numFmtId="0" fontId="0" fillId="6" borderId="0" xfId="0" applyFill="1" applyBorder="1"/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/>
    <xf numFmtId="2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12" borderId="14" xfId="0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0" fillId="12" borderId="0" xfId="0" applyFill="1" applyBorder="1" applyAlignment="1">
      <alignment horizontal="right"/>
    </xf>
    <xf numFmtId="2" fontId="0" fillId="12" borderId="0" xfId="0" applyNumberFormat="1" applyFill="1" applyBorder="1" applyAlignment="1">
      <alignment horizontal="right"/>
    </xf>
    <xf numFmtId="1" fontId="0" fillId="12" borderId="0" xfId="0" applyNumberFormat="1" applyFill="1" applyBorder="1" applyAlignment="1">
      <alignment horizontal="right"/>
    </xf>
    <xf numFmtId="2" fontId="0" fillId="12" borderId="0" xfId="0" applyNumberFormat="1" applyFill="1" applyBorder="1"/>
    <xf numFmtId="0" fontId="0" fillId="12" borderId="8" xfId="0" applyFill="1" applyBorder="1"/>
    <xf numFmtId="0" fontId="0" fillId="12" borderId="15" xfId="0" applyFill="1" applyBorder="1"/>
    <xf numFmtId="0" fontId="4" fillId="12" borderId="15" xfId="0" applyFont="1" applyFill="1" applyBorder="1" applyAlignment="1">
      <alignment wrapText="1"/>
    </xf>
    <xf numFmtId="2" fontId="12" fillId="12" borderId="15" xfId="0" applyNumberFormat="1" applyFont="1" applyFill="1" applyBorder="1" applyAlignment="1">
      <alignment vertical="center"/>
    </xf>
    <xf numFmtId="0" fontId="0" fillId="6" borderId="8" xfId="0" applyFill="1" applyBorder="1"/>
    <xf numFmtId="0" fontId="0" fillId="6" borderId="15" xfId="0" applyFill="1" applyBorder="1"/>
    <xf numFmtId="0" fontId="0" fillId="6" borderId="14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11" borderId="0" xfId="0" applyFill="1"/>
    <xf numFmtId="0" fontId="0" fillId="11" borderId="0" xfId="0" applyFill="1" applyBorder="1"/>
    <xf numFmtId="0" fontId="4" fillId="11" borderId="0" xfId="0" applyFont="1" applyFill="1" applyBorder="1" applyAlignment="1">
      <alignment wrapText="1"/>
    </xf>
    <xf numFmtId="2" fontId="12" fillId="11" borderId="0" xfId="0" applyNumberFormat="1" applyFont="1" applyFill="1" applyBorder="1" applyAlignment="1">
      <alignment vertical="center"/>
    </xf>
    <xf numFmtId="0" fontId="0" fillId="3" borderId="0" xfId="0" applyFill="1"/>
    <xf numFmtId="0" fontId="6" fillId="11" borderId="0" xfId="0" applyFont="1" applyFill="1"/>
    <xf numFmtId="0" fontId="0" fillId="0" borderId="46" xfId="0" applyBorder="1"/>
    <xf numFmtId="0" fontId="0" fillId="0" borderId="29" xfId="0" applyBorder="1"/>
    <xf numFmtId="0" fontId="0" fillId="0" borderId="55" xfId="0" applyBorder="1"/>
    <xf numFmtId="0" fontId="0" fillId="0" borderId="59" xfId="0" applyBorder="1"/>
    <xf numFmtId="0" fontId="0" fillId="0" borderId="24" xfId="0" applyBorder="1"/>
    <xf numFmtId="0" fontId="0" fillId="6" borderId="7" xfId="0" applyFill="1" applyBorder="1"/>
    <xf numFmtId="0" fontId="0" fillId="12" borderId="7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 horizontal="left"/>
    </xf>
    <xf numFmtId="0" fontId="0" fillId="12" borderId="10" xfId="0" applyFill="1" applyBorder="1" applyAlignment="1">
      <alignment horizontal="right"/>
    </xf>
    <xf numFmtId="2" fontId="0" fillId="12" borderId="10" xfId="0" applyNumberFormat="1" applyFill="1" applyBorder="1" applyAlignment="1">
      <alignment horizontal="right"/>
    </xf>
    <xf numFmtId="1" fontId="0" fillId="12" borderId="10" xfId="0" applyNumberFormat="1" applyFill="1" applyBorder="1" applyAlignment="1">
      <alignment horizontal="right"/>
    </xf>
    <xf numFmtId="2" fontId="0" fillId="12" borderId="10" xfId="0" applyNumberFormat="1" applyFill="1" applyBorder="1"/>
    <xf numFmtId="2" fontId="12" fillId="12" borderId="11" xfId="0" applyNumberFormat="1" applyFont="1" applyFill="1" applyBorder="1" applyAlignment="1">
      <alignment vertical="center"/>
    </xf>
    <xf numFmtId="0" fontId="0" fillId="0" borderId="59" xfId="0" applyBorder="1" applyAlignment="1">
      <alignment horizontal="center"/>
    </xf>
    <xf numFmtId="0" fontId="0" fillId="6" borderId="0" xfId="0" applyFill="1" applyBorder="1" applyAlignment="1"/>
    <xf numFmtId="0" fontId="0" fillId="12" borderId="11" xfId="0" applyFill="1" applyBorder="1"/>
    <xf numFmtId="0" fontId="0" fillId="12" borderId="2" xfId="0" applyFill="1" applyBorder="1"/>
    <xf numFmtId="0" fontId="0" fillId="0" borderId="58" xfId="0" applyBorder="1" applyAlignment="1"/>
    <xf numFmtId="0" fontId="0" fillId="0" borderId="59" xfId="0" applyBorder="1" applyAlignment="1"/>
    <xf numFmtId="0" fontId="0" fillId="0" borderId="24" xfId="0" applyFill="1" applyBorder="1" applyAlignment="1"/>
    <xf numFmtId="0" fontId="0" fillId="0" borderId="58" xfId="0" applyBorder="1"/>
    <xf numFmtId="165" fontId="0" fillId="0" borderId="0" xfId="0" applyNumberFormat="1" applyBorder="1"/>
    <xf numFmtId="164" fontId="0" fillId="0" borderId="0" xfId="0" applyNumberFormat="1" applyBorder="1" applyAlignment="1"/>
    <xf numFmtId="165" fontId="0" fillId="0" borderId="55" xfId="0" applyNumberFormat="1" applyBorder="1"/>
    <xf numFmtId="164" fontId="0" fillId="0" borderId="55" xfId="0" applyNumberFormat="1" applyBorder="1" applyAlignment="1"/>
    <xf numFmtId="0" fontId="0" fillId="0" borderId="66" xfId="0" applyBorder="1" applyAlignment="1"/>
    <xf numFmtId="0" fontId="0" fillId="0" borderId="24" xfId="0" applyBorder="1" applyAlignment="1"/>
    <xf numFmtId="0" fontId="0" fillId="0" borderId="28" xfId="0" applyBorder="1"/>
    <xf numFmtId="0" fontId="0" fillId="0" borderId="52" xfId="0" applyBorder="1" applyAlignment="1">
      <alignment vertical="top" wrapText="1"/>
    </xf>
    <xf numFmtId="0" fontId="0" fillId="0" borderId="52" xfId="0" applyBorder="1" applyAlignment="1">
      <alignment horizontal="right" vertical="top" wrapText="1"/>
    </xf>
    <xf numFmtId="0" fontId="0" fillId="0" borderId="55" xfId="0" applyFont="1" applyFill="1" applyBorder="1" applyAlignment="1"/>
    <xf numFmtId="0" fontId="0" fillId="0" borderId="55" xfId="0" applyFont="1" applyFill="1" applyBorder="1" applyAlignment="1">
      <alignment horizontal="center"/>
    </xf>
    <xf numFmtId="0" fontId="0" fillId="0" borderId="55" xfId="0" applyBorder="1" applyAlignment="1">
      <alignment vertical="top" wrapText="1"/>
    </xf>
    <xf numFmtId="0" fontId="0" fillId="0" borderId="58" xfId="0" applyFont="1" applyFill="1" applyBorder="1" applyAlignment="1"/>
    <xf numFmtId="0" fontId="0" fillId="0" borderId="59" xfId="0" applyFont="1" applyFill="1" applyBorder="1" applyAlignment="1"/>
    <xf numFmtId="0" fontId="0" fillId="0" borderId="24" xfId="0" applyFont="1" applyFill="1" applyBorder="1" applyAlignment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24" xfId="0" applyFont="1" applyFill="1" applyBorder="1"/>
    <xf numFmtId="0" fontId="0" fillId="0" borderId="28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28" xfId="0" applyFont="1" applyFill="1" applyBorder="1" applyAlignment="1"/>
    <xf numFmtId="0" fontId="0" fillId="0" borderId="46" xfId="0" applyFont="1" applyFill="1" applyBorder="1" applyAlignment="1"/>
    <xf numFmtId="0" fontId="0" fillId="0" borderId="28" xfId="0" applyFont="1" applyFill="1" applyBorder="1"/>
    <xf numFmtId="0" fontId="0" fillId="0" borderId="46" xfId="0" applyFont="1" applyFill="1" applyBorder="1"/>
    <xf numFmtId="0" fontId="0" fillId="0" borderId="29" xfId="0" applyFont="1" applyFill="1" applyBorder="1"/>
    <xf numFmtId="0" fontId="0" fillId="0" borderId="28" xfId="0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0" fillId="0" borderId="58" xfId="0" applyFill="1" applyBorder="1" applyAlignment="1">
      <alignment horizontal="center" vertical="top" wrapText="1"/>
    </xf>
    <xf numFmtId="0" fontId="0" fillId="0" borderId="52" xfId="0" applyFont="1" applyFill="1" applyBorder="1" applyAlignment="1"/>
    <xf numFmtId="0" fontId="0" fillId="0" borderId="29" xfId="0" applyFont="1" applyFill="1" applyBorder="1" applyAlignment="1"/>
    <xf numFmtId="0" fontId="0" fillId="0" borderId="58" xfId="0" applyNumberFormat="1" applyFont="1" applyFill="1" applyBorder="1" applyAlignment="1">
      <alignment horizontal="center"/>
    </xf>
    <xf numFmtId="0" fontId="0" fillId="0" borderId="59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11" borderId="0" xfId="0" applyFill="1" applyAlignment="1">
      <alignment horizontal="right"/>
    </xf>
    <xf numFmtId="10" fontId="0" fillId="0" borderId="21" xfId="1" applyNumberFormat="1" applyFont="1" applyBorder="1"/>
    <xf numFmtId="0" fontId="20" fillId="0" borderId="1" xfId="0" applyFont="1" applyBorder="1" applyAlignment="1">
      <alignment horizontal="right"/>
    </xf>
    <xf numFmtId="0" fontId="0" fillId="12" borderId="10" xfId="0" applyFill="1" applyBorder="1" applyAlignment="1"/>
    <xf numFmtId="0" fontId="21" fillId="14" borderId="0" xfId="0" applyFont="1" applyFill="1"/>
    <xf numFmtId="0" fontId="0" fillId="6" borderId="2" xfId="0" applyFill="1" applyBorder="1"/>
    <xf numFmtId="0" fontId="0" fillId="6" borderId="0" xfId="0" applyFill="1"/>
    <xf numFmtId="0" fontId="22" fillId="11" borderId="0" xfId="0" applyFont="1" applyFill="1" applyBorder="1" applyAlignment="1">
      <alignment wrapText="1"/>
    </xf>
    <xf numFmtId="0" fontId="23" fillId="11" borderId="0" xfId="0" applyFont="1" applyFill="1"/>
    <xf numFmtId="0" fontId="0" fillId="11" borderId="1" xfId="0" applyFill="1" applyBorder="1"/>
    <xf numFmtId="10" fontId="0" fillId="0" borderId="22" xfId="1" applyNumberFormat="1" applyFont="1" applyBorder="1"/>
    <xf numFmtId="166" fontId="0" fillId="0" borderId="28" xfId="0" applyNumberFormat="1" applyBorder="1" applyAlignment="1"/>
    <xf numFmtId="166" fontId="0" fillId="0" borderId="46" xfId="0" applyNumberFormat="1" applyBorder="1" applyAlignment="1"/>
    <xf numFmtId="166" fontId="0" fillId="0" borderId="29" xfId="0" applyNumberFormat="1" applyBorder="1" applyAlignment="1"/>
    <xf numFmtId="166" fontId="0" fillId="0" borderId="97" xfId="0" applyNumberFormat="1" applyBorder="1" applyAlignment="1"/>
    <xf numFmtId="166" fontId="0" fillId="0" borderId="54" xfId="0" applyNumberFormat="1" applyBorder="1" applyAlignment="1"/>
    <xf numFmtId="166" fontId="0" fillId="0" borderId="56" xfId="0" applyNumberFormat="1" applyBorder="1" applyAlignment="1"/>
    <xf numFmtId="0" fontId="0" fillId="12" borderId="0" xfId="0" applyFill="1"/>
    <xf numFmtId="0" fontId="15" fillId="12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3" borderId="0" xfId="0" applyFill="1" applyBorder="1"/>
    <xf numFmtId="0" fontId="15" fillId="3" borderId="0" xfId="0" applyFont="1" applyFill="1" applyBorder="1" applyAlignment="1">
      <alignment vertical="center"/>
    </xf>
    <xf numFmtId="0" fontId="17" fillId="0" borderId="1" xfId="0" applyFont="1" applyBorder="1"/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53" xfId="0" applyNumberFormat="1" applyBorder="1"/>
    <xf numFmtId="2" fontId="0" fillId="0" borderId="54" xfId="0" applyNumberFormat="1" applyBorder="1"/>
    <xf numFmtId="2" fontId="0" fillId="0" borderId="56" xfId="0" applyNumberFormat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2" fontId="0" fillId="3" borderId="0" xfId="0" applyNumberFormat="1" applyFill="1" applyBorder="1"/>
    <xf numFmtId="0" fontId="12" fillId="3" borderId="0" xfId="0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7" xfId="0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9" fontId="0" fillId="0" borderId="10" xfId="1" applyFon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6" fontId="0" fillId="0" borderId="9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9" fontId="0" fillId="0" borderId="3" xfId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2" fontId="0" fillId="0" borderId="7" xfId="0" applyNumberFormat="1" applyFill="1" applyBorder="1" applyAlignment="1">
      <alignment vertical="center"/>
    </xf>
    <xf numFmtId="9" fontId="0" fillId="0" borderId="13" xfId="1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2" fontId="0" fillId="0" borderId="14" xfId="0" applyNumberFormat="1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9" fontId="0" fillId="0" borderId="4" xfId="1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2" fontId="0" fillId="0" borderId="9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0" fillId="0" borderId="8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9" fontId="0" fillId="0" borderId="15" xfId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9" fontId="0" fillId="0" borderId="11" xfId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5" fillId="6" borderId="0" xfId="0" applyFont="1" applyFill="1" applyBorder="1" applyAlignment="1"/>
    <xf numFmtId="2" fontId="0" fillId="11" borderId="1" xfId="0" applyNumberFormat="1" applyFill="1" applyBorder="1"/>
    <xf numFmtId="2" fontId="0" fillId="11" borderId="4" xfId="0" applyNumberFormat="1" applyFill="1" applyBorder="1"/>
    <xf numFmtId="0" fontId="0" fillId="11" borderId="0" xfId="0" applyFont="1" applyFill="1"/>
    <xf numFmtId="0" fontId="0" fillId="14" borderId="52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55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right" wrapText="1"/>
    </xf>
    <xf numFmtId="0" fontId="29" fillId="14" borderId="94" xfId="0" applyFont="1" applyFill="1" applyBorder="1" applyAlignment="1">
      <alignment wrapText="1"/>
    </xf>
    <xf numFmtId="0" fontId="29" fillId="14" borderId="95" xfId="0" applyFont="1" applyFill="1" applyBorder="1" applyAlignment="1">
      <alignment wrapText="1"/>
    </xf>
    <xf numFmtId="0" fontId="30" fillId="14" borderId="0" xfId="0" applyFont="1" applyFill="1"/>
    <xf numFmtId="4" fontId="0" fillId="11" borderId="1" xfId="0" applyNumberFormat="1" applyFill="1" applyBorder="1" applyAlignment="1">
      <alignment horizontal="center" vertical="center"/>
    </xf>
    <xf numFmtId="0" fontId="7" fillId="12" borderId="2" xfId="0" applyFont="1" applyFill="1" applyBorder="1" applyAlignment="1">
      <alignment vertical="center" wrapText="1"/>
    </xf>
    <xf numFmtId="0" fontId="7" fillId="12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2" fontId="0" fillId="11" borderId="1" xfId="0" applyNumberForma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vertical="center"/>
    </xf>
    <xf numFmtId="0" fontId="7" fillId="12" borderId="8" xfId="0" applyFont="1" applyFill="1" applyBorder="1" applyAlignment="1">
      <alignment vertical="center" wrapText="1"/>
    </xf>
    <xf numFmtId="0" fontId="7" fillId="12" borderId="15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7" fillId="6" borderId="15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/>
    <xf numFmtId="0" fontId="0" fillId="0" borderId="1" xfId="0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0" fontId="0" fillId="0" borderId="38" xfId="1" applyNumberFormat="1" applyFont="1" applyBorder="1" applyAlignment="1">
      <alignment vertical="center"/>
    </xf>
    <xf numFmtId="4" fontId="0" fillId="0" borderId="38" xfId="0" applyNumberForma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12" borderId="14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7" fillId="6" borderId="7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/>
    </xf>
    <xf numFmtId="0" fontId="0" fillId="15" borderId="1" xfId="0" applyFont="1" applyFill="1" applyBorder="1"/>
    <xf numFmtId="0" fontId="0" fillId="0" borderId="14" xfId="0" applyFill="1" applyBorder="1"/>
    <xf numFmtId="164" fontId="0" fillId="0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9" xfId="0" applyFill="1" applyBorder="1"/>
    <xf numFmtId="164" fontId="0" fillId="0" borderId="11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12" borderId="5" xfId="0" applyFill="1" applyBorder="1"/>
    <xf numFmtId="0" fontId="4" fillId="12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0" borderId="0" xfId="0" applyNumberFormat="1"/>
    <xf numFmtId="0" fontId="6" fillId="0" borderId="0" xfId="0" quotePrefix="1" applyFont="1" applyFill="1" applyBorder="1"/>
    <xf numFmtId="0" fontId="0" fillId="0" borderId="0" xfId="0" applyAlignment="1">
      <alignment horizontal="left"/>
    </xf>
    <xf numFmtId="0" fontId="4" fillId="12" borderId="9" xfId="0" applyFont="1" applyFill="1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12" borderId="0" xfId="0" applyFont="1" applyFill="1" applyBorder="1" applyAlignment="1">
      <alignment vertical="center" wrapText="1"/>
    </xf>
    <xf numFmtId="0" fontId="0" fillId="12" borderId="0" xfId="0" applyFont="1" applyFill="1" applyBorder="1" applyAlignment="1">
      <alignment vertical="center" wrapText="1"/>
    </xf>
    <xf numFmtId="4" fontId="4" fillId="12" borderId="0" xfId="0" applyNumberFormat="1" applyFont="1" applyFill="1" applyBorder="1" applyAlignment="1">
      <alignment vertical="center" wrapText="1"/>
    </xf>
    <xf numFmtId="10" fontId="0" fillId="3" borderId="0" xfId="0" applyNumberFormat="1" applyFill="1" applyBorder="1"/>
    <xf numFmtId="3" fontId="0" fillId="11" borderId="3" xfId="0" applyNumberFormat="1" applyFill="1" applyBorder="1" applyAlignment="1">
      <alignment vertical="center"/>
    </xf>
    <xf numFmtId="0" fontId="0" fillId="11" borderId="55" xfId="0" applyFill="1" applyBorder="1"/>
    <xf numFmtId="0" fontId="0" fillId="11" borderId="67" xfId="0" applyFill="1" applyBorder="1"/>
    <xf numFmtId="0" fontId="0" fillId="16" borderId="0" xfId="0" applyFill="1" applyBorder="1" applyAlignment="1">
      <alignment vertical="center"/>
    </xf>
    <xf numFmtId="0" fontId="0" fillId="16" borderId="0" xfId="0" applyFill="1" applyBorder="1"/>
    <xf numFmtId="0" fontId="0" fillId="11" borderId="52" xfId="0" applyFill="1" applyBorder="1"/>
    <xf numFmtId="2" fontId="0" fillId="11" borderId="3" xfId="0" applyNumberFormat="1" applyFill="1" applyBorder="1"/>
    <xf numFmtId="0" fontId="0" fillId="15" borderId="114" xfId="0" applyFill="1" applyBorder="1"/>
    <xf numFmtId="0" fontId="0" fillId="15" borderId="116" xfId="0" applyFill="1" applyBorder="1"/>
    <xf numFmtId="0" fontId="0" fillId="15" borderId="0" xfId="0" applyFill="1" applyBorder="1"/>
    <xf numFmtId="0" fontId="0" fillId="15" borderId="115" xfId="0" applyFill="1" applyBorder="1"/>
    <xf numFmtId="0" fontId="0" fillId="15" borderId="0" xfId="0" applyFill="1"/>
    <xf numFmtId="0" fontId="0" fillId="15" borderId="117" xfId="0" applyFill="1" applyBorder="1"/>
    <xf numFmtId="0" fontId="0" fillId="15" borderId="118" xfId="0" applyFill="1" applyBorder="1"/>
    <xf numFmtId="0" fontId="0" fillId="15" borderId="0" xfId="0" applyFill="1" applyBorder="1" applyAlignment="1"/>
    <xf numFmtId="0" fontId="0" fillId="16" borderId="115" xfId="0" applyFill="1" applyBorder="1"/>
    <xf numFmtId="0" fontId="6" fillId="15" borderId="0" xfId="0" applyFont="1" applyFill="1" applyBorder="1"/>
    <xf numFmtId="49" fontId="0" fillId="15" borderId="0" xfId="0" applyNumberFormat="1" applyFont="1" applyFill="1" applyBorder="1" applyAlignment="1">
      <alignment horizontal="center"/>
    </xf>
    <xf numFmtId="0" fontId="0" fillId="16" borderId="111" xfId="0" applyFill="1" applyBorder="1"/>
    <xf numFmtId="0" fontId="0" fillId="16" borderId="114" xfId="0" applyFill="1" applyBorder="1"/>
    <xf numFmtId="0" fontId="0" fillId="16" borderId="116" xfId="0" applyFill="1" applyBorder="1"/>
    <xf numFmtId="0" fontId="15" fillId="16" borderId="0" xfId="0" applyFont="1" applyFill="1" applyBorder="1" applyAlignment="1">
      <alignment vertical="center"/>
    </xf>
    <xf numFmtId="0" fontId="0" fillId="16" borderId="112" xfId="0" applyFill="1" applyBorder="1"/>
    <xf numFmtId="0" fontId="0" fillId="16" borderId="113" xfId="0" applyFill="1" applyBorder="1"/>
    <xf numFmtId="0" fontId="0" fillId="16" borderId="117" xfId="0" applyFill="1" applyBorder="1"/>
    <xf numFmtId="0" fontId="0" fillId="16" borderId="118" xfId="0" applyFill="1" applyBorder="1"/>
    <xf numFmtId="0" fontId="0" fillId="0" borderId="2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40" xfId="2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16" borderId="0" xfId="0" applyFont="1" applyFill="1" applyBorder="1" applyAlignment="1">
      <alignment vertical="top" wrapText="1"/>
    </xf>
    <xf numFmtId="0" fontId="4" fillId="16" borderId="0" xfId="0" applyFont="1" applyFill="1" applyBorder="1" applyAlignment="1">
      <alignment vertical="top"/>
    </xf>
    <xf numFmtId="0" fontId="6" fillId="16" borderId="0" xfId="0" applyFont="1" applyFill="1" applyBorder="1"/>
    <xf numFmtId="0" fontId="4" fillId="17" borderId="1" xfId="0" applyFont="1" applyFill="1" applyBorder="1"/>
    <xf numFmtId="0" fontId="0" fillId="7" borderId="5" xfId="0" applyFill="1" applyBorder="1" applyAlignment="1">
      <alignment vertical="center"/>
    </xf>
    <xf numFmtId="2" fontId="0" fillId="7" borderId="12" xfId="0" applyNumberFormat="1" applyFill="1" applyBorder="1"/>
    <xf numFmtId="3" fontId="0" fillId="7" borderId="12" xfId="0" applyNumberFormat="1" applyFill="1" applyBorder="1" applyAlignment="1">
      <alignment vertical="center"/>
    </xf>
    <xf numFmtId="2" fontId="0" fillId="7" borderId="6" xfId="0" applyNumberFormat="1" applyFill="1" applyBorder="1"/>
    <xf numFmtId="0" fontId="15" fillId="16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/>
    </xf>
    <xf numFmtId="0" fontId="0" fillId="15" borderId="0" xfId="0" applyNumberFormat="1" applyFont="1" applyFill="1" applyBorder="1" applyAlignment="1">
      <alignment horizontal="center"/>
    </xf>
    <xf numFmtId="0" fontId="0" fillId="15" borderId="0" xfId="0" applyNumberFormat="1" applyFill="1" applyBorder="1"/>
    <xf numFmtId="0" fontId="0" fillId="15" borderId="117" xfId="0" applyNumberFormat="1" applyFill="1" applyBorder="1"/>
    <xf numFmtId="0" fontId="0" fillId="12" borderId="0" xfId="0" applyFill="1" applyAlignment="1">
      <alignment vertical="center"/>
    </xf>
    <xf numFmtId="164" fontId="0" fillId="0" borderId="0" xfId="0" applyNumberFormat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7" fillId="12" borderId="122" xfId="0" applyFont="1" applyFill="1" applyBorder="1"/>
    <xf numFmtId="0" fontId="0" fillId="12" borderId="122" xfId="0" applyFill="1" applyBorder="1"/>
    <xf numFmtId="2" fontId="0" fillId="15" borderId="0" xfId="0" applyNumberFormat="1" applyFill="1" applyBorder="1"/>
    <xf numFmtId="0" fontId="16" fillId="15" borderId="0" xfId="0" applyFont="1" applyFill="1" applyBorder="1"/>
    <xf numFmtId="0" fontId="4" fillId="12" borderId="126" xfId="0" applyFont="1" applyFill="1" applyBorder="1" applyAlignment="1">
      <alignment vertical="center"/>
    </xf>
    <xf numFmtId="0" fontId="4" fillId="12" borderId="127" xfId="0" applyFont="1" applyFill="1" applyBorder="1" applyAlignment="1">
      <alignment vertical="center"/>
    </xf>
    <xf numFmtId="0" fontId="4" fillId="12" borderId="112" xfId="0" applyFont="1" applyFill="1" applyBorder="1" applyAlignment="1">
      <alignment vertical="center"/>
    </xf>
    <xf numFmtId="0" fontId="4" fillId="12" borderId="113" xfId="0" applyFont="1" applyFill="1" applyBorder="1" applyAlignment="1">
      <alignment vertical="center"/>
    </xf>
    <xf numFmtId="0" fontId="4" fillId="12" borderId="124" xfId="0" applyFont="1" applyFill="1" applyBorder="1" applyAlignment="1">
      <alignment vertical="center"/>
    </xf>
    <xf numFmtId="0" fontId="4" fillId="12" borderId="128" xfId="0" applyFont="1" applyFill="1" applyBorder="1" applyAlignment="1">
      <alignment vertical="center"/>
    </xf>
    <xf numFmtId="0" fontId="0" fillId="4" borderId="123" xfId="0" applyFill="1" applyBorder="1"/>
    <xf numFmtId="0" fontId="0" fillId="4" borderId="125" xfId="0" applyFill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4" borderId="133" xfId="0" applyFill="1" applyBorder="1"/>
    <xf numFmtId="0" fontId="0" fillId="4" borderId="134" xfId="0" applyFill="1" applyBorder="1" applyAlignment="1">
      <alignment horizontal="center"/>
    </xf>
    <xf numFmtId="0" fontId="4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1" fontId="0" fillId="12" borderId="0" xfId="0" applyNumberFormat="1" applyFill="1" applyBorder="1" applyAlignment="1">
      <alignment horizontal="center" vertical="center"/>
    </xf>
    <xf numFmtId="4" fontId="4" fillId="12" borderId="0" xfId="0" applyNumberFormat="1" applyFont="1" applyFill="1" applyBorder="1" applyAlignment="1">
      <alignment horizontal="center" vertical="center"/>
    </xf>
    <xf numFmtId="10" fontId="0" fillId="12" borderId="0" xfId="0" applyNumberFormat="1" applyFill="1" applyBorder="1" applyAlignment="1">
      <alignment horizontal="center" vertical="center"/>
    </xf>
    <xf numFmtId="10" fontId="0" fillId="12" borderId="0" xfId="1" applyNumberFormat="1" applyFont="1" applyFill="1" applyBorder="1" applyAlignment="1">
      <alignment vertical="center"/>
    </xf>
    <xf numFmtId="4" fontId="0" fillId="12" borderId="0" xfId="0" applyNumberFormat="1" applyFill="1" applyBorder="1" applyAlignment="1">
      <alignment horizontal="right" vertical="center"/>
    </xf>
    <xf numFmtId="4" fontId="0" fillId="12" borderId="0" xfId="0" applyNumberFormat="1" applyFont="1" applyFill="1" applyBorder="1" applyAlignment="1">
      <alignment horizontal="center" vertical="center"/>
    </xf>
    <xf numFmtId="3" fontId="0" fillId="12" borderId="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15" fillId="6" borderId="0" xfId="0" applyNumberFormat="1" applyFont="1" applyFill="1" applyBorder="1" applyAlignment="1"/>
    <xf numFmtId="0" fontId="0" fillId="15" borderId="5" xfId="2" applyFont="1" applyFill="1" applyBorder="1"/>
    <xf numFmtId="0" fontId="0" fillId="15" borderId="16" xfId="2" applyFont="1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164" fontId="0" fillId="15" borderId="5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4" fontId="0" fillId="15" borderId="22" xfId="0" applyNumberFormat="1" applyFill="1" applyBorder="1" applyAlignment="1">
      <alignment horizontal="center"/>
    </xf>
    <xf numFmtId="0" fontId="0" fillId="15" borderId="7" xfId="2" applyFont="1" applyFill="1" applyBorder="1"/>
    <xf numFmtId="0" fontId="0" fillId="15" borderId="21" xfId="2" applyFont="1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4" fillId="15" borderId="14" xfId="2" applyFont="1" applyFill="1" applyBorder="1"/>
    <xf numFmtId="0" fontId="4" fillId="15" borderId="23" xfId="2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1" fontId="0" fillId="15" borderId="23" xfId="0" applyNumberFormat="1" applyFont="1" applyFill="1" applyBorder="1" applyAlignment="1">
      <alignment horizontal="center"/>
    </xf>
    <xf numFmtId="0" fontId="0" fillId="15" borderId="3" xfId="0" applyFill="1" applyBorder="1"/>
    <xf numFmtId="0" fontId="0" fillId="15" borderId="3" xfId="0" applyFill="1" applyBorder="1" applyAlignment="1">
      <alignment horizontal="center"/>
    </xf>
    <xf numFmtId="2" fontId="0" fillId="11" borderId="0" xfId="0" applyNumberFormat="1" applyFill="1"/>
    <xf numFmtId="1" fontId="0" fillId="0" borderId="13" xfId="0" applyNumberFormat="1" applyFill="1" applyBorder="1" applyAlignment="1">
      <alignment horizontal="right" vertical="center"/>
    </xf>
    <xf numFmtId="2" fontId="0" fillId="12" borderId="0" xfId="0" applyNumberFormat="1" applyFill="1" applyBorder="1" applyAlignment="1">
      <alignment horizontal="right" vertical="center"/>
    </xf>
    <xf numFmtId="0" fontId="0" fillId="15" borderId="112" xfId="0" applyFill="1" applyBorder="1"/>
    <xf numFmtId="0" fontId="0" fillId="15" borderId="113" xfId="0" applyFill="1" applyBorder="1"/>
    <xf numFmtId="0" fontId="0" fillId="16" borderId="0" xfId="0" applyFill="1" applyBorder="1" applyAlignment="1">
      <alignment horizontal="center"/>
    </xf>
    <xf numFmtId="164" fontId="0" fillId="16" borderId="0" xfId="0" applyNumberFormat="1" applyFill="1" applyBorder="1" applyAlignment="1">
      <alignment horizontal="center"/>
    </xf>
    <xf numFmtId="164" fontId="6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/>
    <xf numFmtId="1" fontId="0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1" xfId="2" applyFont="1" applyBorder="1"/>
    <xf numFmtId="0" fontId="0" fillId="0" borderId="1" xfId="2" applyFont="1" applyBorder="1" applyAlignment="1">
      <alignment horizontal="center"/>
    </xf>
    <xf numFmtId="0" fontId="0" fillId="15" borderId="1" xfId="2" applyFont="1" applyFill="1" applyBorder="1"/>
    <xf numFmtId="0" fontId="0" fillId="15" borderId="1" xfId="2" applyFont="1" applyFill="1" applyBorder="1" applyAlignment="1">
      <alignment horizontal="center"/>
    </xf>
    <xf numFmtId="0" fontId="4" fillId="15" borderId="1" xfId="2" applyFont="1" applyFill="1" applyBorder="1"/>
    <xf numFmtId="0" fontId="4" fillId="15" borderId="1" xfId="2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6" borderId="0" xfId="0" applyFill="1" applyBorder="1" applyAlignment="1"/>
    <xf numFmtId="0" fontId="10" fillId="12" borderId="1" xfId="0" applyFont="1" applyFill="1" applyBorder="1" applyAlignment="1">
      <alignment horizontal="center"/>
    </xf>
    <xf numFmtId="0" fontId="0" fillId="3" borderId="6" xfId="0" applyFill="1" applyBorder="1"/>
    <xf numFmtId="0" fontId="0" fillId="15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1" fontId="0" fillId="0" borderId="1" xfId="0" applyNumberFormat="1" applyFont="1" applyBorder="1"/>
    <xf numFmtId="0" fontId="32" fillId="0" borderId="1" xfId="0" applyFont="1" applyBorder="1"/>
    <xf numFmtId="0" fontId="3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15" borderId="111" xfId="0" applyFill="1" applyBorder="1"/>
    <xf numFmtId="2" fontId="15" fillId="12" borderId="0" xfId="0" applyNumberFormat="1" applyFont="1" applyFill="1" applyBorder="1" applyAlignment="1">
      <alignment vertical="center"/>
    </xf>
    <xf numFmtId="165" fontId="15" fillId="12" borderId="0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58" xfId="0" applyBorder="1" applyAlignment="1">
      <alignment vertical="center" wrapText="1"/>
    </xf>
    <xf numFmtId="0" fontId="0" fillId="0" borderId="59" xfId="0" applyFill="1" applyBorder="1" applyAlignment="1">
      <alignment vertical="center"/>
    </xf>
    <xf numFmtId="0" fontId="0" fillId="0" borderId="59" xfId="0" applyBorder="1" applyAlignment="1">
      <alignment vertical="center" wrapText="1"/>
    </xf>
    <xf numFmtId="0" fontId="0" fillId="0" borderId="24" xfId="0" applyFill="1" applyBorder="1" applyAlignment="1">
      <alignment vertical="center"/>
    </xf>
    <xf numFmtId="9" fontId="0" fillId="0" borderId="15" xfId="1" applyFont="1" applyBorder="1" applyAlignment="1">
      <alignment vertical="center"/>
    </xf>
    <xf numFmtId="9" fontId="0" fillId="0" borderId="52" xfId="1" applyFont="1" applyBorder="1" applyAlignment="1">
      <alignment horizontal="center" vertical="top" wrapText="1"/>
    </xf>
    <xf numFmtId="9" fontId="0" fillId="0" borderId="0" xfId="1" applyFont="1" applyBorder="1" applyAlignment="1">
      <alignment horizontal="center"/>
    </xf>
    <xf numFmtId="9" fontId="0" fillId="0" borderId="52" xfId="1" applyFont="1" applyBorder="1" applyAlignment="1">
      <alignment horizontal="center"/>
    </xf>
    <xf numFmtId="9" fontId="0" fillId="0" borderId="55" xfId="1" applyFont="1" applyFill="1" applyBorder="1" applyAlignment="1">
      <alignment horizontal="center"/>
    </xf>
    <xf numFmtId="9" fontId="0" fillId="0" borderId="55" xfId="1" applyFont="1" applyBorder="1" applyAlignment="1">
      <alignment horizontal="center"/>
    </xf>
    <xf numFmtId="9" fontId="0" fillId="11" borderId="1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2" fontId="0" fillId="0" borderId="58" xfId="0" applyNumberFormat="1" applyFill="1" applyBorder="1" applyAlignment="1">
      <alignment vertical="center"/>
    </xf>
    <xf numFmtId="2" fontId="0" fillId="0" borderId="59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4" xfId="0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4" fontId="0" fillId="1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0" fillId="6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4" fontId="0" fillId="15" borderId="4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5" fillId="0" borderId="0" xfId="0" quotePrefix="1" applyFont="1" applyAlignment="1">
      <alignment vertical="center" wrapText="1"/>
    </xf>
    <xf numFmtId="0" fontId="35" fillId="0" borderId="46" xfId="0" quotePrefix="1" applyFont="1" applyBorder="1" applyAlignment="1">
      <alignment vertical="center" wrapText="1"/>
    </xf>
    <xf numFmtId="1" fontId="35" fillId="0" borderId="46" xfId="0" quotePrefix="1" applyNumberFormat="1" applyFont="1" applyBorder="1" applyAlignment="1">
      <alignment vertical="center" wrapText="1"/>
    </xf>
    <xf numFmtId="0" fontId="35" fillId="0" borderId="59" xfId="0" quotePrefix="1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2" fontId="9" fillId="0" borderId="59" xfId="0" applyNumberFormat="1" applyFont="1" applyBorder="1" applyAlignment="1">
      <alignment vertical="center" wrapText="1"/>
    </xf>
    <xf numFmtId="49" fontId="29" fillId="14" borderId="0" xfId="0" applyNumberFormat="1" applyFont="1" applyFill="1" applyBorder="1" applyAlignment="1">
      <alignment horizontal="right" wrapText="1"/>
    </xf>
    <xf numFmtId="4" fontId="0" fillId="0" borderId="7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2" fontId="36" fillId="0" borderId="59" xfId="0" quotePrefix="1" applyNumberFormat="1" applyFont="1" applyBorder="1" applyAlignment="1">
      <alignment vertical="center" wrapText="1"/>
    </xf>
    <xf numFmtId="0" fontId="4" fillId="15" borderId="0" xfId="0" applyFont="1" applyFill="1" applyBorder="1" applyAlignment="1"/>
    <xf numFmtId="0" fontId="8" fillId="15" borderId="0" xfId="0" applyFont="1" applyFill="1" applyBorder="1"/>
    <xf numFmtId="0" fontId="0" fillId="15" borderId="0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wrapText="1"/>
    </xf>
    <xf numFmtId="0" fontId="4" fillId="15" borderId="115" xfId="0" applyFont="1" applyFill="1" applyBorder="1" applyAlignment="1"/>
    <xf numFmtId="0" fontId="0" fillId="15" borderId="115" xfId="0" applyFill="1" applyBorder="1" applyAlignment="1">
      <alignment horizontal="center" wrapText="1"/>
    </xf>
    <xf numFmtId="2" fontId="0" fillId="15" borderId="115" xfId="0" applyNumberFormat="1" applyFill="1" applyBorder="1"/>
    <xf numFmtId="167" fontId="0" fillId="15" borderId="0" xfId="0" applyNumberFormat="1" applyFill="1" applyBorder="1"/>
    <xf numFmtId="10" fontId="0" fillId="11" borderId="1" xfId="1" applyNumberFormat="1" applyFont="1" applyFill="1" applyBorder="1"/>
    <xf numFmtId="10" fontId="0" fillId="9" borderId="1" xfId="1" applyNumberFormat="1" applyFont="1" applyFill="1" applyBorder="1"/>
    <xf numFmtId="0" fontId="4" fillId="10" borderId="1" xfId="0" applyFont="1" applyFill="1" applyBorder="1"/>
    <xf numFmtId="10" fontId="4" fillId="10" borderId="1" xfId="0" applyNumberFormat="1" applyFont="1" applyFill="1" applyBorder="1"/>
    <xf numFmtId="2" fontId="4" fillId="10" borderId="1" xfId="0" applyNumberFormat="1" applyFont="1" applyFill="1" applyBorder="1"/>
    <xf numFmtId="0" fontId="17" fillId="12" borderId="141" xfId="0" applyFont="1" applyFill="1" applyBorder="1"/>
    <xf numFmtId="0" fontId="18" fillId="12" borderId="122" xfId="0" applyFont="1" applyFill="1" applyBorder="1"/>
    <xf numFmtId="0" fontId="0" fillId="12" borderId="142" xfId="0" applyFill="1" applyBorder="1"/>
    <xf numFmtId="0" fontId="17" fillId="11" borderId="1" xfId="0" applyFont="1" applyFill="1" applyBorder="1" applyAlignment="1">
      <alignment horizontal="center" vertical="center"/>
    </xf>
    <xf numFmtId="9" fontId="0" fillId="0" borderId="1" xfId="1" applyFont="1" applyBorder="1"/>
    <xf numFmtId="164" fontId="17" fillId="15" borderId="1" xfId="0" applyNumberFormat="1" applyFont="1" applyFill="1" applyBorder="1" applyAlignment="1">
      <alignment horizontal="center"/>
    </xf>
    <xf numFmtId="164" fontId="17" fillId="15" borderId="3" xfId="0" applyNumberFormat="1" applyFont="1" applyFill="1" applyBorder="1" applyAlignment="1">
      <alignment horizontal="center"/>
    </xf>
    <xf numFmtId="4" fontId="0" fillId="3" borderId="1" xfId="0" applyNumberFormat="1" applyFill="1" applyBorder="1"/>
    <xf numFmtId="0" fontId="0" fillId="0" borderId="0" xfId="0" applyFill="1"/>
    <xf numFmtId="0" fontId="11" fillId="14" borderId="58" xfId="0" applyFont="1" applyFill="1" applyBorder="1" applyAlignment="1">
      <alignment horizontal="center" vertical="center"/>
    </xf>
    <xf numFmtId="0" fontId="11" fillId="14" borderId="59" xfId="0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horizontal="center" vertical="center"/>
    </xf>
    <xf numFmtId="0" fontId="0" fillId="14" borderId="58" xfId="0" applyFont="1" applyFill="1" applyBorder="1" applyAlignment="1">
      <alignment horizontal="center" vertical="center" wrapText="1"/>
    </xf>
    <xf numFmtId="0" fontId="0" fillId="14" borderId="59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/>
    </xf>
    <xf numFmtId="0" fontId="12" fillId="14" borderId="58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27" fillId="14" borderId="88" xfId="0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center" vertical="center" wrapText="1"/>
    </xf>
    <xf numFmtId="0" fontId="27" fillId="14" borderId="83" xfId="0" applyFont="1" applyFill="1" applyBorder="1" applyAlignment="1">
      <alignment horizontal="center" vertical="center" wrapText="1"/>
    </xf>
    <xf numFmtId="0" fontId="27" fillId="14" borderId="81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84" xfId="0" applyFont="1" applyFill="1" applyBorder="1" applyAlignment="1">
      <alignment horizontal="center" vertical="center" wrapText="1"/>
    </xf>
    <xf numFmtId="0" fontId="27" fillId="14" borderId="85" xfId="0" applyFont="1" applyFill="1" applyBorder="1" applyAlignment="1">
      <alignment horizontal="center" vertical="center" wrapText="1"/>
    </xf>
    <xf numFmtId="0" fontId="27" fillId="14" borderId="86" xfId="0" applyFont="1" applyFill="1" applyBorder="1" applyAlignment="1">
      <alignment horizontal="center" vertical="center" wrapText="1"/>
    </xf>
    <xf numFmtId="0" fontId="27" fillId="14" borderId="87" xfId="0" applyFont="1" applyFill="1" applyBorder="1" applyAlignment="1">
      <alignment horizontal="center" vertical="center" wrapText="1"/>
    </xf>
    <xf numFmtId="0" fontId="31" fillId="14" borderId="0" xfId="0" applyFont="1" applyFill="1" applyBorder="1" applyAlignment="1">
      <alignment horizontal="left" vertical="center" wrapText="1"/>
    </xf>
    <xf numFmtId="0" fontId="29" fillId="14" borderId="0" xfId="0" applyFont="1" applyFill="1" applyBorder="1" applyAlignment="1">
      <alignment horizontal="left" wrapText="1"/>
    </xf>
    <xf numFmtId="0" fontId="29" fillId="14" borderId="82" xfId="0" applyFont="1" applyFill="1" applyBorder="1" applyAlignment="1">
      <alignment horizontal="left" wrapText="1"/>
    </xf>
    <xf numFmtId="0" fontId="26" fillId="14" borderId="78" xfId="0" applyFont="1" applyFill="1" applyBorder="1" applyAlignment="1">
      <alignment horizontal="center" vertical="center" wrapText="1"/>
    </xf>
    <xf numFmtId="0" fontId="26" fillId="14" borderId="79" xfId="0" applyFont="1" applyFill="1" applyBorder="1" applyAlignment="1">
      <alignment horizontal="center" vertical="center" wrapText="1"/>
    </xf>
    <xf numFmtId="0" fontId="26" fillId="14" borderId="80" xfId="0" applyFont="1" applyFill="1" applyBorder="1" applyAlignment="1">
      <alignment horizontal="center" vertical="center" wrapText="1"/>
    </xf>
    <xf numFmtId="0" fontId="27" fillId="14" borderId="89" xfId="0" applyFont="1" applyFill="1" applyBorder="1" applyAlignment="1">
      <alignment horizontal="center" vertical="center" wrapText="1"/>
    </xf>
    <xf numFmtId="0" fontId="27" fillId="14" borderId="90" xfId="0" applyFont="1" applyFill="1" applyBorder="1" applyAlignment="1">
      <alignment horizontal="center" vertical="center" wrapText="1"/>
    </xf>
    <xf numFmtId="0" fontId="27" fillId="14" borderId="91" xfId="0" applyFont="1" applyFill="1" applyBorder="1" applyAlignment="1">
      <alignment horizontal="center" vertical="center" wrapText="1"/>
    </xf>
    <xf numFmtId="0" fontId="28" fillId="14" borderId="96" xfId="0" applyFont="1" applyFill="1" applyBorder="1" applyAlignment="1">
      <alignment wrapText="1"/>
    </xf>
    <xf numFmtId="0" fontId="28" fillId="14" borderId="92" xfId="0" applyFont="1" applyFill="1" applyBorder="1" applyAlignment="1">
      <alignment wrapText="1"/>
    </xf>
    <xf numFmtId="0" fontId="28" fillId="14" borderId="93" xfId="0" applyFont="1" applyFill="1" applyBorder="1" applyAlignment="1">
      <alignment wrapText="1"/>
    </xf>
    <xf numFmtId="0" fontId="29" fillId="14" borderId="0" xfId="0" applyFont="1" applyFill="1" applyBorder="1" applyAlignment="1">
      <alignment wrapText="1"/>
    </xf>
    <xf numFmtId="0" fontId="29" fillId="14" borderId="82" xfId="0" applyFont="1" applyFill="1" applyBorder="1" applyAlignment="1">
      <alignment wrapText="1"/>
    </xf>
    <xf numFmtId="0" fontId="29" fillId="14" borderId="0" xfId="0" applyFont="1" applyFill="1" applyBorder="1" applyAlignment="1">
      <alignment horizontal="center" wrapText="1"/>
    </xf>
    <xf numFmtId="0" fontId="29" fillId="14" borderId="8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5" borderId="10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7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horizontal="left" vertical="top" wrapText="1"/>
    </xf>
    <xf numFmtId="0" fontId="12" fillId="12" borderId="10" xfId="0" applyFont="1" applyFill="1" applyBorder="1" applyAlignment="1">
      <alignment horizontal="left" vertical="top" wrapText="1"/>
    </xf>
    <xf numFmtId="10" fontId="0" fillId="0" borderId="63" xfId="0" applyNumberFormat="1" applyBorder="1" applyAlignment="1">
      <alignment horizontal="center" vertical="center"/>
    </xf>
    <xf numFmtId="10" fontId="0" fillId="0" borderId="65" xfId="0" applyNumberFormat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4" fillId="5" borderId="104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4" fontId="0" fillId="0" borderId="3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0" fillId="15" borderId="9" xfId="0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left" vertical="center"/>
    </xf>
    <xf numFmtId="0" fontId="15" fillId="12" borderId="10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5" borderId="9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01" xfId="0" applyFont="1" applyFill="1" applyBorder="1" applyAlignment="1">
      <alignment horizontal="center" vertical="center" wrapText="1"/>
    </xf>
    <xf numFmtId="0" fontId="4" fillId="5" borderId="99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4" fillId="7" borderId="98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0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left" vertical="top" wrapText="1"/>
    </xf>
    <xf numFmtId="0" fontId="15" fillId="12" borderId="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100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 wrapText="1"/>
    </xf>
    <xf numFmtId="0" fontId="0" fillId="0" borderId="104" xfId="0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left" vertical="center"/>
    </xf>
    <xf numFmtId="0" fontId="0" fillId="15" borderId="1" xfId="0" applyFont="1" applyFill="1" applyBorder="1" applyAlignment="1">
      <alignment horizontal="left" vertical="center" wrapText="1"/>
    </xf>
    <xf numFmtId="0" fontId="0" fillId="15" borderId="1" xfId="0" applyFont="1" applyFill="1" applyBorder="1" applyAlignment="1">
      <alignment horizontal="center"/>
    </xf>
    <xf numFmtId="0" fontId="15" fillId="12" borderId="119" xfId="0" applyFont="1" applyFill="1" applyBorder="1" applyAlignment="1">
      <alignment horizontal="center"/>
    </xf>
    <xf numFmtId="0" fontId="15" fillId="12" borderId="121" xfId="0" applyFont="1" applyFill="1" applyBorder="1" applyAlignment="1">
      <alignment horizontal="center"/>
    </xf>
    <xf numFmtId="0" fontId="15" fillId="12" borderId="120" xfId="0" applyFont="1" applyFill="1" applyBorder="1" applyAlignment="1">
      <alignment horizontal="center"/>
    </xf>
    <xf numFmtId="0" fontId="0" fillId="12" borderId="28" xfId="0" applyFill="1" applyBorder="1" applyAlignment="1">
      <alignment horizontal="center" vertical="top" wrapText="1"/>
    </xf>
    <xf numFmtId="0" fontId="0" fillId="12" borderId="46" xfId="0" applyFill="1" applyBorder="1" applyAlignment="1">
      <alignment horizontal="center" vertical="top" wrapText="1"/>
    </xf>
    <xf numFmtId="0" fontId="0" fillId="12" borderId="52" xfId="0" applyFill="1" applyBorder="1" applyAlignment="1">
      <alignment horizontal="center" vertical="top" wrapText="1"/>
    </xf>
    <xf numFmtId="0" fontId="0" fillId="12" borderId="0" xfId="0" applyFill="1" applyBorder="1" applyAlignment="1">
      <alignment horizontal="center" vertical="top" wrapText="1"/>
    </xf>
    <xf numFmtId="0" fontId="0" fillId="12" borderId="53" xfId="0" applyFill="1" applyBorder="1" applyAlignment="1">
      <alignment horizontal="center" vertical="top" wrapText="1"/>
    </xf>
    <xf numFmtId="0" fontId="0" fillId="12" borderId="54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top" wrapText="1"/>
    </xf>
    <xf numFmtId="0" fontId="0" fillId="12" borderId="3" xfId="0" applyFill="1" applyBorder="1" applyAlignment="1">
      <alignment horizontal="center" vertical="top" wrapText="1"/>
    </xf>
    <xf numFmtId="0" fontId="0" fillId="12" borderId="13" xfId="0" applyFill="1" applyBorder="1" applyAlignment="1">
      <alignment horizontal="center" vertical="top" wrapText="1"/>
    </xf>
    <xf numFmtId="0" fontId="15" fillId="17" borderId="119" xfId="0" applyFont="1" applyFill="1" applyBorder="1" applyAlignment="1">
      <alignment horizontal="center" vertical="center"/>
    </xf>
    <xf numFmtId="0" fontId="15" fillId="17" borderId="121" xfId="0" applyFont="1" applyFill="1" applyBorder="1" applyAlignment="1">
      <alignment horizontal="center" vertical="center"/>
    </xf>
    <xf numFmtId="0" fontId="15" fillId="17" borderId="120" xfId="0" applyFont="1" applyFill="1" applyBorder="1" applyAlignment="1">
      <alignment horizontal="center" vertical="center"/>
    </xf>
    <xf numFmtId="0" fontId="15" fillId="7" borderId="119" xfId="0" applyFont="1" applyFill="1" applyBorder="1" applyAlignment="1">
      <alignment horizontal="center"/>
    </xf>
    <xf numFmtId="0" fontId="15" fillId="7" borderId="121" xfId="0" applyFont="1" applyFill="1" applyBorder="1" applyAlignment="1">
      <alignment horizontal="center"/>
    </xf>
    <xf numFmtId="0" fontId="15" fillId="7" borderId="120" xfId="0" applyFont="1" applyFill="1" applyBorder="1" applyAlignment="1">
      <alignment horizontal="center"/>
    </xf>
    <xf numFmtId="0" fontId="15" fillId="18" borderId="119" xfId="0" applyFont="1" applyFill="1" applyBorder="1" applyAlignment="1">
      <alignment horizontal="center" vertical="center"/>
    </xf>
    <xf numFmtId="0" fontId="15" fillId="18" borderId="121" xfId="0" applyFont="1" applyFill="1" applyBorder="1" applyAlignment="1">
      <alignment horizontal="center" vertical="center"/>
    </xf>
    <xf numFmtId="0" fontId="15" fillId="18" borderId="120" xfId="0" applyFont="1" applyFill="1" applyBorder="1" applyAlignment="1">
      <alignment horizontal="center" vertical="center"/>
    </xf>
    <xf numFmtId="0" fontId="15" fillId="19" borderId="119" xfId="0" applyFont="1" applyFill="1" applyBorder="1" applyAlignment="1">
      <alignment horizontal="center"/>
    </xf>
    <xf numFmtId="0" fontId="15" fillId="19" borderId="121" xfId="0" applyFont="1" applyFill="1" applyBorder="1" applyAlignment="1">
      <alignment horizontal="center"/>
    </xf>
    <xf numFmtId="0" fontId="15" fillId="19" borderId="120" xfId="0" applyFont="1" applyFill="1" applyBorder="1" applyAlignment="1">
      <alignment horizontal="center"/>
    </xf>
    <xf numFmtId="0" fontId="19" fillId="17" borderId="7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4" fillId="17" borderId="66" xfId="0" applyFont="1" applyFill="1" applyBorder="1" applyAlignment="1">
      <alignment horizontal="center" vertical="center" wrapText="1"/>
    </xf>
    <xf numFmtId="0" fontId="4" fillId="17" borderId="105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 wrapText="1"/>
    </xf>
    <xf numFmtId="0" fontId="4" fillId="17" borderId="33" xfId="2" applyFont="1" applyFill="1" applyBorder="1" applyAlignment="1">
      <alignment horizontal="center" vertical="center" wrapText="1"/>
    </xf>
    <xf numFmtId="0" fontId="4" fillId="17" borderId="32" xfId="2" applyFont="1" applyFill="1" applyBorder="1" applyAlignment="1">
      <alignment horizontal="center" vertical="center" wrapText="1"/>
    </xf>
    <xf numFmtId="0" fontId="11" fillId="17" borderId="44" xfId="2" applyFont="1" applyFill="1" applyBorder="1" applyAlignment="1">
      <alignment horizontal="center" vertical="center" wrapText="1"/>
    </xf>
    <xf numFmtId="0" fontId="11" fillId="17" borderId="43" xfId="2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4" fillId="18" borderId="108" xfId="0" applyFont="1" applyFill="1" applyBorder="1" applyAlignment="1">
      <alignment horizontal="center" vertical="center" wrapText="1"/>
    </xf>
    <xf numFmtId="0" fontId="4" fillId="18" borderId="110" xfId="0" applyFont="1" applyFill="1" applyBorder="1" applyAlignment="1">
      <alignment horizontal="center" vertical="center" wrapText="1"/>
    </xf>
    <xf numFmtId="0" fontId="4" fillId="18" borderId="106" xfId="0" applyFont="1" applyFill="1" applyBorder="1" applyAlignment="1">
      <alignment horizontal="center" vertical="center" wrapText="1"/>
    </xf>
    <xf numFmtId="0" fontId="4" fillId="18" borderId="109" xfId="0" applyFont="1" applyFill="1" applyBorder="1" applyAlignment="1">
      <alignment horizontal="center" vertical="center" wrapText="1"/>
    </xf>
    <xf numFmtId="0" fontId="4" fillId="18" borderId="108" xfId="0" applyFont="1" applyFill="1" applyBorder="1" applyAlignment="1">
      <alignment horizontal="center" vertical="center"/>
    </xf>
    <xf numFmtId="0" fontId="4" fillId="18" borderId="45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top" wrapText="1"/>
    </xf>
    <xf numFmtId="0" fontId="4" fillId="19" borderId="1" xfId="0" applyFont="1" applyFill="1" applyBorder="1" applyAlignment="1">
      <alignment horizontal="center" vertical="top"/>
    </xf>
    <xf numFmtId="0" fontId="4" fillId="17" borderId="3" xfId="0" applyFont="1" applyFill="1" applyBorder="1" applyAlignment="1">
      <alignment horizontal="center" vertical="center" wrapText="1"/>
    </xf>
    <xf numFmtId="0" fontId="4" fillId="18" borderId="58" xfId="0" applyFont="1" applyFill="1" applyBorder="1" applyAlignment="1">
      <alignment horizontal="center" vertical="center" wrapText="1"/>
    </xf>
    <xf numFmtId="0" fontId="4" fillId="18" borderId="105" xfId="0" applyFont="1" applyFill="1" applyBorder="1" applyAlignment="1">
      <alignment horizontal="center" vertical="center" wrapText="1"/>
    </xf>
    <xf numFmtId="0" fontId="4" fillId="18" borderId="57" xfId="0" applyFont="1" applyFill="1" applyBorder="1" applyAlignment="1">
      <alignment horizontal="center" vertical="center" wrapText="1"/>
    </xf>
    <xf numFmtId="0" fontId="4" fillId="18" borderId="77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3" fontId="0" fillId="11" borderId="4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3" fontId="0" fillId="11" borderId="3" xfId="0" applyNumberFormat="1" applyFill="1" applyBorder="1" applyAlignment="1">
      <alignment horizontal="center" vertical="center"/>
    </xf>
    <xf numFmtId="3" fontId="0" fillId="11" borderId="13" xfId="0" applyNumberForma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11" fillId="17" borderId="1" xfId="2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49" fontId="0" fillId="19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13" borderId="28" xfId="0" applyFill="1" applyBorder="1" applyAlignment="1">
      <alignment horizontal="center" vertical="center"/>
    </xf>
    <xf numFmtId="0" fontId="0" fillId="13" borderId="46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7" borderId="13" xfId="0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7" borderId="26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7" borderId="16" xfId="0" applyFill="1" applyBorder="1" applyAlignment="1">
      <alignment horizontal="left" wrapText="1"/>
    </xf>
    <xf numFmtId="0" fontId="0" fillId="7" borderId="26" xfId="0" applyFill="1" applyBorder="1" applyAlignment="1">
      <alignment horizontal="left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9" xfId="0" applyFont="1" applyBorder="1" applyAlignment="1">
      <alignment horizontal="center" vertical="top" wrapText="1"/>
    </xf>
    <xf numFmtId="0" fontId="5" fillId="0" borderId="140" xfId="0" applyFont="1" applyBorder="1" applyAlignment="1">
      <alignment horizontal="center" vertical="top" wrapText="1"/>
    </xf>
    <xf numFmtId="0" fontId="0" fillId="7" borderId="2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5" fillId="0" borderId="69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0" fontId="5" fillId="0" borderId="74" xfId="0" applyFont="1" applyBorder="1" applyAlignment="1">
      <alignment horizontal="left" vertical="top" wrapText="1"/>
    </xf>
    <xf numFmtId="0" fontId="5" fillId="0" borderId="75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0" fillId="7" borderId="5" xfId="0" applyFill="1" applyBorder="1" applyAlignment="1">
      <alignment horizontal="center"/>
    </xf>
    <xf numFmtId="0" fontId="0" fillId="7" borderId="45" xfId="0" applyFill="1" applyBorder="1" applyAlignment="1">
      <alignment horizontal="left"/>
    </xf>
    <xf numFmtId="0" fontId="0" fillId="7" borderId="77" xfId="0" applyFill="1" applyBorder="1" applyAlignment="1">
      <alignment horizontal="left"/>
    </xf>
    <xf numFmtId="0" fontId="0" fillId="7" borderId="62" xfId="0" applyFill="1" applyBorder="1" applyAlignment="1">
      <alignment horizontal="left"/>
    </xf>
    <xf numFmtId="0" fontId="0" fillId="7" borderId="68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0" fillId="4" borderId="123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2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2" xfId="0" applyNumberFormat="1" applyBorder="1" applyAlignment="1">
      <alignment horizontal="center"/>
    </xf>
    <xf numFmtId="0" fontId="0" fillId="4" borderId="123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25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2" fontId="0" fillId="0" borderId="135" xfId="0" applyNumberFormat="1" applyBorder="1" applyAlignment="1">
      <alignment horizontal="center"/>
    </xf>
    <xf numFmtId="2" fontId="0" fillId="0" borderId="136" xfId="0" applyNumberFormat="1" applyBorder="1" applyAlignment="1">
      <alignment horizontal="center"/>
    </xf>
    <xf numFmtId="2" fontId="0" fillId="0" borderId="137" xfId="0" applyNumberFormat="1" applyBorder="1" applyAlignment="1">
      <alignment horizontal="center"/>
    </xf>
    <xf numFmtId="0" fontId="4" fillId="12" borderId="123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/>
    </xf>
    <xf numFmtId="0" fontId="4" fillId="12" borderId="125" xfId="0" applyFont="1" applyFill="1" applyBorder="1" applyAlignment="1">
      <alignment horizontal="left"/>
    </xf>
    <xf numFmtId="0" fontId="4" fillId="12" borderId="129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left"/>
    </xf>
    <xf numFmtId="0" fontId="4" fillId="12" borderId="130" xfId="0" applyFont="1" applyFill="1" applyBorder="1" applyAlignment="1">
      <alignment horizontal="left"/>
    </xf>
    <xf numFmtId="0" fontId="4" fillId="12" borderId="131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/>
    </xf>
    <xf numFmtId="0" fontId="4" fillId="12" borderId="128" xfId="0" applyFont="1" applyFill="1" applyBorder="1" applyAlignment="1">
      <alignment horizontal="left"/>
    </xf>
    <xf numFmtId="0" fontId="11" fillId="14" borderId="58" xfId="0" applyFont="1" applyFill="1" applyBorder="1" applyAlignment="1">
      <alignment horizontal="center" vertical="center" wrapText="1"/>
    </xf>
    <xf numFmtId="49" fontId="29" fillId="14" borderId="0" xfId="0" applyNumberFormat="1" applyFont="1" applyFill="1" applyBorder="1" applyAlignment="1">
      <alignment horizontal="left" wrapText="1"/>
    </xf>
    <xf numFmtId="49" fontId="29" fillId="14" borderId="82" xfId="0" applyNumberFormat="1" applyFont="1" applyFill="1" applyBorder="1" applyAlignment="1">
      <alignment horizontal="left" wrapText="1"/>
    </xf>
    <xf numFmtId="49" fontId="29" fillId="14" borderId="0" xfId="0" applyNumberFormat="1" applyFont="1" applyFill="1" applyAlignment="1">
      <alignment horizontal="left" wrapText="1"/>
    </xf>
    <xf numFmtId="0" fontId="6" fillId="0" borderId="14" xfId="0" applyFont="1" applyFill="1" applyBorder="1" applyAlignment="1">
      <alignment vertical="center" wrapText="1"/>
    </xf>
  </cellXfs>
  <cellStyles count="3">
    <cellStyle name="Normal" xfId="0" builtinId="0"/>
    <cellStyle name="Normal 2" xfId="2" xr:uid="{F422A2C7-1FE6-4F80-A1B2-0E3DBCB538DF}"/>
    <cellStyle name="Prosent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6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 CO2 emission during a 20-year period</a:t>
            </a:r>
          </a:p>
        </c:rich>
      </c:tx>
      <c:layout>
        <c:manualLayout>
          <c:xMode val="edge"/>
          <c:yMode val="edge"/>
          <c:x val="0.25429831304481298"/>
          <c:y val="2.088334350551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Electric engine system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'Source of CO2'!$G$33</c:f>
              <c:numCache>
                <c:formatCode>#,##0.00</c:formatCode>
                <c:ptCount val="1"/>
                <c:pt idx="0">
                  <c:v>78612.997744035791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0-4279-832A-3DFF1F0A0C9B}"/>
            </c:ext>
          </c:extLst>
        </c:ser>
        <c:ser>
          <c:idx val="1"/>
          <c:order val="1"/>
          <c:tx>
            <c:v>Diesel engine system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'Source of CO2'!$O$29</c:f>
              <c:numCache>
                <c:formatCode>#,##0.00</c:formatCode>
                <c:ptCount val="1"/>
                <c:pt idx="0">
                  <c:v>1180674.1434334221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0-4279-832A-3DFF1F0A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496848"/>
        <c:axId val="1329492272"/>
      </c:barChart>
      <c:catAx>
        <c:axId val="1329496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9492272"/>
        <c:crosses val="autoZero"/>
        <c:auto val="1"/>
        <c:lblAlgn val="ctr"/>
        <c:lblOffset val="100"/>
        <c:noMultiLvlLbl val="0"/>
      </c:catAx>
      <c:valAx>
        <c:axId val="13294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949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83980981523709"/>
          <c:y val="0.88483741615631384"/>
          <c:w val="0.81863529682637537"/>
          <c:h val="5.8734814698694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Total CO2 emission during a 20-year period</a:t>
            </a:r>
            <a:endParaRPr lang="nb-NO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>
        <c:manualLayout>
          <c:xMode val="edge"/>
          <c:yMode val="edge"/>
          <c:x val="0.27936226781046508"/>
          <c:y val="1.1888900564558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Tables!$C$6</c:f>
              <c:strCache>
                <c:ptCount val="1"/>
                <c:pt idx="0">
                  <c:v>Total CO2 emission from electric [kg]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numRef>
              <c:f>Tables!$B$7:$B$27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Tables!$C$7:$C$27</c:f>
              <c:numCache>
                <c:formatCode>#,##0.00</c:formatCode>
                <c:ptCount val="21"/>
                <c:pt idx="0">
                  <c:v>42116.764845970407</c:v>
                </c:pt>
                <c:pt idx="1">
                  <c:v>42151.683788903742</c:v>
                </c:pt>
                <c:pt idx="2">
                  <c:v>42186.602731837076</c:v>
                </c:pt>
                <c:pt idx="3">
                  <c:v>42221.521674770411</c:v>
                </c:pt>
                <c:pt idx="4">
                  <c:v>42256.440617703745</c:v>
                </c:pt>
                <c:pt idx="5">
                  <c:v>42291.35956063708</c:v>
                </c:pt>
                <c:pt idx="6">
                  <c:v>42326.278503570415</c:v>
                </c:pt>
                <c:pt idx="7">
                  <c:v>42361.197446503749</c:v>
                </c:pt>
                <c:pt idx="8">
                  <c:v>42396.116389437084</c:v>
                </c:pt>
                <c:pt idx="9">
                  <c:v>42431.035332370418</c:v>
                </c:pt>
                <c:pt idx="10">
                  <c:v>78263.808314702444</c:v>
                </c:pt>
                <c:pt idx="11">
                  <c:v>78298.727257635779</c:v>
                </c:pt>
                <c:pt idx="12">
                  <c:v>78333.646200569114</c:v>
                </c:pt>
                <c:pt idx="13">
                  <c:v>78368.565143502448</c:v>
                </c:pt>
                <c:pt idx="14">
                  <c:v>78403.484086435783</c:v>
                </c:pt>
                <c:pt idx="15">
                  <c:v>78438.403029369118</c:v>
                </c:pt>
                <c:pt idx="16">
                  <c:v>78473.321972302452</c:v>
                </c:pt>
                <c:pt idx="17">
                  <c:v>78508.240915235787</c:v>
                </c:pt>
                <c:pt idx="18">
                  <c:v>78543.159858169121</c:v>
                </c:pt>
                <c:pt idx="19">
                  <c:v>78578.078801102456</c:v>
                </c:pt>
                <c:pt idx="20">
                  <c:v>78612.997744035791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2-48A0-BDFF-E1CFBCC18AE1}"/>
            </c:ext>
          </c:extLst>
        </c:ser>
        <c:ser>
          <c:idx val="1"/>
          <c:order val="1"/>
          <c:tx>
            <c:strRef>
              <c:f>Tables!$D$6</c:f>
              <c:strCache>
                <c:ptCount val="1"/>
                <c:pt idx="0">
                  <c:v>Total CO2 emission from diesel [kg]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numRef>
              <c:f>Tables!$B$7:$B$27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Tables!$D$7:$D$27</c:f>
              <c:numCache>
                <c:formatCode>#,##0.00</c:formatCode>
                <c:ptCount val="21"/>
                <c:pt idx="0">
                  <c:v>2931.9212112</c:v>
                </c:pt>
                <c:pt idx="1">
                  <c:v>61819.032322311119</c:v>
                </c:pt>
                <c:pt idx="2">
                  <c:v>120706.14343342223</c:v>
                </c:pt>
                <c:pt idx="3">
                  <c:v>179593.25454453335</c:v>
                </c:pt>
                <c:pt idx="4">
                  <c:v>238480.36565564448</c:v>
                </c:pt>
                <c:pt idx="5">
                  <c:v>297367.47676675557</c:v>
                </c:pt>
                <c:pt idx="6">
                  <c:v>356254.5878778667</c:v>
                </c:pt>
                <c:pt idx="7">
                  <c:v>415141.69898897782</c:v>
                </c:pt>
                <c:pt idx="8">
                  <c:v>474028.81010008894</c:v>
                </c:pt>
                <c:pt idx="9">
                  <c:v>532915.92121120007</c:v>
                </c:pt>
                <c:pt idx="10">
                  <c:v>591803.03232231119</c:v>
                </c:pt>
                <c:pt idx="11">
                  <c:v>650690.14343342232</c:v>
                </c:pt>
                <c:pt idx="12">
                  <c:v>709577.25454453344</c:v>
                </c:pt>
                <c:pt idx="13">
                  <c:v>768464.36565564456</c:v>
                </c:pt>
                <c:pt idx="14">
                  <c:v>827351.47676675569</c:v>
                </c:pt>
                <c:pt idx="15">
                  <c:v>886238.58787786681</c:v>
                </c:pt>
                <c:pt idx="16">
                  <c:v>945125.69898897794</c:v>
                </c:pt>
                <c:pt idx="17">
                  <c:v>1004012.8101000891</c:v>
                </c:pt>
                <c:pt idx="18">
                  <c:v>1062899.9212112001</c:v>
                </c:pt>
                <c:pt idx="19">
                  <c:v>1121787.0323223111</c:v>
                </c:pt>
                <c:pt idx="20">
                  <c:v>1180674.1434334221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12-48A0-BDFF-E1CFBCC18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503392"/>
        <c:axId val="1329500896"/>
      </c:barChart>
      <c:catAx>
        <c:axId val="13295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9500896"/>
        <c:crosses val="autoZero"/>
        <c:auto val="1"/>
        <c:lblAlgn val="ctr"/>
        <c:lblOffset val="100"/>
        <c:noMultiLvlLbl val="0"/>
      </c:catAx>
      <c:valAx>
        <c:axId val="13295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95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CO2 emission during the first 5 years of 20-year period</a:t>
            </a:r>
            <a:endParaRPr lang="nb-NO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>
        <c:manualLayout>
          <c:xMode val="edge"/>
          <c:yMode val="edge"/>
          <c:x val="0.21833431417437185"/>
          <c:y val="2.3503887057325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Tables!$C$6</c:f>
              <c:strCache>
                <c:ptCount val="1"/>
                <c:pt idx="0">
                  <c:v>Total CO2 emission from electric [kg]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Tables!$B$7:$B$27</c15:sqref>
                  </c15:fullRef>
                </c:ext>
              </c:extLst>
              <c:f>Tables!$B$7:$B$12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Tables!$C$7:$C$27</c15:sqref>
                  </c15:fullRef>
                </c:ext>
              </c:extLst>
              <c:f>Tables!$C$7:$C$12</c:f>
              <c:numCache>
                <c:formatCode>#,##0.00</c:formatCode>
                <c:ptCount val="6"/>
                <c:pt idx="0">
                  <c:v>42116.764845970407</c:v>
                </c:pt>
                <c:pt idx="1">
                  <c:v>42151.683788903742</c:v>
                </c:pt>
                <c:pt idx="2">
                  <c:v>42186.602731837076</c:v>
                </c:pt>
                <c:pt idx="3">
                  <c:v>42221.521674770411</c:v>
                </c:pt>
                <c:pt idx="4">
                  <c:v>42256.440617703745</c:v>
                </c:pt>
                <c:pt idx="5">
                  <c:v>42291.35956063708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B-4456-8472-C9536F02EABA}"/>
            </c:ext>
          </c:extLst>
        </c:ser>
        <c:ser>
          <c:idx val="1"/>
          <c:order val="1"/>
          <c:tx>
            <c:strRef>
              <c:f>Tables!$D$6</c:f>
              <c:strCache>
                <c:ptCount val="1"/>
                <c:pt idx="0">
                  <c:v>Total CO2 emission from diesel [kg]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Tables!$B$7:$B$27</c15:sqref>
                  </c15:fullRef>
                </c:ext>
              </c:extLst>
              <c:f>Tables!$B$7:$B$12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Tables!$D$7:$D$27</c15:sqref>
                  </c15:fullRef>
                </c:ext>
              </c:extLst>
              <c:f>Tables!$D$7:$D$12</c:f>
              <c:numCache>
                <c:formatCode>#,##0.00</c:formatCode>
                <c:ptCount val="6"/>
                <c:pt idx="0">
                  <c:v>2931.9212112</c:v>
                </c:pt>
                <c:pt idx="1">
                  <c:v>61819.032322311119</c:v>
                </c:pt>
                <c:pt idx="2">
                  <c:v>120706.14343342223</c:v>
                </c:pt>
                <c:pt idx="3">
                  <c:v>179593.25454453335</c:v>
                </c:pt>
                <c:pt idx="4">
                  <c:v>238480.36565564448</c:v>
                </c:pt>
                <c:pt idx="5">
                  <c:v>297367.47676675557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2B-4456-8472-C9536F02E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503392"/>
        <c:axId val="1329500896"/>
      </c:barChart>
      <c:catAx>
        <c:axId val="13295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9500896"/>
        <c:crosses val="autoZero"/>
        <c:auto val="1"/>
        <c:lblAlgn val="ctr"/>
        <c:lblOffset val="100"/>
        <c:noMultiLvlLbl val="0"/>
      </c:catAx>
      <c:valAx>
        <c:axId val="13295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295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CO2 emissions first</a:t>
            </a:r>
            <a:r>
              <a:rPr lang="nb-NO" baseline="0"/>
              <a:t> five years</a:t>
            </a:r>
            <a:endParaRPr lang="nb-NO"/>
          </a:p>
        </c:rich>
      </c:tx>
      <c:layout>
        <c:manualLayout>
          <c:xMode val="edge"/>
          <c:yMode val="edge"/>
          <c:x val="0.42012832899612612"/>
          <c:y val="2.4059728750239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Tables!$C$6</c:f>
              <c:strCache>
                <c:ptCount val="1"/>
                <c:pt idx="0">
                  <c:v>Total CO2 emission from electric [kg]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Tables!$B$7:$B$12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Tables!$C$7:$C$12</c:f>
              <c:numCache>
                <c:formatCode>#,##0.00</c:formatCode>
                <c:ptCount val="6"/>
                <c:pt idx="0">
                  <c:v>42116.764845970407</c:v>
                </c:pt>
                <c:pt idx="1">
                  <c:v>42151.683788903742</c:v>
                </c:pt>
                <c:pt idx="2">
                  <c:v>42186.602731837076</c:v>
                </c:pt>
                <c:pt idx="3">
                  <c:v>42221.521674770411</c:v>
                </c:pt>
                <c:pt idx="4">
                  <c:v>42256.440617703745</c:v>
                </c:pt>
                <c:pt idx="5">
                  <c:v>42291.35956063708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E-462B-BAC6-8A11445BD722}"/>
            </c:ext>
          </c:extLst>
        </c:ser>
        <c:ser>
          <c:idx val="1"/>
          <c:order val="1"/>
          <c:tx>
            <c:strRef>
              <c:f>Tables!$D$6</c:f>
              <c:strCache>
                <c:ptCount val="1"/>
                <c:pt idx="0">
                  <c:v>Total CO2 emission from diesel [kg]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Tables!$B$7:$B$12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Tables!$D$7:$D$12</c:f>
              <c:numCache>
                <c:formatCode>#,##0.00</c:formatCode>
                <c:ptCount val="6"/>
                <c:pt idx="0">
                  <c:v>2931.9212112</c:v>
                </c:pt>
                <c:pt idx="1">
                  <c:v>61819.032322311119</c:v>
                </c:pt>
                <c:pt idx="2">
                  <c:v>120706.14343342223</c:v>
                </c:pt>
                <c:pt idx="3">
                  <c:v>179593.25454453335</c:v>
                </c:pt>
                <c:pt idx="4">
                  <c:v>238480.36565564448</c:v>
                </c:pt>
                <c:pt idx="5">
                  <c:v>297367.47676675557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E-462B-BAC6-8A11445BD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7095584"/>
        <c:axId val="1357100576"/>
      </c:barChart>
      <c:catAx>
        <c:axId val="13570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57100576"/>
        <c:crosses val="autoZero"/>
        <c:auto val="1"/>
        <c:lblAlgn val="ctr"/>
        <c:lblOffset val="100"/>
        <c:noMultiLvlLbl val="0"/>
      </c:catAx>
      <c:valAx>
        <c:axId val="13571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5709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D-4727-9303-9999EE349C45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5D-4727-9303-9999EE349C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5D-4727-9303-9999EE349C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D-4727-9303-9999EE349C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5D-4727-9303-9999EE349C45}"/>
              </c:ext>
            </c:extLst>
          </c:dPt>
          <c:dLbls>
            <c:dLbl>
              <c:idx val="0"/>
              <c:layout>
                <c:manualLayout>
                  <c:x val="0.24068590909147922"/>
                  <c:y val="4.1411050946534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D-4727-9303-9999EE349C45}"/>
                </c:ext>
              </c:extLst>
            </c:dLbl>
            <c:dLbl>
              <c:idx val="2"/>
              <c:layout>
                <c:manualLayout>
                  <c:x val="-0.1738288166439714"/>
                  <c:y val="8.19018563164786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5D-4727-9303-9999EE349C45}"/>
                </c:ext>
              </c:extLst>
            </c:dLbl>
            <c:dLbl>
              <c:idx val="3"/>
              <c:layout>
                <c:manualLayout>
                  <c:x val="-7.4336293545577858E-2"/>
                  <c:y val="2.760736729768944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32746517001814"/>
                      <c:h val="0.113190205920526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5D-4727-9303-9999EE349C45}"/>
                </c:ext>
              </c:extLst>
            </c:dLbl>
            <c:dLbl>
              <c:idx val="4"/>
              <c:layout>
                <c:manualLayout>
                  <c:x val="0.1554372734216812"/>
                  <c:y val="8.282210189306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5D-4727-9303-9999EE349C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Tables!$B$80:$B$84</c:f>
              <c:strCache>
                <c:ptCount val="5"/>
                <c:pt idx="0">
                  <c:v>Manufacturing of engine</c:v>
                </c:pt>
                <c:pt idx="1">
                  <c:v>Manufacturing of battery </c:v>
                </c:pt>
                <c:pt idx="2">
                  <c:v>Transport of engine</c:v>
                </c:pt>
                <c:pt idx="3">
                  <c:v>Transport of battery</c:v>
                </c:pt>
                <c:pt idx="4">
                  <c:v>Operation</c:v>
                </c:pt>
              </c:strCache>
            </c:strRef>
          </c:cat>
          <c:val>
            <c:numRef>
              <c:f>Tables!$C$80:$C$84</c:f>
              <c:numCache>
                <c:formatCode>#,##0.00</c:formatCode>
                <c:ptCount val="5"/>
                <c:pt idx="0">
                  <c:v>5977.1132856213408</c:v>
                </c:pt>
                <c:pt idx="1">
                  <c:v>71055.600000000006</c:v>
                </c:pt>
                <c:pt idx="2">
                  <c:v>341.79752095037946</c:v>
                </c:pt>
                <c:pt idx="3">
                  <c:v>540.10807879737149</c:v>
                </c:pt>
                <c:pt idx="4" formatCode="0.00">
                  <c:v>698.3788586666667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5D-4727-9303-9999EE349C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D8-47AB-A8D8-4144E5A47DD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D8-47AB-A8D8-4144E5A47DD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D8-47AB-A8D8-4144E5A47D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2D8-47AB-A8D8-4144E5A47DDD}"/>
                </c:ext>
              </c:extLst>
            </c:dLbl>
            <c:dLbl>
              <c:idx val="1"/>
              <c:layout>
                <c:manualLayout>
                  <c:x val="0.24516076115485563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D8-47AB-A8D8-4144E5A47DDD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2D8-47AB-A8D8-4144E5A47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Tables!$F$80:$F$82</c:f>
              <c:strCache>
                <c:ptCount val="3"/>
                <c:pt idx="0">
                  <c:v>Manufacturing of engine</c:v>
                </c:pt>
                <c:pt idx="1">
                  <c:v>Transport of engine</c:v>
                </c:pt>
                <c:pt idx="2">
                  <c:v>Operation</c:v>
                </c:pt>
              </c:strCache>
            </c:strRef>
          </c:cat>
          <c:val>
            <c:numRef>
              <c:f>Tables!$G$80:$G$82</c:f>
              <c:numCache>
                <c:formatCode>#,##0.00</c:formatCode>
                <c:ptCount val="3"/>
                <c:pt idx="0">
                  <c:v>2704.7748000000001</c:v>
                </c:pt>
                <c:pt idx="1">
                  <c:v>227.14641119999996</c:v>
                </c:pt>
                <c:pt idx="2">
                  <c:v>1177742.2222222222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D8-47AB-A8D8-4144E5A47D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33</xdr:row>
      <xdr:rowOff>78920</xdr:rowOff>
    </xdr:from>
    <xdr:to>
      <xdr:col>11</xdr:col>
      <xdr:colOff>147744</xdr:colOff>
      <xdr:row>52</xdr:row>
      <xdr:rowOff>94535</xdr:rowOff>
    </xdr:to>
    <xdr:pic>
      <xdr:nvPicPr>
        <xdr:cNvPr id="5" name="Bilde 3">
          <a:extLst>
            <a:ext uri="{FF2B5EF4-FFF2-40B4-BE49-F238E27FC236}">
              <a16:creationId xmlns:a16="http://schemas.microsoft.com/office/drawing/2014/main" id="{94F007E9-3C31-4412-B3C2-4222CB85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6241595"/>
          <a:ext cx="5110269" cy="3616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17</xdr:col>
      <xdr:colOff>400707</xdr:colOff>
      <xdr:row>23</xdr:row>
      <xdr:rowOff>133715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FF36A6-7C5C-4BFD-898A-891DB5EA0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641568</xdr:colOff>
      <xdr:row>50</xdr:row>
      <xdr:rowOff>55617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8FB0EDF-3EE7-4A89-8FC3-585C3DAAC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27</xdr:col>
      <xdr:colOff>668026</xdr:colOff>
      <xdr:row>48</xdr:row>
      <xdr:rowOff>182617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BCD07E8-843C-4098-A8D6-B145E4975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17</xdr:col>
      <xdr:colOff>663465</xdr:colOff>
      <xdr:row>70</xdr:row>
      <xdr:rowOff>3066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6487D50-3E8F-4308-9A0F-E1B42719F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79</xdr:row>
      <xdr:rowOff>0</xdr:rowOff>
    </xdr:from>
    <xdr:to>
      <xdr:col>15</xdr:col>
      <xdr:colOff>220485</xdr:colOff>
      <xdr:row>97</xdr:row>
      <xdr:rowOff>148166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073B0CE-245B-48EB-B51B-0BB88995A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79</xdr:row>
      <xdr:rowOff>0</xdr:rowOff>
    </xdr:from>
    <xdr:to>
      <xdr:col>24</xdr:col>
      <xdr:colOff>27214</xdr:colOff>
      <xdr:row>96</xdr:row>
      <xdr:rowOff>151492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15BE1156-1F4B-4B03-9286-0B990249D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5616-0D71-412C-B279-13490654AB61}">
  <sheetPr codeName="Ark1">
    <tabColor rgb="FFDDEBF7"/>
  </sheetPr>
  <dimension ref="A1:AI70"/>
  <sheetViews>
    <sheetView topLeftCell="A7" zoomScale="70" zoomScaleNormal="70" workbookViewId="0">
      <selection activeCell="I30" sqref="I30"/>
    </sheetView>
  </sheetViews>
  <sheetFormatPr baseColWidth="10" defaultColWidth="8.77734375" defaultRowHeight="14.4" x14ac:dyDescent="0.3"/>
  <cols>
    <col min="2" max="2" width="20.77734375" customWidth="1"/>
    <col min="3" max="3" width="40.77734375" customWidth="1"/>
    <col min="4" max="4" width="20.77734375" customWidth="1"/>
    <col min="5" max="5" width="40.77734375" customWidth="1"/>
    <col min="6" max="6" width="9.21875" bestFit="1" customWidth="1"/>
  </cols>
  <sheetData>
    <row r="1" spans="1:35" ht="36.6" x14ac:dyDescent="0.7">
      <c r="A1" s="56"/>
      <c r="B1" s="234" t="s">
        <v>0</v>
      </c>
      <c r="C1" s="125"/>
      <c r="D1" s="125"/>
      <c r="E1" s="12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x14ac:dyDescent="0.3">
      <c r="A2" s="227"/>
      <c r="B2" s="227"/>
      <c r="C2" s="227"/>
      <c r="D2" s="227"/>
      <c r="E2" s="22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x14ac:dyDescent="0.3">
      <c r="A3" s="227"/>
      <c r="B3" s="565" t="s">
        <v>1</v>
      </c>
      <c r="C3" s="566"/>
      <c r="D3" s="566"/>
      <c r="E3" s="56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 ht="36" customHeight="1" x14ac:dyDescent="0.3">
      <c r="A4" s="227"/>
      <c r="B4" s="567"/>
      <c r="C4" s="567"/>
      <c r="D4" s="567"/>
      <c r="E4" s="567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5" x14ac:dyDescent="0.3">
      <c r="A5" s="227"/>
      <c r="B5" s="568" t="s">
        <v>2</v>
      </c>
      <c r="C5" s="569"/>
      <c r="D5" s="568" t="s">
        <v>3</v>
      </c>
      <c r="E5" s="56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</row>
    <row r="6" spans="1:35" x14ac:dyDescent="0.3">
      <c r="A6" s="227"/>
      <c r="B6" s="569"/>
      <c r="C6" s="569"/>
      <c r="D6" s="569"/>
      <c r="E6" s="569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x14ac:dyDescent="0.3">
      <c r="A7" s="227"/>
      <c r="B7" s="569"/>
      <c r="C7" s="569"/>
      <c r="D7" s="569"/>
      <c r="E7" s="56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x14ac:dyDescent="0.3">
      <c r="A8" s="227"/>
      <c r="B8" s="569"/>
      <c r="C8" s="569"/>
      <c r="D8" s="569"/>
      <c r="E8" s="569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x14ac:dyDescent="0.3">
      <c r="A9" s="227"/>
      <c r="B9" s="569" t="s">
        <v>4</v>
      </c>
      <c r="C9" s="569"/>
      <c r="D9" s="569"/>
      <c r="E9" s="56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x14ac:dyDescent="0.3">
      <c r="A10" s="227"/>
      <c r="B10" s="570" t="s">
        <v>5</v>
      </c>
      <c r="C10" s="568" t="s">
        <v>6</v>
      </c>
      <c r="D10" s="570" t="s">
        <v>7</v>
      </c>
      <c r="E10" s="568" t="s">
        <v>10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x14ac:dyDescent="0.3">
      <c r="A11" s="227"/>
      <c r="B11" s="570"/>
      <c r="C11" s="569"/>
      <c r="D11" s="570"/>
      <c r="E11" s="56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x14ac:dyDescent="0.3">
      <c r="A12" s="227"/>
      <c r="B12" s="570"/>
      <c r="C12" s="569"/>
      <c r="D12" s="570"/>
      <c r="E12" s="56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x14ac:dyDescent="0.3">
      <c r="A13" s="227"/>
      <c r="B13" s="570"/>
      <c r="C13" s="569"/>
      <c r="D13" s="570"/>
      <c r="E13" s="569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x14ac:dyDescent="0.3">
      <c r="A14" s="227"/>
      <c r="B14" s="570"/>
      <c r="C14" s="569"/>
      <c r="D14" s="570"/>
      <c r="E14" s="569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1:35" x14ac:dyDescent="0.3">
      <c r="A15" s="227"/>
      <c r="B15" s="570"/>
      <c r="C15" s="569"/>
      <c r="D15" s="570"/>
      <c r="E15" s="569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x14ac:dyDescent="0.3">
      <c r="A16" s="227"/>
      <c r="B16" s="570"/>
      <c r="C16" s="569"/>
      <c r="D16" s="570"/>
      <c r="E16" s="569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x14ac:dyDescent="0.3">
      <c r="A17" s="227"/>
      <c r="B17" s="570"/>
      <c r="C17" s="569"/>
      <c r="D17" s="570"/>
      <c r="E17" s="569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1:35" x14ac:dyDescent="0.3">
      <c r="A18" s="227"/>
      <c r="B18" s="570"/>
      <c r="C18" s="569"/>
      <c r="D18" s="570"/>
      <c r="E18" s="56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x14ac:dyDescent="0.3">
      <c r="A19" s="227"/>
      <c r="B19" s="570"/>
      <c r="C19" s="569"/>
      <c r="D19" s="570"/>
      <c r="E19" s="56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1:35" x14ac:dyDescent="0.3">
      <c r="A20" s="227"/>
      <c r="B20" s="570"/>
      <c r="C20" s="569"/>
      <c r="D20" s="570"/>
      <c r="E20" s="56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x14ac:dyDescent="0.3">
      <c r="A21" s="227"/>
      <c r="B21" s="570"/>
      <c r="C21" s="569"/>
      <c r="D21" s="570"/>
      <c r="E21" s="56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x14ac:dyDescent="0.3">
      <c r="A22" s="227"/>
      <c r="B22" s="570"/>
      <c r="C22" s="569"/>
      <c r="D22" s="570"/>
      <c r="E22" s="56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x14ac:dyDescent="0.3">
      <c r="A23" s="227"/>
      <c r="B23" s="570"/>
      <c r="C23" s="569"/>
      <c r="D23" s="570"/>
      <c r="E23" s="56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x14ac:dyDescent="0.3">
      <c r="A24" s="227"/>
      <c r="B24" s="942" t="s">
        <v>8</v>
      </c>
      <c r="C24" s="228"/>
      <c r="D24" s="559" t="s">
        <v>9</v>
      </c>
      <c r="E24" s="562" t="s">
        <v>10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1:35" x14ac:dyDescent="0.3">
      <c r="A25" s="227"/>
      <c r="B25" s="560"/>
      <c r="C25" s="229" t="s">
        <v>11</v>
      </c>
      <c r="D25" s="560"/>
      <c r="E25" s="563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35" x14ac:dyDescent="0.3">
      <c r="A26" s="227"/>
      <c r="B26" s="560"/>
      <c r="C26" s="229" t="s">
        <v>12</v>
      </c>
      <c r="D26" s="560"/>
      <c r="E26" s="563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x14ac:dyDescent="0.3">
      <c r="A27" s="227"/>
      <c r="B27" s="560"/>
      <c r="C27" s="229" t="s">
        <v>13</v>
      </c>
      <c r="D27" s="560"/>
      <c r="E27" s="563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x14ac:dyDescent="0.3">
      <c r="A28" s="227"/>
      <c r="B28" s="560"/>
      <c r="C28" s="229" t="s">
        <v>14</v>
      </c>
      <c r="D28" s="560"/>
      <c r="E28" s="563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1:35" x14ac:dyDescent="0.3">
      <c r="A29" s="227"/>
      <c r="B29" s="561"/>
      <c r="C29" s="230"/>
      <c r="D29" s="561"/>
      <c r="E29" s="564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1:35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35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1:35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35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1:35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1:35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35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1:35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35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1:35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1:35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1:35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</row>
    <row r="44" spans="1:35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35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1:35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35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1:35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x14ac:dyDescent="0.3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x14ac:dyDescent="0.3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x14ac:dyDescent="0.3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x14ac:dyDescent="0.3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x14ac:dyDescent="0.3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x14ac:dyDescent="0.3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x14ac:dyDescent="0.3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x14ac:dyDescent="0.3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x14ac:dyDescent="0.3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x14ac:dyDescent="0.3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x14ac:dyDescent="0.3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x14ac:dyDescent="0.3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</sheetData>
  <mergeCells count="11">
    <mergeCell ref="D24:D29"/>
    <mergeCell ref="B24:B29"/>
    <mergeCell ref="E24:E29"/>
    <mergeCell ref="B3:E4"/>
    <mergeCell ref="B5:C8"/>
    <mergeCell ref="D5:E8"/>
    <mergeCell ref="B9:E9"/>
    <mergeCell ref="B10:B23"/>
    <mergeCell ref="C10:C23"/>
    <mergeCell ref="D10:D23"/>
    <mergeCell ref="E10:E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B2F4-930E-4227-AAB2-447A96890532}">
  <sheetPr codeName="Ark13"/>
  <dimension ref="A1:P65"/>
  <sheetViews>
    <sheetView topLeftCell="A20" zoomScale="60" zoomScaleNormal="60" workbookViewId="0">
      <selection activeCell="O27" sqref="O27"/>
    </sheetView>
  </sheetViews>
  <sheetFormatPr baseColWidth="10" defaultColWidth="11.44140625" defaultRowHeight="14.4" x14ac:dyDescent="0.3"/>
  <cols>
    <col min="1" max="1" width="36.77734375" customWidth="1"/>
    <col min="2" max="2" width="24.77734375" customWidth="1"/>
    <col min="3" max="3" width="18.44140625" customWidth="1"/>
    <col min="4" max="4" width="15.77734375" customWidth="1"/>
    <col min="5" max="5" width="19.77734375" customWidth="1"/>
    <col min="6" max="6" width="18.21875" customWidth="1"/>
    <col min="7" max="7" width="19.21875" bestFit="1" customWidth="1"/>
    <col min="8" max="8" width="19.21875" style="407" customWidth="1"/>
    <col min="9" max="9" width="15.21875" customWidth="1"/>
    <col min="11" max="11" width="14.77734375" customWidth="1"/>
    <col min="12" max="12" width="27.44140625" bestFit="1" customWidth="1"/>
    <col min="13" max="13" width="17.44140625" style="307" customWidth="1"/>
    <col min="14" max="14" width="13.21875" customWidth="1"/>
  </cols>
  <sheetData>
    <row r="1" spans="1:16" x14ac:dyDescent="0.3">
      <c r="A1" s="4"/>
      <c r="B1" s="4"/>
      <c r="C1" s="4"/>
      <c r="D1" s="4"/>
      <c r="E1" s="4"/>
      <c r="F1" s="4"/>
      <c r="L1" s="382" t="s">
        <v>69</v>
      </c>
      <c r="M1" s="383" t="s">
        <v>76</v>
      </c>
      <c r="N1" s="384"/>
      <c r="O1" s="384"/>
      <c r="P1" s="385"/>
    </row>
    <row r="2" spans="1:16" x14ac:dyDescent="0.3">
      <c r="A2" s="924" t="s">
        <v>414</v>
      </c>
      <c r="B2" s="925"/>
      <c r="C2" s="925"/>
      <c r="D2" s="926"/>
      <c r="E2" s="4"/>
      <c r="L2" s="386"/>
      <c r="M2" s="308"/>
      <c r="N2" s="309"/>
      <c r="O2" s="309"/>
      <c r="P2" s="387"/>
    </row>
    <row r="3" spans="1:16" x14ac:dyDescent="0.3">
      <c r="A3" s="927"/>
      <c r="B3" s="928"/>
      <c r="C3" s="928"/>
      <c r="D3" s="929"/>
      <c r="E3" s="306" t="s">
        <v>34</v>
      </c>
      <c r="L3" s="936" t="s">
        <v>70</v>
      </c>
      <c r="M3" s="937"/>
      <c r="N3" s="937"/>
      <c r="O3" s="937"/>
      <c r="P3" s="938"/>
    </row>
    <row r="4" spans="1:16" x14ac:dyDescent="0.3">
      <c r="A4" s="299"/>
      <c r="B4" s="504" t="s">
        <v>415</v>
      </c>
      <c r="C4" s="300" t="s">
        <v>416</v>
      </c>
      <c r="D4" s="300" t="s">
        <v>417</v>
      </c>
      <c r="E4" s="946"/>
      <c r="L4" s="939"/>
      <c r="M4" s="940"/>
      <c r="N4" s="940"/>
      <c r="O4" s="940"/>
      <c r="P4" s="941"/>
    </row>
    <row r="5" spans="1:16" x14ac:dyDescent="0.3">
      <c r="A5" s="28" t="s">
        <v>418</v>
      </c>
      <c r="B5" s="301" t="s">
        <v>419</v>
      </c>
      <c r="C5" s="302" t="s">
        <v>419</v>
      </c>
      <c r="D5" s="302" t="s">
        <v>419</v>
      </c>
      <c r="E5" s="946"/>
      <c r="L5" s="908" t="s">
        <v>420</v>
      </c>
      <c r="M5" s="503" t="s">
        <v>421</v>
      </c>
      <c r="N5" s="909">
        <v>11</v>
      </c>
      <c r="O5" s="910"/>
      <c r="P5" s="911"/>
    </row>
    <row r="6" spans="1:16" x14ac:dyDescent="0.3">
      <c r="A6" s="291" t="s">
        <v>422</v>
      </c>
      <c r="B6" s="296">
        <v>0.28699999999999998</v>
      </c>
      <c r="C6" s="292">
        <v>0.26300000000000001</v>
      </c>
      <c r="D6" s="292">
        <v>0.253</v>
      </c>
      <c r="E6" s="946"/>
      <c r="L6" s="908"/>
      <c r="M6" s="503" t="s">
        <v>423</v>
      </c>
      <c r="N6" s="909">
        <v>128</v>
      </c>
      <c r="O6" s="910"/>
      <c r="P6" s="911"/>
    </row>
    <row r="7" spans="1:16" x14ac:dyDescent="0.3">
      <c r="A7" s="291" t="s">
        <v>424</v>
      </c>
      <c r="B7" s="297">
        <v>0.16</v>
      </c>
      <c r="C7" s="293">
        <v>0.17100000000000001</v>
      </c>
      <c r="D7" s="293">
        <v>0.16800000000000001</v>
      </c>
      <c r="E7" s="946"/>
      <c r="L7" s="388" t="s">
        <v>425</v>
      </c>
      <c r="M7" s="503" t="s">
        <v>421</v>
      </c>
      <c r="N7" s="912" t="s">
        <v>426</v>
      </c>
      <c r="O7" s="913"/>
      <c r="P7" s="914"/>
    </row>
    <row r="8" spans="1:16" x14ac:dyDescent="0.3">
      <c r="A8" s="291" t="s">
        <v>427</v>
      </c>
      <c r="B8" s="297">
        <v>0.02</v>
      </c>
      <c r="C8" s="293">
        <v>1.7999999999999999E-2</v>
      </c>
      <c r="D8" s="293">
        <v>1.4E-2</v>
      </c>
      <c r="E8" s="946"/>
      <c r="L8" s="908" t="s">
        <v>428</v>
      </c>
      <c r="M8" s="503" t="s">
        <v>429</v>
      </c>
      <c r="N8" s="909">
        <v>177</v>
      </c>
      <c r="O8" s="910"/>
      <c r="P8" s="911"/>
    </row>
    <row r="9" spans="1:16" x14ac:dyDescent="0.3">
      <c r="A9" s="291" t="s">
        <v>430</v>
      </c>
      <c r="B9" s="297">
        <v>2.5000000000000001E-2</v>
      </c>
      <c r="C9" s="293">
        <v>2.4E-2</v>
      </c>
      <c r="D9" s="293">
        <v>2.9000000000000001E-2</v>
      </c>
      <c r="E9" s="946"/>
      <c r="L9" s="908"/>
      <c r="M9" s="503" t="s">
        <v>431</v>
      </c>
      <c r="N9" s="909">
        <v>5.6</v>
      </c>
      <c r="O9" s="910"/>
      <c r="P9" s="911"/>
    </row>
    <row r="10" spans="1:16" x14ac:dyDescent="0.3">
      <c r="A10" s="291" t="s">
        <v>58</v>
      </c>
      <c r="B10" s="297">
        <v>0.13400000000000001</v>
      </c>
      <c r="C10" s="293">
        <v>0.13400000000000001</v>
      </c>
      <c r="D10" s="293">
        <v>0.13100000000000001</v>
      </c>
      <c r="E10" s="946"/>
      <c r="L10" s="388" t="s">
        <v>432</v>
      </c>
      <c r="M10" s="503" t="s">
        <v>433</v>
      </c>
      <c r="N10" s="909">
        <v>100</v>
      </c>
      <c r="O10" s="910"/>
      <c r="P10" s="911"/>
    </row>
    <row r="11" spans="1:16" x14ac:dyDescent="0.3">
      <c r="A11" s="291" t="s">
        <v>57</v>
      </c>
      <c r="B11" s="297">
        <v>6.9000000000000006E-2</v>
      </c>
      <c r="C11" s="293">
        <v>6.9000000000000006E-2</v>
      </c>
      <c r="D11" s="293">
        <v>6.8000000000000005E-2</v>
      </c>
      <c r="E11" s="946"/>
      <c r="L11" s="933" t="s">
        <v>71</v>
      </c>
      <c r="M11" s="934"/>
      <c r="N11" s="934"/>
      <c r="O11" s="934"/>
      <c r="P11" s="935"/>
    </row>
    <row r="12" spans="1:16" x14ac:dyDescent="0.3">
      <c r="A12" s="291" t="s">
        <v>434</v>
      </c>
      <c r="B12" s="297">
        <v>1.7999999999999999E-2</v>
      </c>
      <c r="C12" s="293">
        <v>1.7999999999999999E-2</v>
      </c>
      <c r="D12" s="293">
        <v>2.1000000000000001E-2</v>
      </c>
      <c r="E12" s="946"/>
      <c r="L12" s="933"/>
      <c r="M12" s="934"/>
      <c r="N12" s="934"/>
      <c r="O12" s="934"/>
      <c r="P12" s="935"/>
    </row>
    <row r="13" spans="1:16" x14ac:dyDescent="0.3">
      <c r="A13" s="291" t="s">
        <v>435</v>
      </c>
      <c r="B13" s="297">
        <v>0.05</v>
      </c>
      <c r="C13" s="293">
        <v>0.05</v>
      </c>
      <c r="D13" s="293">
        <v>5.7000000000000002E-2</v>
      </c>
      <c r="L13" s="388" t="s">
        <v>78</v>
      </c>
      <c r="M13" s="503"/>
      <c r="N13" s="909">
        <v>7</v>
      </c>
      <c r="O13" s="910"/>
      <c r="P13" s="911"/>
    </row>
    <row r="14" spans="1:16" x14ac:dyDescent="0.3">
      <c r="A14" s="291" t="s">
        <v>436</v>
      </c>
      <c r="B14" s="297">
        <v>0.05</v>
      </c>
      <c r="C14" s="293">
        <v>0.05</v>
      </c>
      <c r="D14" s="293">
        <v>5.7000000000000002E-2</v>
      </c>
      <c r="L14" s="388" t="s">
        <v>437</v>
      </c>
      <c r="M14" s="503" t="s">
        <v>421</v>
      </c>
      <c r="N14" s="909">
        <f>N5*N13</f>
        <v>77</v>
      </c>
      <c r="O14" s="910"/>
      <c r="P14" s="911"/>
    </row>
    <row r="15" spans="1:16" x14ac:dyDescent="0.3">
      <c r="A15" s="291" t="s">
        <v>438</v>
      </c>
      <c r="B15" s="297">
        <v>1.2E-2</v>
      </c>
      <c r="C15" s="293">
        <v>1.2E-2</v>
      </c>
      <c r="D15" s="293">
        <v>1.0999999999999999E-2</v>
      </c>
      <c r="L15" s="915" t="s">
        <v>439</v>
      </c>
      <c r="M15" s="918" t="s">
        <v>423</v>
      </c>
      <c r="N15" s="503" t="s">
        <v>440</v>
      </c>
      <c r="O15" s="503" t="s">
        <v>441</v>
      </c>
      <c r="P15" s="389" t="s">
        <v>442</v>
      </c>
    </row>
    <row r="16" spans="1:16" x14ac:dyDescent="0.3">
      <c r="A16" s="291" t="s">
        <v>443</v>
      </c>
      <c r="B16" s="297">
        <v>3.0000000000000001E-3</v>
      </c>
      <c r="C16" s="293">
        <v>3.0000000000000001E-3</v>
      </c>
      <c r="D16" s="293">
        <v>3.0000000000000001E-3</v>
      </c>
      <c r="L16" s="915"/>
      <c r="M16" s="918"/>
      <c r="N16" s="312">
        <f>N6*N13</f>
        <v>896</v>
      </c>
      <c r="O16" s="312">
        <v>805</v>
      </c>
      <c r="P16" s="390">
        <v>672</v>
      </c>
    </row>
    <row r="17" spans="1:16" x14ac:dyDescent="0.3">
      <c r="A17" s="28" t="s">
        <v>444</v>
      </c>
      <c r="B17" s="303"/>
      <c r="C17" s="304"/>
      <c r="D17" s="304"/>
      <c r="L17" s="915" t="s">
        <v>445</v>
      </c>
      <c r="M17" s="918" t="s">
        <v>446</v>
      </c>
      <c r="N17" s="503" t="s">
        <v>447</v>
      </c>
      <c r="O17" s="503" t="s">
        <v>448</v>
      </c>
      <c r="P17" s="389" t="s">
        <v>449</v>
      </c>
    </row>
    <row r="18" spans="1:16" x14ac:dyDescent="0.3">
      <c r="A18" s="291" t="s">
        <v>58</v>
      </c>
      <c r="B18" s="297">
        <v>3.0000000000000001E-3</v>
      </c>
      <c r="C18" s="293">
        <v>2E-3</v>
      </c>
      <c r="D18" s="293">
        <v>3.0000000000000001E-3</v>
      </c>
      <c r="L18" s="915"/>
      <c r="M18" s="918"/>
      <c r="N18" s="312">
        <v>2380</v>
      </c>
      <c r="O18" s="312">
        <v>655</v>
      </c>
      <c r="P18" s="390">
        <v>500</v>
      </c>
    </row>
    <row r="19" spans="1:16" x14ac:dyDescent="0.3">
      <c r="A19" s="291" t="s">
        <v>57</v>
      </c>
      <c r="B19" s="297">
        <v>0.184</v>
      </c>
      <c r="C19" s="293">
        <v>0.186</v>
      </c>
      <c r="D19" s="293">
        <v>0.187</v>
      </c>
      <c r="L19" s="388" t="s">
        <v>450</v>
      </c>
      <c r="M19" s="503" t="s">
        <v>419</v>
      </c>
      <c r="N19" s="916">
        <f>N9*N14</f>
        <v>431.2</v>
      </c>
      <c r="O19" s="916"/>
      <c r="P19" s="917"/>
    </row>
    <row r="20" spans="1:16" x14ac:dyDescent="0.3">
      <c r="A20" s="291" t="s">
        <v>52</v>
      </c>
      <c r="B20" s="297">
        <v>7.0000000000000001E-3</v>
      </c>
      <c r="C20" s="293">
        <v>4.0000000000000001E-3</v>
      </c>
      <c r="D20" s="293">
        <v>6.0000000000000001E-3</v>
      </c>
      <c r="L20" s="933" t="s">
        <v>451</v>
      </c>
      <c r="M20" s="934"/>
      <c r="N20" s="934"/>
      <c r="O20" s="934"/>
      <c r="P20" s="935"/>
    </row>
    <row r="21" spans="1:16" x14ac:dyDescent="0.3">
      <c r="A21" s="291" t="s">
        <v>452</v>
      </c>
      <c r="B21" s="297">
        <v>5.0000000000000001E-3</v>
      </c>
      <c r="C21" s="293">
        <v>4.0000000000000001E-3</v>
      </c>
      <c r="D21" s="293">
        <v>5.0000000000000001E-3</v>
      </c>
      <c r="L21" s="933"/>
      <c r="M21" s="934"/>
      <c r="N21" s="934"/>
      <c r="O21" s="934"/>
      <c r="P21" s="935"/>
    </row>
    <row r="22" spans="1:16" x14ac:dyDescent="0.3">
      <c r="A22" s="294" t="s">
        <v>367</v>
      </c>
      <c r="B22" s="298">
        <v>3.6999999999999998E-2</v>
      </c>
      <c r="C22" s="295">
        <v>3.6999999999999998E-2</v>
      </c>
      <c r="D22" s="295">
        <v>3.7999999999999999E-2</v>
      </c>
      <c r="L22" s="388" t="s">
        <v>79</v>
      </c>
      <c r="M22" s="503"/>
      <c r="N22" s="909">
        <v>3</v>
      </c>
      <c r="O22" s="910"/>
      <c r="P22" s="911"/>
    </row>
    <row r="23" spans="1:16" x14ac:dyDescent="0.3">
      <c r="B23" s="305"/>
      <c r="C23" s="305"/>
      <c r="D23" s="305"/>
      <c r="E23" s="305"/>
      <c r="L23" s="388" t="s">
        <v>437</v>
      </c>
      <c r="M23" s="503" t="s">
        <v>421</v>
      </c>
      <c r="N23" s="909">
        <f>N22*N14</f>
        <v>231</v>
      </c>
      <c r="O23" s="910"/>
      <c r="P23" s="911"/>
    </row>
    <row r="24" spans="1:16" ht="14.7" customHeight="1" x14ac:dyDescent="0.3">
      <c r="H24" s="175"/>
      <c r="I24" s="178"/>
      <c r="L24" s="915" t="s">
        <v>439</v>
      </c>
      <c r="M24" s="918" t="s">
        <v>423</v>
      </c>
      <c r="N24" s="503" t="s">
        <v>440</v>
      </c>
      <c r="O24" s="503" t="s">
        <v>441</v>
      </c>
      <c r="P24" s="389" t="s">
        <v>442</v>
      </c>
    </row>
    <row r="25" spans="1:16" x14ac:dyDescent="0.3">
      <c r="H25" s="175"/>
      <c r="I25" s="178"/>
      <c r="L25" s="915"/>
      <c r="M25" s="918"/>
      <c r="N25" s="312">
        <f>N16</f>
        <v>896</v>
      </c>
      <c r="O25" s="312">
        <f>O16</f>
        <v>805</v>
      </c>
      <c r="P25" s="390">
        <f>P16</f>
        <v>672</v>
      </c>
    </row>
    <row r="26" spans="1:16" x14ac:dyDescent="0.3">
      <c r="H26" s="175"/>
      <c r="I26" s="178"/>
      <c r="L26" s="915" t="s">
        <v>453</v>
      </c>
      <c r="M26" s="918" t="s">
        <v>446</v>
      </c>
      <c r="N26" s="503" t="s">
        <v>447</v>
      </c>
      <c r="O26" s="503" t="s">
        <v>448</v>
      </c>
      <c r="P26" s="389" t="s">
        <v>449</v>
      </c>
    </row>
    <row r="27" spans="1:16" x14ac:dyDescent="0.3">
      <c r="A27" s="921" t="s">
        <v>462</v>
      </c>
      <c r="B27" s="921"/>
      <c r="C27" s="921"/>
      <c r="D27" s="921"/>
      <c r="E27" s="921"/>
      <c r="F27" s="921"/>
      <c r="G27" s="921"/>
      <c r="H27" s="404"/>
      <c r="I27" s="220"/>
      <c r="L27" s="915"/>
      <c r="M27" s="918"/>
      <c r="N27" s="312">
        <f>N18</f>
        <v>2380</v>
      </c>
      <c r="O27" s="312">
        <f>O18*N22</f>
        <v>1965</v>
      </c>
      <c r="P27" s="390">
        <f>P18</f>
        <v>500</v>
      </c>
    </row>
    <row r="28" spans="1:16" ht="15" customHeight="1" thickBot="1" x14ac:dyDescent="0.35">
      <c r="A28" s="921"/>
      <c r="B28" s="921"/>
      <c r="C28" s="921"/>
      <c r="D28" s="921"/>
      <c r="E28" s="921"/>
      <c r="F28" s="921"/>
      <c r="G28" s="921"/>
      <c r="H28" s="404"/>
      <c r="I28" s="220"/>
      <c r="L28" s="391" t="s">
        <v>450</v>
      </c>
      <c r="M28" s="392" t="s">
        <v>419</v>
      </c>
      <c r="N28" s="930">
        <f>N19*N22</f>
        <v>1293.5999999999999</v>
      </c>
      <c r="O28" s="931"/>
      <c r="P28" s="932"/>
    </row>
    <row r="29" spans="1:16" ht="15" customHeight="1" x14ac:dyDescent="0.3">
      <c r="A29" s="920" t="s">
        <v>454</v>
      </c>
      <c r="B29" s="922" t="s">
        <v>69</v>
      </c>
      <c r="C29" s="920" t="s">
        <v>73</v>
      </c>
      <c r="D29" s="920" t="s">
        <v>455</v>
      </c>
      <c r="E29" s="920" t="s">
        <v>456</v>
      </c>
      <c r="F29" s="920" t="s">
        <v>457</v>
      </c>
      <c r="G29" s="920" t="s">
        <v>463</v>
      </c>
      <c r="H29" s="406"/>
      <c r="I29" s="220"/>
      <c r="L29" s="4"/>
      <c r="M29" s="24"/>
      <c r="N29" s="403"/>
      <c r="O29" s="403"/>
      <c r="P29" s="403"/>
    </row>
    <row r="30" spans="1:16" x14ac:dyDescent="0.3">
      <c r="A30" s="920"/>
      <c r="B30" s="923"/>
      <c r="C30" s="920"/>
      <c r="D30" s="920"/>
      <c r="E30" s="920"/>
      <c r="F30" s="920"/>
      <c r="G30" s="920"/>
      <c r="H30" s="24"/>
      <c r="I30" s="24"/>
    </row>
    <row r="31" spans="1:16" x14ac:dyDescent="0.3">
      <c r="A31" s="502" t="s">
        <v>459</v>
      </c>
      <c r="B31" s="497" t="s">
        <v>464</v>
      </c>
      <c r="C31" s="408" t="s">
        <v>465</v>
      </c>
      <c r="D31" s="497">
        <v>253</v>
      </c>
      <c r="E31" s="497">
        <v>26.6</v>
      </c>
      <c r="F31" s="497">
        <v>172</v>
      </c>
      <c r="G31" s="497"/>
      <c r="H31" s="24"/>
      <c r="I31" s="24"/>
    </row>
    <row r="32" spans="1:16" x14ac:dyDescent="0.3">
      <c r="A32" s="919" t="s">
        <v>466</v>
      </c>
      <c r="B32" s="497" t="s">
        <v>467</v>
      </c>
      <c r="C32" s="409" t="s">
        <v>80</v>
      </c>
      <c r="D32" s="497">
        <v>253</v>
      </c>
      <c r="E32" s="497">
        <v>40.9</v>
      </c>
      <c r="F32" s="497">
        <v>179.7</v>
      </c>
      <c r="G32" s="497"/>
      <c r="H32" s="405"/>
      <c r="I32" s="24"/>
    </row>
    <row r="33" spans="1:9" x14ac:dyDescent="0.3">
      <c r="A33" s="919"/>
      <c r="B33" s="497" t="s">
        <v>416</v>
      </c>
      <c r="C33" s="409" t="s">
        <v>80</v>
      </c>
      <c r="D33" s="497">
        <v>253</v>
      </c>
      <c r="E33" s="497">
        <v>46.2</v>
      </c>
      <c r="F33" s="497">
        <v>160.19999999999999</v>
      </c>
      <c r="G33" s="497"/>
      <c r="H33" s="24"/>
      <c r="I33" s="24"/>
    </row>
    <row r="34" spans="1:9" x14ac:dyDescent="0.3">
      <c r="A34" s="919"/>
      <c r="B34" s="497" t="s">
        <v>417</v>
      </c>
      <c r="C34" s="266" t="s">
        <v>80</v>
      </c>
      <c r="D34" s="497">
        <v>253</v>
      </c>
      <c r="E34" s="497">
        <v>52.9</v>
      </c>
      <c r="F34" s="497">
        <v>140.30000000000001</v>
      </c>
      <c r="G34" s="497"/>
      <c r="H34" s="24"/>
      <c r="I34" s="24"/>
    </row>
    <row r="35" spans="1:9" x14ac:dyDescent="0.3">
      <c r="A35" s="919" t="s">
        <v>468</v>
      </c>
      <c r="B35" s="497" t="s">
        <v>415</v>
      </c>
      <c r="C35" s="266" t="s">
        <v>80</v>
      </c>
      <c r="D35" s="497">
        <v>226</v>
      </c>
      <c r="E35" s="498">
        <v>35</v>
      </c>
      <c r="F35" s="498">
        <v>135</v>
      </c>
      <c r="G35" s="497"/>
      <c r="H35" s="24"/>
      <c r="I35" s="24"/>
    </row>
    <row r="36" spans="1:9" x14ac:dyDescent="0.3">
      <c r="A36" s="919"/>
      <c r="B36" s="497" t="s">
        <v>415</v>
      </c>
      <c r="C36" s="266" t="s">
        <v>53</v>
      </c>
      <c r="D36" s="497">
        <v>226</v>
      </c>
      <c r="E36" s="498">
        <v>35</v>
      </c>
      <c r="F36" s="498">
        <v>100</v>
      </c>
      <c r="G36" s="497">
        <v>11.3</v>
      </c>
      <c r="H36" s="24"/>
      <c r="I36" s="24"/>
    </row>
    <row r="37" spans="1:9" x14ac:dyDescent="0.3">
      <c r="A37" s="16" t="s">
        <v>461</v>
      </c>
      <c r="B37" s="312" t="s">
        <v>415</v>
      </c>
      <c r="C37" s="270" t="s">
        <v>458</v>
      </c>
      <c r="D37" s="312">
        <v>165</v>
      </c>
      <c r="E37" s="312">
        <v>23.5</v>
      </c>
      <c r="F37" s="498">
        <v>72.900000000000006</v>
      </c>
      <c r="G37" s="501"/>
    </row>
    <row r="38" spans="1:9" x14ac:dyDescent="0.3">
      <c r="A38" s="16" t="s">
        <v>460</v>
      </c>
      <c r="B38" s="312" t="s">
        <v>469</v>
      </c>
      <c r="C38" s="501" t="s">
        <v>247</v>
      </c>
      <c r="D38" s="312">
        <v>303</v>
      </c>
      <c r="E38" s="312">
        <v>24</v>
      </c>
      <c r="F38" s="312">
        <v>140</v>
      </c>
      <c r="G38" s="1"/>
    </row>
    <row r="42" spans="1:9" ht="14.7" customHeight="1" x14ac:dyDescent="0.3">
      <c r="A42" s="920" t="s">
        <v>73</v>
      </c>
      <c r="B42" s="920" t="s">
        <v>457</v>
      </c>
      <c r="C42" s="920" t="s">
        <v>463</v>
      </c>
    </row>
    <row r="43" spans="1:9" x14ac:dyDescent="0.3">
      <c r="A43" s="920"/>
      <c r="B43" s="920"/>
      <c r="C43" s="920"/>
    </row>
    <row r="44" spans="1:9" x14ac:dyDescent="0.3">
      <c r="A44" s="1" t="s">
        <v>80</v>
      </c>
      <c r="B44" s="312">
        <f>IFERROR(AVERAGE(F32:F35),"")</f>
        <v>153.80000000000001</v>
      </c>
      <c r="C44" s="312"/>
    </row>
    <row r="45" spans="1:9" x14ac:dyDescent="0.3">
      <c r="A45" s="1" t="s">
        <v>465</v>
      </c>
      <c r="B45" s="312">
        <f>IFERROR(F31,"")</f>
        <v>172</v>
      </c>
      <c r="C45" s="312"/>
    </row>
    <row r="46" spans="1:9" x14ac:dyDescent="0.3">
      <c r="A46" s="1" t="s">
        <v>53</v>
      </c>
      <c r="B46" s="312">
        <f>IFERROR(F36,"")</f>
        <v>100</v>
      </c>
      <c r="C46" s="312">
        <f>IFERROR(G36,"")</f>
        <v>11.3</v>
      </c>
    </row>
    <row r="47" spans="1:9" x14ac:dyDescent="0.3">
      <c r="A47" s="1" t="s">
        <v>247</v>
      </c>
      <c r="B47" s="312">
        <f>IFERROR(140,"")</f>
        <v>140</v>
      </c>
      <c r="C47" s="1"/>
    </row>
    <row r="48" spans="1:9" x14ac:dyDescent="0.3">
      <c r="A48" s="1" t="s">
        <v>458</v>
      </c>
      <c r="B48" s="312">
        <f>F37</f>
        <v>72.900000000000006</v>
      </c>
      <c r="C48" s="312"/>
    </row>
    <row r="56" spans="8:8" x14ac:dyDescent="0.3">
      <c r="H56" s="410"/>
    </row>
    <row r="57" spans="8:8" x14ac:dyDescent="0.3">
      <c r="H57" s="410"/>
    </row>
    <row r="58" spans="8:8" x14ac:dyDescent="0.3">
      <c r="H58" s="411"/>
    </row>
    <row r="59" spans="8:8" x14ac:dyDescent="0.3">
      <c r="H59" s="411"/>
    </row>
    <row r="60" spans="8:8" x14ac:dyDescent="0.3">
      <c r="H60" s="411"/>
    </row>
    <row r="61" spans="8:8" x14ac:dyDescent="0.3">
      <c r="H61" s="14"/>
    </row>
    <row r="62" spans="8:8" x14ac:dyDescent="0.3">
      <c r="H62" s="14"/>
    </row>
    <row r="63" spans="8:8" x14ac:dyDescent="0.3">
      <c r="H63" s="14"/>
    </row>
    <row r="64" spans="8:8" x14ac:dyDescent="0.3">
      <c r="H64" s="14"/>
    </row>
    <row r="65" spans="8:8" x14ac:dyDescent="0.3">
      <c r="H65" s="14"/>
    </row>
  </sheetData>
  <mergeCells count="39">
    <mergeCell ref="A35:A36"/>
    <mergeCell ref="C42:C43"/>
    <mergeCell ref="A2:D3"/>
    <mergeCell ref="N28:P28"/>
    <mergeCell ref="L20:P21"/>
    <mergeCell ref="L26:L27"/>
    <mergeCell ref="M26:M27"/>
    <mergeCell ref="A42:A43"/>
    <mergeCell ref="B42:B43"/>
    <mergeCell ref="L11:P12"/>
    <mergeCell ref="L3:P4"/>
    <mergeCell ref="N22:P22"/>
    <mergeCell ref="N23:P23"/>
    <mergeCell ref="L24:L25"/>
    <mergeCell ref="M24:M25"/>
    <mergeCell ref="A32:A34"/>
    <mergeCell ref="G29:G30"/>
    <mergeCell ref="A27:G28"/>
    <mergeCell ref="C29:C30"/>
    <mergeCell ref="A29:A30"/>
    <mergeCell ref="D29:D30"/>
    <mergeCell ref="E29:E30"/>
    <mergeCell ref="F29:F30"/>
    <mergeCell ref="B29:B30"/>
    <mergeCell ref="N10:P10"/>
    <mergeCell ref="L15:L16"/>
    <mergeCell ref="N13:P13"/>
    <mergeCell ref="N14:P14"/>
    <mergeCell ref="N19:P19"/>
    <mergeCell ref="L17:L18"/>
    <mergeCell ref="M15:M16"/>
    <mergeCell ref="M17:M18"/>
    <mergeCell ref="L5:L6"/>
    <mergeCell ref="L8:L9"/>
    <mergeCell ref="N5:P5"/>
    <mergeCell ref="N6:P6"/>
    <mergeCell ref="N7:P7"/>
    <mergeCell ref="N8:P8"/>
    <mergeCell ref="N9:P9"/>
  </mergeCells>
  <pageMargins left="0.7" right="0.7" top="0.75" bottom="0.75" header="0.3" footer="0.3"/>
  <pageSetup paperSize="9" orientation="portrait" r:id="rId1"/>
  <ignoredErrors>
    <ignoredError sqref="N7" twoDigitTextYear="1"/>
    <ignoredError sqref="B44" formulaRange="1"/>
    <ignoredError sqref="O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F102-CD52-41E1-8258-120E1B3A4ECC}">
  <dimension ref="B6:G84"/>
  <sheetViews>
    <sheetView zoomScale="50" zoomScaleNormal="50" workbookViewId="0">
      <selection activeCell="C16" sqref="C16"/>
    </sheetView>
  </sheetViews>
  <sheetFormatPr baseColWidth="10" defaultRowHeight="14.4" x14ac:dyDescent="0.3"/>
  <cols>
    <col min="2" max="2" width="25.33203125" bestFit="1" customWidth="1"/>
    <col min="3" max="4" width="17.33203125" bestFit="1" customWidth="1"/>
    <col min="6" max="6" width="25" bestFit="1" customWidth="1"/>
    <col min="7" max="7" width="11.88671875" bestFit="1" customWidth="1"/>
  </cols>
  <sheetData>
    <row r="6" spans="2:4" ht="28.8" x14ac:dyDescent="0.3">
      <c r="B6" s="558"/>
      <c r="C6" s="516" t="s">
        <v>480</v>
      </c>
      <c r="D6" s="517" t="s">
        <v>481</v>
      </c>
    </row>
    <row r="7" spans="2:4" x14ac:dyDescent="0.3">
      <c r="B7" s="505">
        <v>0</v>
      </c>
      <c r="C7" s="235">
        <f>'Source of CO2'!G8</f>
        <v>42116.764845970407</v>
      </c>
      <c r="D7" s="235">
        <f>'Source of CO2'!O8</f>
        <v>2931.9212112</v>
      </c>
    </row>
    <row r="8" spans="2:4" x14ac:dyDescent="0.3">
      <c r="B8" s="311">
        <v>1</v>
      </c>
      <c r="C8" s="512">
        <f>'Source of CO2'!G12</f>
        <v>42151.683788903742</v>
      </c>
      <c r="D8" s="512">
        <f>'Source of CO2'!O10</f>
        <v>61819.032322311119</v>
      </c>
    </row>
    <row r="9" spans="2:4" x14ac:dyDescent="0.3">
      <c r="B9" s="509">
        <v>2</v>
      </c>
      <c r="C9" s="510">
        <f>'Source of CO2'!G13</f>
        <v>42186.602731837076</v>
      </c>
      <c r="D9" s="510">
        <f>'Source of CO2'!O11</f>
        <v>120706.14343342223</v>
      </c>
    </row>
    <row r="10" spans="2:4" x14ac:dyDescent="0.3">
      <c r="B10" s="311">
        <v>3</v>
      </c>
      <c r="C10" s="512">
        <f>'Source of CO2'!G14</f>
        <v>42221.521674770411</v>
      </c>
      <c r="D10" s="512">
        <f>'Source of CO2'!O12</f>
        <v>179593.25454453335</v>
      </c>
    </row>
    <row r="11" spans="2:4" x14ac:dyDescent="0.3">
      <c r="B11" s="509">
        <v>4</v>
      </c>
      <c r="C11" s="510">
        <f>'Source of CO2'!G15</f>
        <v>42256.440617703745</v>
      </c>
      <c r="D11" s="510">
        <f>'Source of CO2'!O13</f>
        <v>238480.36565564448</v>
      </c>
    </row>
    <row r="12" spans="2:4" x14ac:dyDescent="0.3">
      <c r="B12" s="311">
        <v>5</v>
      </c>
      <c r="C12" s="512">
        <f>'Source of CO2'!G16</f>
        <v>42291.35956063708</v>
      </c>
      <c r="D12" s="512">
        <f>'Source of CO2'!O14</f>
        <v>297367.47676675557</v>
      </c>
    </row>
    <row r="13" spans="2:4" x14ac:dyDescent="0.3">
      <c r="B13" s="509">
        <v>6</v>
      </c>
      <c r="C13" s="510">
        <f>'Source of CO2'!G17</f>
        <v>42326.278503570415</v>
      </c>
      <c r="D13" s="510">
        <f>'Source of CO2'!O15</f>
        <v>356254.5878778667</v>
      </c>
    </row>
    <row r="14" spans="2:4" x14ac:dyDescent="0.3">
      <c r="B14" s="311">
        <v>7</v>
      </c>
      <c r="C14" s="512">
        <f>'Source of CO2'!G18</f>
        <v>42361.197446503749</v>
      </c>
      <c r="D14" s="512">
        <f>'Source of CO2'!O16</f>
        <v>415141.69898897782</v>
      </c>
    </row>
    <row r="15" spans="2:4" x14ac:dyDescent="0.3">
      <c r="B15" s="509">
        <v>8</v>
      </c>
      <c r="C15" s="510">
        <f>'Source of CO2'!G19</f>
        <v>42396.116389437084</v>
      </c>
      <c r="D15" s="510">
        <f>'Source of CO2'!O17</f>
        <v>474028.81010008894</v>
      </c>
    </row>
    <row r="16" spans="2:4" x14ac:dyDescent="0.3">
      <c r="B16" s="311">
        <v>9</v>
      </c>
      <c r="C16" s="512">
        <f>'Source of CO2'!G20</f>
        <v>42431.035332370418</v>
      </c>
      <c r="D16" s="512">
        <f>'Source of CO2'!O18</f>
        <v>532915.92121120007</v>
      </c>
    </row>
    <row r="17" spans="2:4" x14ac:dyDescent="0.3">
      <c r="B17" s="509">
        <v>10</v>
      </c>
      <c r="C17" s="510">
        <f>'Source of CO2'!G21</f>
        <v>78263.808314702444</v>
      </c>
      <c r="D17" s="510">
        <f>'Source of CO2'!O19</f>
        <v>591803.03232231119</v>
      </c>
    </row>
    <row r="18" spans="2:4" x14ac:dyDescent="0.3">
      <c r="B18" s="311">
        <v>11</v>
      </c>
      <c r="C18" s="512">
        <f>'Source of CO2'!G24</f>
        <v>78298.727257635779</v>
      </c>
      <c r="D18" s="512">
        <f>'Source of CO2'!O20</f>
        <v>650690.14343342232</v>
      </c>
    </row>
    <row r="19" spans="2:4" x14ac:dyDescent="0.3">
      <c r="B19" s="509">
        <v>12</v>
      </c>
      <c r="C19" s="510">
        <f>'Source of CO2'!G25</f>
        <v>78333.646200569114</v>
      </c>
      <c r="D19" s="510">
        <f>'Source of CO2'!O21</f>
        <v>709577.25454453344</v>
      </c>
    </row>
    <row r="20" spans="2:4" x14ac:dyDescent="0.3">
      <c r="B20" s="311">
        <v>13</v>
      </c>
      <c r="C20" s="512">
        <f>'Source of CO2'!G26</f>
        <v>78368.565143502448</v>
      </c>
      <c r="D20" s="512">
        <f>'Source of CO2'!O22</f>
        <v>768464.36565564456</v>
      </c>
    </row>
    <row r="21" spans="2:4" x14ac:dyDescent="0.3">
      <c r="B21" s="509">
        <v>14</v>
      </c>
      <c r="C21" s="510">
        <f>'Source of CO2'!G27</f>
        <v>78403.484086435783</v>
      </c>
      <c r="D21" s="510">
        <f>'Source of CO2'!O23</f>
        <v>827351.47676675569</v>
      </c>
    </row>
    <row r="22" spans="2:4" x14ac:dyDescent="0.3">
      <c r="B22" s="311">
        <v>15</v>
      </c>
      <c r="C22" s="512">
        <f>'Source of CO2'!G28</f>
        <v>78438.403029369118</v>
      </c>
      <c r="D22" s="512">
        <f>'Source of CO2'!O24</f>
        <v>886238.58787786681</v>
      </c>
    </row>
    <row r="23" spans="2:4" x14ac:dyDescent="0.3">
      <c r="B23" s="509">
        <v>16</v>
      </c>
      <c r="C23" s="510">
        <f>'Source of CO2'!G29</f>
        <v>78473.321972302452</v>
      </c>
      <c r="D23" s="510">
        <f>'Source of CO2'!O25</f>
        <v>945125.69898897794</v>
      </c>
    </row>
    <row r="24" spans="2:4" x14ac:dyDescent="0.3">
      <c r="B24" s="311">
        <v>17</v>
      </c>
      <c r="C24" s="512">
        <f>'Source of CO2'!G30</f>
        <v>78508.240915235787</v>
      </c>
      <c r="D24" s="512">
        <f>'Source of CO2'!O26</f>
        <v>1004012.8101000891</v>
      </c>
    </row>
    <row r="25" spans="2:4" x14ac:dyDescent="0.3">
      <c r="B25" s="509">
        <v>18</v>
      </c>
      <c r="C25" s="510">
        <f>'Source of CO2'!G31</f>
        <v>78543.159858169121</v>
      </c>
      <c r="D25" s="510">
        <f>'Source of CO2'!O27</f>
        <v>1062899.9212112001</v>
      </c>
    </row>
    <row r="26" spans="2:4" x14ac:dyDescent="0.3">
      <c r="B26" s="311">
        <v>19</v>
      </c>
      <c r="C26" s="512">
        <f>'Source of CO2'!G32</f>
        <v>78578.078801102456</v>
      </c>
      <c r="D26" s="512">
        <f>'Source of CO2'!O28</f>
        <v>1121787.0323223111</v>
      </c>
    </row>
    <row r="27" spans="2:4" x14ac:dyDescent="0.3">
      <c r="B27" s="509">
        <v>20</v>
      </c>
      <c r="C27" s="510">
        <f>'Source of CO2'!G33</f>
        <v>78612.997744035791</v>
      </c>
      <c r="D27" s="510">
        <f>'Source of CO2'!O29</f>
        <v>1180674.1434334221</v>
      </c>
    </row>
    <row r="79" spans="2:7" x14ac:dyDescent="0.3">
      <c r="B79" s="625" t="s">
        <v>496</v>
      </c>
      <c r="C79" s="625"/>
      <c r="F79" s="625" t="s">
        <v>151</v>
      </c>
      <c r="G79" s="625"/>
    </row>
    <row r="80" spans="2:7" x14ac:dyDescent="0.3">
      <c r="B80" s="18" t="s">
        <v>482</v>
      </c>
      <c r="C80" s="557">
        <f>'Source of CO2'!F8</f>
        <v>5977.1132856213408</v>
      </c>
      <c r="F80" s="18" t="s">
        <v>482</v>
      </c>
      <c r="G80" s="557">
        <f>'Source of CO2'!N8</f>
        <v>2704.7748000000001</v>
      </c>
    </row>
    <row r="81" spans="2:7" x14ac:dyDescent="0.3">
      <c r="B81" s="18" t="s">
        <v>483</v>
      </c>
      <c r="C81" s="557">
        <f>'Source of CO2'!F9+'Source of CO2'!F21</f>
        <v>71055.600000000006</v>
      </c>
      <c r="F81" s="18" t="s">
        <v>485</v>
      </c>
      <c r="G81" s="557">
        <f>'Source of CO2'!N9</f>
        <v>227.14641119999996</v>
      </c>
    </row>
    <row r="82" spans="2:7" x14ac:dyDescent="0.3">
      <c r="B82" s="18" t="s">
        <v>485</v>
      </c>
      <c r="C82" s="557">
        <f>'Source of CO2'!F10</f>
        <v>341.79752095037946</v>
      </c>
      <c r="F82" s="18" t="s">
        <v>471</v>
      </c>
      <c r="G82" s="557">
        <f>Operation!U38</f>
        <v>1177742.2222222222</v>
      </c>
    </row>
    <row r="83" spans="2:7" x14ac:dyDescent="0.3">
      <c r="B83" s="18" t="s">
        <v>484</v>
      </c>
      <c r="C83" s="557">
        <f>'Source of CO2'!F11+'Source of CO2'!F22</f>
        <v>540.10807879737149</v>
      </c>
    </row>
    <row r="84" spans="2:7" x14ac:dyDescent="0.3">
      <c r="B84" s="18" t="s">
        <v>471</v>
      </c>
      <c r="C84" s="20">
        <f>Operation!H38</f>
        <v>698.3788586666667</v>
      </c>
    </row>
  </sheetData>
  <mergeCells count="2">
    <mergeCell ref="B79:C79"/>
    <mergeCell ref="F79:G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171E-D38B-48BD-A734-B49084ECD557}">
  <sheetPr codeName="Ark2">
    <tabColor rgb="FFDDEBF7"/>
  </sheetPr>
  <dimension ref="A1:AH50"/>
  <sheetViews>
    <sheetView zoomScale="50" zoomScaleNormal="50" workbookViewId="0">
      <selection activeCell="K10" sqref="K10"/>
    </sheetView>
  </sheetViews>
  <sheetFormatPr baseColWidth="10" defaultColWidth="11.44140625" defaultRowHeight="14.4" x14ac:dyDescent="0.3"/>
  <cols>
    <col min="2" max="2" width="16.21875" customWidth="1"/>
    <col min="4" max="4" width="47.77734375" customWidth="1"/>
    <col min="5" max="5" width="5.77734375" customWidth="1"/>
    <col min="6" max="6" width="31.21875" customWidth="1"/>
    <col min="8" max="8" width="47.21875" customWidth="1"/>
  </cols>
  <sheetData>
    <row r="1" spans="1:34" ht="47.25" customHeight="1" x14ac:dyDescent="0.3">
      <c r="A1" s="56"/>
      <c r="B1" s="580" t="s">
        <v>15</v>
      </c>
      <c r="C1" s="580"/>
      <c r="D1" s="580"/>
      <c r="E1" s="580"/>
      <c r="F1" s="580"/>
      <c r="G1" s="580"/>
      <c r="H1" s="580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x14ac:dyDescent="0.3">
      <c r="A2" s="56"/>
      <c r="B2" s="128" t="s">
        <v>16</v>
      </c>
      <c r="C2" s="128" t="s">
        <v>16</v>
      </c>
      <c r="D2" s="128" t="s">
        <v>16</v>
      </c>
      <c r="E2" s="128" t="s">
        <v>16</v>
      </c>
      <c r="F2" s="128" t="s">
        <v>16</v>
      </c>
      <c r="G2" s="128" t="s">
        <v>16</v>
      </c>
      <c r="H2" s="128" t="s">
        <v>16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28.5" customHeight="1" x14ac:dyDescent="0.3">
      <c r="A3" s="56"/>
      <c r="B3" s="583" t="s">
        <v>17</v>
      </c>
      <c r="C3" s="584"/>
      <c r="D3" s="584"/>
      <c r="E3" s="583" t="s">
        <v>18</v>
      </c>
      <c r="F3" s="584"/>
      <c r="G3" s="584"/>
      <c r="H3" s="58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26.25" customHeight="1" x14ac:dyDescent="0.4">
      <c r="A4" s="56"/>
      <c r="B4" s="586" t="s">
        <v>501</v>
      </c>
      <c r="C4" s="587"/>
      <c r="D4" s="588"/>
      <c r="E4" s="589" t="s">
        <v>19</v>
      </c>
      <c r="F4" s="590"/>
      <c r="G4" s="590"/>
      <c r="H4" s="591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14.7" customHeight="1" x14ac:dyDescent="0.35">
      <c r="A5" s="56"/>
      <c r="B5" s="574"/>
      <c r="C5" s="575"/>
      <c r="D5" s="576"/>
      <c r="E5" s="592"/>
      <c r="F5" s="592"/>
      <c r="G5" s="592"/>
      <c r="H5" s="593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ht="14.7" customHeight="1" x14ac:dyDescent="0.35">
      <c r="A6" s="56"/>
      <c r="B6" s="574"/>
      <c r="C6" s="575"/>
      <c r="D6" s="576"/>
      <c r="E6" s="231" t="s">
        <v>20</v>
      </c>
      <c r="F6" s="581" t="s">
        <v>486</v>
      </c>
      <c r="G6" s="581"/>
      <c r="H6" s="58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14.7" customHeight="1" x14ac:dyDescent="0.35">
      <c r="A7" s="56"/>
      <c r="B7" s="574"/>
      <c r="C7" s="575"/>
      <c r="D7" s="576"/>
      <c r="E7" s="231" t="s">
        <v>21</v>
      </c>
      <c r="F7" s="581" t="s">
        <v>487</v>
      </c>
      <c r="G7" s="581"/>
      <c r="H7" s="582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4.7" customHeight="1" x14ac:dyDescent="0.35">
      <c r="A8" s="56"/>
      <c r="B8" s="574"/>
      <c r="C8" s="575"/>
      <c r="D8" s="576"/>
      <c r="E8" s="532"/>
      <c r="F8" s="943" t="s">
        <v>502</v>
      </c>
      <c r="G8" s="943"/>
      <c r="H8" s="944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14.7" customHeight="1" x14ac:dyDescent="0.35">
      <c r="A9" s="56"/>
      <c r="B9" s="574"/>
      <c r="C9" s="575"/>
      <c r="D9" s="576"/>
      <c r="E9" s="532"/>
      <c r="F9" s="945" t="s">
        <v>503</v>
      </c>
      <c r="G9" s="945"/>
      <c r="H9" s="94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4.7" customHeight="1" x14ac:dyDescent="0.35">
      <c r="A10" s="56"/>
      <c r="B10" s="574"/>
      <c r="C10" s="575"/>
      <c r="D10" s="576"/>
      <c r="E10" s="532"/>
      <c r="F10" s="945" t="s">
        <v>504</v>
      </c>
      <c r="G10" s="945"/>
      <c r="H10" s="94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ht="14.7" customHeight="1" x14ac:dyDescent="0.35">
      <c r="A11" s="56"/>
      <c r="B11" s="574"/>
      <c r="C11" s="575"/>
      <c r="D11" s="576"/>
      <c r="E11" s="532"/>
      <c r="F11" s="945" t="s">
        <v>505</v>
      </c>
      <c r="G11" s="945"/>
      <c r="H11" s="94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ht="14.7" customHeight="1" x14ac:dyDescent="0.35">
      <c r="A12" s="56"/>
      <c r="B12" s="574"/>
      <c r="C12" s="575"/>
      <c r="D12" s="576"/>
      <c r="E12" s="231" t="s">
        <v>22</v>
      </c>
      <c r="F12" s="581" t="s">
        <v>488</v>
      </c>
      <c r="G12" s="581"/>
      <c r="H12" s="58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ht="14.7" customHeight="1" x14ac:dyDescent="0.35">
      <c r="A13" s="56"/>
      <c r="B13" s="574"/>
      <c r="C13" s="575"/>
      <c r="D13" s="576"/>
      <c r="E13" s="231"/>
      <c r="F13" s="594"/>
      <c r="G13" s="594"/>
      <c r="H13" s="59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ht="14.7" customHeight="1" x14ac:dyDescent="0.35">
      <c r="A14" s="56"/>
      <c r="B14" s="577"/>
      <c r="C14" s="578"/>
      <c r="D14" s="579"/>
      <c r="E14" s="232" t="s">
        <v>16</v>
      </c>
      <c r="F14" s="232" t="s">
        <v>16</v>
      </c>
      <c r="G14" s="232" t="s">
        <v>16</v>
      </c>
      <c r="H14" s="233" t="s">
        <v>16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x14ac:dyDescent="0.3">
      <c r="A15" s="56"/>
      <c r="B15" s="571" t="s">
        <v>506</v>
      </c>
      <c r="C15" s="572"/>
      <c r="D15" s="572"/>
      <c r="E15" s="572"/>
      <c r="F15" s="572"/>
      <c r="G15" s="572"/>
      <c r="H15" s="573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14.7" customHeight="1" x14ac:dyDescent="0.3">
      <c r="A16" s="56"/>
      <c r="B16" s="574"/>
      <c r="C16" s="575"/>
      <c r="D16" s="575"/>
      <c r="E16" s="575"/>
      <c r="F16" s="575"/>
      <c r="G16" s="575"/>
      <c r="H16" s="57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14.7" customHeight="1" x14ac:dyDescent="0.3">
      <c r="A17" s="56"/>
      <c r="B17" s="574"/>
      <c r="C17" s="575"/>
      <c r="D17" s="575"/>
      <c r="E17" s="575"/>
      <c r="F17" s="575"/>
      <c r="G17" s="575"/>
      <c r="H17" s="57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14.7" customHeight="1" x14ac:dyDescent="0.3">
      <c r="A18" s="56"/>
      <c r="B18" s="574"/>
      <c r="C18" s="575"/>
      <c r="D18" s="575"/>
      <c r="E18" s="575"/>
      <c r="F18" s="575"/>
      <c r="G18" s="575"/>
      <c r="H18" s="57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14.7" customHeight="1" x14ac:dyDescent="0.3">
      <c r="A19" s="56"/>
      <c r="B19" s="574"/>
      <c r="C19" s="575"/>
      <c r="D19" s="575"/>
      <c r="E19" s="575"/>
      <c r="F19" s="575"/>
      <c r="G19" s="575"/>
      <c r="H19" s="57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6.5" customHeight="1" x14ac:dyDescent="0.3">
      <c r="A20" s="56"/>
      <c r="B20" s="577"/>
      <c r="C20" s="578"/>
      <c r="D20" s="578"/>
      <c r="E20" s="578"/>
      <c r="F20" s="578"/>
      <c r="G20" s="578"/>
      <c r="H20" s="579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x14ac:dyDescent="0.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x14ac:dyDescent="0.3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</sheetData>
  <mergeCells count="15">
    <mergeCell ref="B15:H20"/>
    <mergeCell ref="B1:H1"/>
    <mergeCell ref="F6:H6"/>
    <mergeCell ref="F7:H7"/>
    <mergeCell ref="F8:H8"/>
    <mergeCell ref="F9:H9"/>
    <mergeCell ref="B3:D3"/>
    <mergeCell ref="E3:H3"/>
    <mergeCell ref="B4:D14"/>
    <mergeCell ref="E4:H4"/>
    <mergeCell ref="E5:H5"/>
    <mergeCell ref="F10:H10"/>
    <mergeCell ref="F11:H11"/>
    <mergeCell ref="F12:H12"/>
    <mergeCell ref="F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D5EF-3CC7-4A62-A5B0-6D35D68F4C98}">
  <sheetPr codeName="Ark4">
    <tabColor rgb="FFBFBFBF"/>
  </sheetPr>
  <dimension ref="A1:AV413"/>
  <sheetViews>
    <sheetView zoomScale="50" zoomScaleNormal="50" workbookViewId="0">
      <selection activeCell="Z14" sqref="Z14"/>
    </sheetView>
  </sheetViews>
  <sheetFormatPr baseColWidth="10" defaultColWidth="8.77734375" defaultRowHeight="14.4" x14ac:dyDescent="0.3"/>
  <cols>
    <col min="2" max="2" width="3.44140625" customWidth="1"/>
    <col min="3" max="3" width="18" customWidth="1"/>
    <col min="4" max="4" width="20.77734375" customWidth="1"/>
    <col min="5" max="5" width="21.77734375" customWidth="1"/>
    <col min="6" max="7" width="16.77734375" bestFit="1" customWidth="1"/>
    <col min="8" max="10" width="3.44140625" customWidth="1"/>
    <col min="11" max="11" width="20.77734375" customWidth="1"/>
    <col min="12" max="12" width="21.77734375" customWidth="1"/>
    <col min="13" max="13" width="27.21875" customWidth="1"/>
    <col min="14" max="14" width="15.77734375" bestFit="1" customWidth="1"/>
    <col min="15" max="15" width="16.77734375" customWidth="1"/>
    <col min="16" max="16" width="3.44140625" customWidth="1"/>
  </cols>
  <sheetData>
    <row r="1" spans="1:48" ht="36.6" x14ac:dyDescent="0.7">
      <c r="A1" s="129"/>
      <c r="B1" s="623" t="s">
        <v>23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48" ht="19.95" customHeight="1" x14ac:dyDescent="0.3">
      <c r="A2" s="56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48" ht="19.95" customHeight="1" x14ac:dyDescent="0.3">
      <c r="A3" s="56"/>
      <c r="B3" s="141"/>
      <c r="C3" s="150"/>
      <c r="D3" s="508"/>
      <c r="E3" s="150"/>
      <c r="F3" s="14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ht="19.95" customHeight="1" x14ac:dyDescent="0.3">
      <c r="A4" s="56"/>
      <c r="B4" s="68"/>
      <c r="C4" s="619" t="s">
        <v>490</v>
      </c>
      <c r="D4" s="619"/>
      <c r="E4" s="619"/>
      <c r="F4" s="619"/>
      <c r="G4" s="619"/>
      <c r="H4" s="46"/>
      <c r="I4" s="56"/>
      <c r="J4" s="67"/>
      <c r="K4" s="621" t="s">
        <v>491</v>
      </c>
      <c r="L4" s="621"/>
      <c r="M4" s="621"/>
      <c r="N4" s="621"/>
      <c r="O4" s="621"/>
      <c r="P4" s="50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</row>
    <row r="5" spans="1:48" ht="19.95" customHeight="1" x14ac:dyDescent="0.3">
      <c r="A5" s="56"/>
      <c r="B5" s="39"/>
      <c r="C5" s="620"/>
      <c r="D5" s="620"/>
      <c r="E5" s="620"/>
      <c r="F5" s="620"/>
      <c r="G5" s="620"/>
      <c r="H5" s="47"/>
      <c r="I5" s="56"/>
      <c r="J5" s="52"/>
      <c r="K5" s="622"/>
      <c r="L5" s="622"/>
      <c r="M5" s="622"/>
      <c r="N5" s="622"/>
      <c r="O5" s="622"/>
      <c r="P5" s="5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ht="19.95" customHeight="1" x14ac:dyDescent="0.3">
      <c r="A6" s="56"/>
      <c r="B6" s="39"/>
      <c r="C6" s="599" t="s">
        <v>33</v>
      </c>
      <c r="D6" s="615" t="s">
        <v>470</v>
      </c>
      <c r="E6" s="599" t="s">
        <v>27</v>
      </c>
      <c r="F6" s="599" t="s">
        <v>473</v>
      </c>
      <c r="G6" s="599" t="s">
        <v>479</v>
      </c>
      <c r="H6" s="47"/>
      <c r="I6" s="56"/>
      <c r="J6" s="52"/>
      <c r="K6" s="604" t="s">
        <v>33</v>
      </c>
      <c r="L6" s="605" t="s">
        <v>470</v>
      </c>
      <c r="M6" s="604" t="s">
        <v>27</v>
      </c>
      <c r="N6" s="604" t="s">
        <v>473</v>
      </c>
      <c r="O6" s="604" t="s">
        <v>479</v>
      </c>
      <c r="P6" s="5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ht="19.95" customHeight="1" x14ac:dyDescent="0.3">
      <c r="A7" s="56"/>
      <c r="B7" s="39"/>
      <c r="C7" s="599"/>
      <c r="D7" s="615"/>
      <c r="E7" s="599"/>
      <c r="F7" s="599"/>
      <c r="G7" s="599"/>
      <c r="H7" s="47"/>
      <c r="I7" s="56"/>
      <c r="J7" s="52"/>
      <c r="K7" s="604"/>
      <c r="L7" s="605"/>
      <c r="M7" s="604"/>
      <c r="N7" s="604"/>
      <c r="O7" s="604"/>
      <c r="P7" s="51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ht="19.95" customHeight="1" x14ac:dyDescent="0.3">
      <c r="A8" s="56"/>
      <c r="B8" s="39"/>
      <c r="C8" s="616">
        <v>0</v>
      </c>
      <c r="D8" s="616" t="s">
        <v>29</v>
      </c>
      <c r="E8" s="509" t="s">
        <v>30</v>
      </c>
      <c r="F8" s="510">
        <f>IFERROR(Manufacturing!M11,"")</f>
        <v>5977.1132856213408</v>
      </c>
      <c r="G8" s="600">
        <f>SUM(F8:F11)</f>
        <v>42116.764845970407</v>
      </c>
      <c r="H8" s="276"/>
      <c r="I8" s="277"/>
      <c r="J8" s="279"/>
      <c r="K8" s="606">
        <v>0</v>
      </c>
      <c r="L8" s="506" t="s">
        <v>29</v>
      </c>
      <c r="M8" s="506" t="s">
        <v>475</v>
      </c>
      <c r="N8" s="235">
        <f>IFERROR(Manufacturing!M42,"")</f>
        <v>2704.7748000000001</v>
      </c>
      <c r="O8" s="600">
        <f>SUM(N8:N9)</f>
        <v>2931.9212112</v>
      </c>
      <c r="P8" s="51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ht="19.95" customHeight="1" x14ac:dyDescent="0.3">
      <c r="A9" s="56"/>
      <c r="B9" s="39"/>
      <c r="C9" s="624"/>
      <c r="D9" s="617"/>
      <c r="E9" s="509" t="s">
        <v>31</v>
      </c>
      <c r="F9" s="510">
        <f>IFERROR(Manufacturing!L26,"")</f>
        <v>35527.800000000003</v>
      </c>
      <c r="G9" s="601"/>
      <c r="H9" s="276"/>
      <c r="I9" s="277"/>
      <c r="J9" s="279"/>
      <c r="K9" s="606"/>
      <c r="L9" s="506" t="s">
        <v>32</v>
      </c>
      <c r="M9" s="507" t="s">
        <v>476</v>
      </c>
      <c r="N9" s="235">
        <f>IFERROR(Transport!T76,"")</f>
        <v>227.14641119999996</v>
      </c>
      <c r="O9" s="602"/>
      <c r="P9" s="51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28.8" x14ac:dyDescent="0.3">
      <c r="A10" s="56"/>
      <c r="B10" s="39"/>
      <c r="C10" s="624"/>
      <c r="D10" s="616" t="s">
        <v>32</v>
      </c>
      <c r="E10" s="514" t="s">
        <v>477</v>
      </c>
      <c r="F10" s="510">
        <f>IFERROR(Transport!T14+Transport!T15+Transport!T16+Transport!T17+Transport!T18+Transport!T20+Transport!T21+Transport!R34+Transport!R35+Transport!R37,"")</f>
        <v>341.79752095037946</v>
      </c>
      <c r="G10" s="601"/>
      <c r="H10" s="276"/>
      <c r="I10" s="277"/>
      <c r="J10" s="279"/>
      <c r="K10" s="311">
        <v>1</v>
      </c>
      <c r="L10" s="311" t="s">
        <v>471</v>
      </c>
      <c r="M10" s="311" t="s">
        <v>474</v>
      </c>
      <c r="N10" s="512">
        <f>IFERROR(SUM(Operation!$U$30:$X$30),"")</f>
        <v>58887.111111111117</v>
      </c>
      <c r="O10" s="512">
        <f>O8+N10</f>
        <v>61819.032322311119</v>
      </c>
      <c r="P10" s="51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8" ht="19.95" customHeight="1" x14ac:dyDescent="0.3">
      <c r="A11" s="56"/>
      <c r="B11" s="39"/>
      <c r="C11" s="617"/>
      <c r="D11" s="617"/>
      <c r="E11" s="509" t="s">
        <v>31</v>
      </c>
      <c r="F11" s="510">
        <f>IFERROR(Transport!T23+Transport!T24+Transport!R39+Transport!R40,"")</f>
        <v>270.05403939868575</v>
      </c>
      <c r="G11" s="602"/>
      <c r="H11" s="276"/>
      <c r="I11" s="277"/>
      <c r="J11" s="279"/>
      <c r="K11" s="506">
        <v>2</v>
      </c>
      <c r="L11" s="506" t="s">
        <v>471</v>
      </c>
      <c r="M11" s="506" t="s">
        <v>474</v>
      </c>
      <c r="N11" s="235">
        <f>IFERROR(SUM(Operation!$U$30:$X$30),"")</f>
        <v>58887.111111111117</v>
      </c>
      <c r="O11" s="510">
        <f>O10+N11</f>
        <v>120706.14343342223</v>
      </c>
      <c r="P11" s="5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ht="19.95" customHeight="1" x14ac:dyDescent="0.3">
      <c r="A12" s="56"/>
      <c r="B12" s="39"/>
      <c r="C12" s="311">
        <v>1</v>
      </c>
      <c r="D12" s="511" t="s">
        <v>471</v>
      </c>
      <c r="E12" s="311" t="s">
        <v>474</v>
      </c>
      <c r="F12" s="512">
        <f>IFERROR(SUM(Operation!$H$30:$K$30),"")</f>
        <v>34.918942933333334</v>
      </c>
      <c r="G12" s="512">
        <f>G8+F12</f>
        <v>42151.683788903742</v>
      </c>
      <c r="H12" s="276"/>
      <c r="I12" s="277"/>
      <c r="J12" s="279"/>
      <c r="K12" s="311">
        <v>3</v>
      </c>
      <c r="L12" s="311" t="s">
        <v>471</v>
      </c>
      <c r="M12" s="311" t="s">
        <v>474</v>
      </c>
      <c r="N12" s="512">
        <f>IFERROR(SUM(Operation!$U$30:$X$30),"")</f>
        <v>58887.111111111117</v>
      </c>
      <c r="O12" s="512">
        <f t="shared" ref="O12:O29" si="0">O11+N12</f>
        <v>179593.25454453335</v>
      </c>
      <c r="P12" s="51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</row>
    <row r="13" spans="1:48" ht="19.95" customHeight="1" x14ac:dyDescent="0.3">
      <c r="A13" s="56"/>
      <c r="B13" s="39"/>
      <c r="C13" s="509">
        <v>2</v>
      </c>
      <c r="D13" s="513" t="s">
        <v>471</v>
      </c>
      <c r="E13" s="509" t="s">
        <v>474</v>
      </c>
      <c r="F13" s="510">
        <f>IFERROR(SUM(Operation!$H$30:$K$30),"")</f>
        <v>34.918942933333334</v>
      </c>
      <c r="G13" s="510">
        <f t="shared" ref="G13:G19" si="1">G12+F13</f>
        <v>42186.602731837076</v>
      </c>
      <c r="H13" s="276"/>
      <c r="I13" s="277"/>
      <c r="J13" s="279"/>
      <c r="K13" s="506">
        <v>4</v>
      </c>
      <c r="L13" s="506" t="s">
        <v>471</v>
      </c>
      <c r="M13" s="506" t="s">
        <v>474</v>
      </c>
      <c r="N13" s="235">
        <f>IFERROR(SUM(Operation!$U$30:$X$30),"")</f>
        <v>58887.111111111117</v>
      </c>
      <c r="O13" s="510">
        <f t="shared" si="0"/>
        <v>238480.36565564448</v>
      </c>
      <c r="P13" s="51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48" ht="19.95" customHeight="1" x14ac:dyDescent="0.3">
      <c r="A14" s="56"/>
      <c r="B14" s="39"/>
      <c r="C14" s="311">
        <v>3</v>
      </c>
      <c r="D14" s="511" t="s">
        <v>471</v>
      </c>
      <c r="E14" s="311" t="s">
        <v>474</v>
      </c>
      <c r="F14" s="512">
        <f>IFERROR(SUM(Operation!$H$30:$K$30),"")</f>
        <v>34.918942933333334</v>
      </c>
      <c r="G14" s="512">
        <f t="shared" si="1"/>
        <v>42221.521674770411</v>
      </c>
      <c r="H14" s="276"/>
      <c r="I14" s="277"/>
      <c r="J14" s="279"/>
      <c r="K14" s="311">
        <v>5</v>
      </c>
      <c r="L14" s="311" t="s">
        <v>471</v>
      </c>
      <c r="M14" s="311" t="s">
        <v>474</v>
      </c>
      <c r="N14" s="512">
        <f>IFERROR(SUM(Operation!$U$30:$X$30),"")</f>
        <v>58887.111111111117</v>
      </c>
      <c r="O14" s="512">
        <f t="shared" si="0"/>
        <v>297367.47676675557</v>
      </c>
      <c r="P14" s="51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19.95" customHeight="1" x14ac:dyDescent="0.3">
      <c r="A15" s="56"/>
      <c r="B15" s="39"/>
      <c r="C15" s="509">
        <v>4</v>
      </c>
      <c r="D15" s="513" t="s">
        <v>471</v>
      </c>
      <c r="E15" s="509" t="s">
        <v>474</v>
      </c>
      <c r="F15" s="510">
        <f>IFERROR(SUM(Operation!$H$30:$K$30),"")</f>
        <v>34.918942933333334</v>
      </c>
      <c r="G15" s="510">
        <f t="shared" si="1"/>
        <v>42256.440617703745</v>
      </c>
      <c r="H15" s="276"/>
      <c r="I15" s="277"/>
      <c r="J15" s="279"/>
      <c r="K15" s="506">
        <v>6</v>
      </c>
      <c r="L15" s="506" t="s">
        <v>471</v>
      </c>
      <c r="M15" s="506" t="s">
        <v>474</v>
      </c>
      <c r="N15" s="235">
        <f>IFERROR(SUM(Operation!$U$30:$X$30),"")</f>
        <v>58887.111111111117</v>
      </c>
      <c r="O15" s="510">
        <f t="shared" si="0"/>
        <v>356254.5878778667</v>
      </c>
      <c r="P15" s="51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</row>
    <row r="16" spans="1:48" ht="19.95" customHeight="1" x14ac:dyDescent="0.3">
      <c r="A16" s="56"/>
      <c r="B16" s="39"/>
      <c r="C16" s="311">
        <v>5</v>
      </c>
      <c r="D16" s="511" t="s">
        <v>471</v>
      </c>
      <c r="E16" s="311" t="s">
        <v>474</v>
      </c>
      <c r="F16" s="512">
        <f>IFERROR(SUM(Operation!$H$30:$K$30),"")</f>
        <v>34.918942933333334</v>
      </c>
      <c r="G16" s="512">
        <f t="shared" si="1"/>
        <v>42291.35956063708</v>
      </c>
      <c r="H16" s="276"/>
      <c r="I16" s="277"/>
      <c r="J16" s="279"/>
      <c r="K16" s="311">
        <v>7</v>
      </c>
      <c r="L16" s="311" t="s">
        <v>471</v>
      </c>
      <c r="M16" s="311" t="s">
        <v>474</v>
      </c>
      <c r="N16" s="512">
        <f>IFERROR(SUM(Operation!$U$30:$X$30),"")</f>
        <v>58887.111111111117</v>
      </c>
      <c r="O16" s="512">
        <f t="shared" si="0"/>
        <v>415141.69898897782</v>
      </c>
      <c r="P16" s="51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</row>
    <row r="17" spans="1:48" ht="19.95" customHeight="1" x14ac:dyDescent="0.3">
      <c r="A17" s="56"/>
      <c r="B17" s="39"/>
      <c r="C17" s="506">
        <v>6</v>
      </c>
      <c r="D17" s="513" t="s">
        <v>471</v>
      </c>
      <c r="E17" s="509" t="s">
        <v>474</v>
      </c>
      <c r="F17" s="510">
        <f>IFERROR(SUM(Operation!$H$30:$K$30),"")</f>
        <v>34.918942933333334</v>
      </c>
      <c r="G17" s="510">
        <f t="shared" si="1"/>
        <v>42326.278503570415</v>
      </c>
      <c r="H17" s="276"/>
      <c r="I17" s="277"/>
      <c r="J17" s="279"/>
      <c r="K17" s="506">
        <v>8</v>
      </c>
      <c r="L17" s="506" t="s">
        <v>471</v>
      </c>
      <c r="M17" s="506" t="s">
        <v>474</v>
      </c>
      <c r="N17" s="235">
        <f>IFERROR(SUM(Operation!$U$30:$X$30),"")</f>
        <v>58887.111111111117</v>
      </c>
      <c r="O17" s="510">
        <f t="shared" si="0"/>
        <v>474028.81010008894</v>
      </c>
      <c r="P17" s="51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</row>
    <row r="18" spans="1:48" ht="19.95" customHeight="1" x14ac:dyDescent="0.3">
      <c r="A18" s="56"/>
      <c r="B18" s="39"/>
      <c r="C18" s="311">
        <v>7</v>
      </c>
      <c r="D18" s="511" t="s">
        <v>471</v>
      </c>
      <c r="E18" s="311" t="s">
        <v>474</v>
      </c>
      <c r="F18" s="512">
        <f>IFERROR(SUM(Operation!$H$30:$K$30),"")</f>
        <v>34.918942933333334</v>
      </c>
      <c r="G18" s="512">
        <f t="shared" si="1"/>
        <v>42361.197446503749</v>
      </c>
      <c r="H18" s="276"/>
      <c r="I18" s="277"/>
      <c r="J18" s="279"/>
      <c r="K18" s="311">
        <v>9</v>
      </c>
      <c r="L18" s="311" t="s">
        <v>471</v>
      </c>
      <c r="M18" s="311" t="s">
        <v>474</v>
      </c>
      <c r="N18" s="512">
        <f>IFERROR(SUM(Operation!$U$30:$X$30),"")</f>
        <v>58887.111111111117</v>
      </c>
      <c r="O18" s="512">
        <f t="shared" si="0"/>
        <v>532915.92121120007</v>
      </c>
      <c r="P18" s="51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48" ht="19.95" customHeight="1" x14ac:dyDescent="0.3">
      <c r="A19" s="56"/>
      <c r="B19" s="39"/>
      <c r="C19" s="509">
        <v>8</v>
      </c>
      <c r="D19" s="513" t="s">
        <v>471</v>
      </c>
      <c r="E19" s="509" t="s">
        <v>474</v>
      </c>
      <c r="F19" s="510">
        <f>IFERROR(SUM(Operation!$H$30:$K$30),"")</f>
        <v>34.918942933333334</v>
      </c>
      <c r="G19" s="510">
        <f t="shared" si="1"/>
        <v>42396.116389437084</v>
      </c>
      <c r="H19" s="276"/>
      <c r="I19" s="277"/>
      <c r="J19" s="279"/>
      <c r="K19" s="506">
        <v>10</v>
      </c>
      <c r="L19" s="506" t="s">
        <v>471</v>
      </c>
      <c r="M19" s="506" t="s">
        <v>474</v>
      </c>
      <c r="N19" s="235">
        <f>IFERROR(SUM(Operation!$U$30:$X$30),"")</f>
        <v>58887.111111111117</v>
      </c>
      <c r="O19" s="510">
        <f t="shared" si="0"/>
        <v>591803.03232231119</v>
      </c>
      <c r="P19" s="51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</row>
    <row r="20" spans="1:48" ht="19.95" customHeight="1" x14ac:dyDescent="0.3">
      <c r="A20" s="56"/>
      <c r="B20" s="39"/>
      <c r="C20" s="311">
        <v>9</v>
      </c>
      <c r="D20" s="511" t="s">
        <v>471</v>
      </c>
      <c r="E20" s="311" t="s">
        <v>474</v>
      </c>
      <c r="F20" s="512">
        <f>IFERROR(SUM(Operation!$H$30:$K$30),"")</f>
        <v>34.918942933333334</v>
      </c>
      <c r="G20" s="512">
        <f>G19+F20</f>
        <v>42431.035332370418</v>
      </c>
      <c r="H20" s="276"/>
      <c r="I20" s="277"/>
      <c r="J20" s="279"/>
      <c r="K20" s="311">
        <v>11</v>
      </c>
      <c r="L20" s="311" t="s">
        <v>471</v>
      </c>
      <c r="M20" s="311" t="s">
        <v>474</v>
      </c>
      <c r="N20" s="512">
        <f>IFERROR(SUM(Operation!$U$30:$X$30),"")</f>
        <v>58887.111111111117</v>
      </c>
      <c r="O20" s="512">
        <f t="shared" si="0"/>
        <v>650690.14343342232</v>
      </c>
      <c r="P20" s="51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</row>
    <row r="21" spans="1:48" ht="19.95" customHeight="1" x14ac:dyDescent="0.3">
      <c r="A21" s="56"/>
      <c r="B21" s="39"/>
      <c r="C21" s="618">
        <v>10</v>
      </c>
      <c r="D21" s="513" t="s">
        <v>29</v>
      </c>
      <c r="E21" s="509" t="s">
        <v>31</v>
      </c>
      <c r="F21" s="510">
        <f>IFERROR(Manufacturing!L26,"")</f>
        <v>35527.800000000003</v>
      </c>
      <c r="G21" s="607">
        <f>G20+F21+F22+F23</f>
        <v>78263.808314702444</v>
      </c>
      <c r="H21" s="276"/>
      <c r="I21" s="277"/>
      <c r="J21" s="279"/>
      <c r="K21" s="506">
        <v>12</v>
      </c>
      <c r="L21" s="506" t="s">
        <v>471</v>
      </c>
      <c r="M21" s="506" t="s">
        <v>474</v>
      </c>
      <c r="N21" s="235">
        <f>IFERROR(SUM(Operation!$U$30:$X$30),"")</f>
        <v>58887.111111111117</v>
      </c>
      <c r="O21" s="510">
        <f t="shared" si="0"/>
        <v>709577.25454453344</v>
      </c>
      <c r="P21" s="51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</row>
    <row r="22" spans="1:48" ht="19.95" customHeight="1" x14ac:dyDescent="0.3">
      <c r="A22" s="56"/>
      <c r="B22" s="39"/>
      <c r="C22" s="618"/>
      <c r="D22" s="509" t="s">
        <v>32</v>
      </c>
      <c r="E22" s="509" t="s">
        <v>31</v>
      </c>
      <c r="F22" s="510">
        <f>IFERROR(Transport!T23+Transport!T24+Transport!R39+Transport!R40,"")</f>
        <v>270.05403939868575</v>
      </c>
      <c r="G22" s="607"/>
      <c r="H22" s="276"/>
      <c r="I22" s="277"/>
      <c r="J22" s="279"/>
      <c r="K22" s="311">
        <v>13</v>
      </c>
      <c r="L22" s="311" t="s">
        <v>471</v>
      </c>
      <c r="M22" s="311" t="s">
        <v>474</v>
      </c>
      <c r="N22" s="512">
        <f>IFERROR(SUM(Operation!$U$30:$X$30),"")</f>
        <v>58887.111111111117</v>
      </c>
      <c r="O22" s="512">
        <f t="shared" si="0"/>
        <v>768464.36565564456</v>
      </c>
      <c r="P22" s="51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</row>
    <row r="23" spans="1:48" ht="19.95" customHeight="1" x14ac:dyDescent="0.3">
      <c r="A23" s="56"/>
      <c r="B23" s="39"/>
      <c r="C23" s="618"/>
      <c r="D23" s="509" t="s">
        <v>471</v>
      </c>
      <c r="E23" s="509" t="s">
        <v>474</v>
      </c>
      <c r="F23" s="521">
        <f>IFERROR(SUM(Operation!$H$30:$K$30),"")</f>
        <v>34.918942933333334</v>
      </c>
      <c r="G23" s="607"/>
      <c r="H23" s="276"/>
      <c r="I23" s="277"/>
      <c r="J23" s="279"/>
      <c r="K23" s="506">
        <v>14</v>
      </c>
      <c r="L23" s="506" t="s">
        <v>471</v>
      </c>
      <c r="M23" s="506" t="s">
        <v>474</v>
      </c>
      <c r="N23" s="235">
        <f>IFERROR(SUM(Operation!$U$30:$X$30),"")</f>
        <v>58887.111111111117</v>
      </c>
      <c r="O23" s="510">
        <f t="shared" si="0"/>
        <v>827351.47676675569</v>
      </c>
      <c r="P23" s="51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</row>
    <row r="24" spans="1:48" ht="19.95" customHeight="1" x14ac:dyDescent="0.3">
      <c r="A24" s="56"/>
      <c r="B24" s="39"/>
      <c r="C24" s="522">
        <v>11</v>
      </c>
      <c r="D24" s="522" t="s">
        <v>472</v>
      </c>
      <c r="E24" s="522" t="s">
        <v>474</v>
      </c>
      <c r="F24" s="520">
        <f>IFERROR(SUM(Operation!$H$30:$K$30),"")</f>
        <v>34.918942933333334</v>
      </c>
      <c r="G24" s="520">
        <f>G21+F24</f>
        <v>78298.727257635779</v>
      </c>
      <c r="H24" s="276"/>
      <c r="I24" s="277"/>
      <c r="J24" s="279"/>
      <c r="K24" s="311">
        <v>15</v>
      </c>
      <c r="L24" s="311" t="s">
        <v>471</v>
      </c>
      <c r="M24" s="311" t="s">
        <v>474</v>
      </c>
      <c r="N24" s="512">
        <f>IFERROR(SUM(Operation!$U$30:$X$30),"")</f>
        <v>58887.111111111117</v>
      </c>
      <c r="O24" s="512">
        <f t="shared" si="0"/>
        <v>886238.58787786681</v>
      </c>
      <c r="P24" s="51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</row>
    <row r="25" spans="1:48" ht="19.95" customHeight="1" x14ac:dyDescent="0.3">
      <c r="A25" s="56"/>
      <c r="B25" s="39"/>
      <c r="C25" s="506">
        <v>12</v>
      </c>
      <c r="D25" s="506" t="s">
        <v>472</v>
      </c>
      <c r="E25" s="506" t="s">
        <v>474</v>
      </c>
      <c r="F25" s="235">
        <f>IFERROR(SUM(Operation!$H$30:$K$30),"")</f>
        <v>34.918942933333334</v>
      </c>
      <c r="G25" s="521">
        <f>G24+F25</f>
        <v>78333.646200569114</v>
      </c>
      <c r="H25" s="276"/>
      <c r="I25" s="277"/>
      <c r="J25" s="279"/>
      <c r="K25" s="506">
        <v>16</v>
      </c>
      <c r="L25" s="506" t="s">
        <v>471</v>
      </c>
      <c r="M25" s="506" t="s">
        <v>474</v>
      </c>
      <c r="N25" s="235">
        <f>IFERROR(SUM(Operation!$U$30:$X$30),"")</f>
        <v>58887.111111111117</v>
      </c>
      <c r="O25" s="510">
        <f t="shared" si="0"/>
        <v>945125.69898897794</v>
      </c>
      <c r="P25" s="51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ht="19.95" customHeight="1" x14ac:dyDescent="0.3">
      <c r="A26" s="56"/>
      <c r="B26" s="39"/>
      <c r="C26" s="311">
        <v>13</v>
      </c>
      <c r="D26" s="311" t="s">
        <v>472</v>
      </c>
      <c r="E26" s="311" t="s">
        <v>474</v>
      </c>
      <c r="F26" s="512">
        <f>IFERROR(SUM(Operation!$H$30:$K$30),"")</f>
        <v>34.918942933333334</v>
      </c>
      <c r="G26" s="520">
        <f t="shared" ref="G26:G33" si="2">G25+F26</f>
        <v>78368.565143502448</v>
      </c>
      <c r="H26" s="276"/>
      <c r="I26" s="277"/>
      <c r="J26" s="279"/>
      <c r="K26" s="311">
        <v>17</v>
      </c>
      <c r="L26" s="311" t="s">
        <v>471</v>
      </c>
      <c r="M26" s="311" t="s">
        <v>474</v>
      </c>
      <c r="N26" s="512">
        <f>IFERROR(SUM(Operation!$U$30:$X$30),"")</f>
        <v>58887.111111111117</v>
      </c>
      <c r="O26" s="512">
        <f t="shared" si="0"/>
        <v>1004012.8101000891</v>
      </c>
      <c r="P26" s="51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</row>
    <row r="27" spans="1:48" ht="19.95" customHeight="1" x14ac:dyDescent="0.3">
      <c r="A27" s="56"/>
      <c r="B27" s="39"/>
      <c r="C27" s="509">
        <v>14</v>
      </c>
      <c r="D27" s="506" t="s">
        <v>472</v>
      </c>
      <c r="E27" s="506" t="s">
        <v>474</v>
      </c>
      <c r="F27" s="235">
        <f>IFERROR(SUM(Operation!$H$30:$K$30),"")</f>
        <v>34.918942933333334</v>
      </c>
      <c r="G27" s="521">
        <f t="shared" si="2"/>
        <v>78403.484086435783</v>
      </c>
      <c r="H27" s="276"/>
      <c r="I27" s="277"/>
      <c r="J27" s="279"/>
      <c r="K27" s="506">
        <v>18</v>
      </c>
      <c r="L27" s="506" t="s">
        <v>471</v>
      </c>
      <c r="M27" s="506" t="s">
        <v>474</v>
      </c>
      <c r="N27" s="235">
        <f>IFERROR(SUM(Operation!$U$30:$X$30),"")</f>
        <v>58887.111111111117</v>
      </c>
      <c r="O27" s="510">
        <f t="shared" si="0"/>
        <v>1062899.9212112001</v>
      </c>
      <c r="P27" s="51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</row>
    <row r="28" spans="1:48" ht="19.95" customHeight="1" x14ac:dyDescent="0.3">
      <c r="A28" s="56"/>
      <c r="B28" s="39"/>
      <c r="C28" s="311">
        <v>15</v>
      </c>
      <c r="D28" s="311" t="s">
        <v>472</v>
      </c>
      <c r="E28" s="311" t="s">
        <v>474</v>
      </c>
      <c r="F28" s="512">
        <f>IFERROR(SUM(Operation!$H$30:$K$30),"")</f>
        <v>34.918942933333334</v>
      </c>
      <c r="G28" s="520">
        <f t="shared" si="2"/>
        <v>78438.403029369118</v>
      </c>
      <c r="H28" s="276"/>
      <c r="I28" s="277"/>
      <c r="J28" s="279"/>
      <c r="K28" s="311">
        <v>19</v>
      </c>
      <c r="L28" s="311" t="s">
        <v>471</v>
      </c>
      <c r="M28" s="311" t="s">
        <v>474</v>
      </c>
      <c r="N28" s="512">
        <f>IFERROR(SUM(Operation!$U$30:$X$30),"")</f>
        <v>58887.111111111117</v>
      </c>
      <c r="O28" s="512">
        <f t="shared" si="0"/>
        <v>1121787.0323223111</v>
      </c>
      <c r="P28" s="51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ht="19.95" customHeight="1" x14ac:dyDescent="0.3">
      <c r="A29" s="56"/>
      <c r="B29" s="39"/>
      <c r="C29" s="509">
        <v>16</v>
      </c>
      <c r="D29" s="506" t="s">
        <v>472</v>
      </c>
      <c r="E29" s="506" t="s">
        <v>474</v>
      </c>
      <c r="F29" s="235">
        <f>IFERROR(SUM(Operation!$H$30:$K$30),"")</f>
        <v>34.918942933333334</v>
      </c>
      <c r="G29" s="521">
        <f t="shared" si="2"/>
        <v>78473.321972302452</v>
      </c>
      <c r="H29" s="276"/>
      <c r="I29" s="277"/>
      <c r="J29" s="279"/>
      <c r="K29" s="506">
        <v>20</v>
      </c>
      <c r="L29" s="506" t="s">
        <v>471</v>
      </c>
      <c r="M29" s="506" t="s">
        <v>474</v>
      </c>
      <c r="N29" s="235">
        <f>IFERROR(SUM(Operation!$U$30:$X$30),"")</f>
        <v>58887.111111111117</v>
      </c>
      <c r="O29" s="510">
        <f t="shared" si="0"/>
        <v>1180674.1434334221</v>
      </c>
      <c r="P29" s="51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</row>
    <row r="30" spans="1:48" ht="19.95" customHeight="1" x14ac:dyDescent="0.3">
      <c r="A30" s="56"/>
      <c r="B30" s="39"/>
      <c r="C30" s="311">
        <v>17</v>
      </c>
      <c r="D30" s="311" t="s">
        <v>472</v>
      </c>
      <c r="E30" s="311" t="s">
        <v>474</v>
      </c>
      <c r="F30" s="512">
        <f>IFERROR(SUM(Operation!$H$30:$K$30),"")</f>
        <v>34.918942933333334</v>
      </c>
      <c r="G30" s="520">
        <f t="shared" si="2"/>
        <v>78508.240915235787</v>
      </c>
      <c r="H30" s="276"/>
      <c r="I30" s="277"/>
      <c r="J30" s="279"/>
      <c r="K30" s="598" t="s">
        <v>478</v>
      </c>
      <c r="L30" s="598"/>
      <c r="M30" s="598"/>
      <c r="N30" s="603">
        <f>IFERROR(SUM(N8:N29),"")</f>
        <v>1180674.1434334221</v>
      </c>
      <c r="O30" s="603"/>
      <c r="P30" s="51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48" ht="19.95" customHeight="1" x14ac:dyDescent="0.3">
      <c r="A31" s="56"/>
      <c r="B31" s="39"/>
      <c r="C31" s="506">
        <v>18</v>
      </c>
      <c r="D31" s="506" t="s">
        <v>472</v>
      </c>
      <c r="E31" s="506" t="s">
        <v>474</v>
      </c>
      <c r="F31" s="235">
        <f>IFERROR(SUM(Operation!$H$30:$K$30),"")</f>
        <v>34.918942933333334</v>
      </c>
      <c r="G31" s="521">
        <f t="shared" si="2"/>
        <v>78543.159858169121</v>
      </c>
      <c r="H31" s="276"/>
      <c r="I31" s="277"/>
      <c r="J31" s="279"/>
      <c r="K31" s="598"/>
      <c r="L31" s="598"/>
      <c r="M31" s="598"/>
      <c r="N31" s="603"/>
      <c r="O31" s="603"/>
      <c r="P31" s="51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</row>
    <row r="32" spans="1:48" ht="19.95" customHeight="1" x14ac:dyDescent="0.3">
      <c r="A32" s="56"/>
      <c r="B32" s="39"/>
      <c r="C32" s="311">
        <v>19</v>
      </c>
      <c r="D32" s="311" t="s">
        <v>472</v>
      </c>
      <c r="E32" s="311" t="s">
        <v>474</v>
      </c>
      <c r="F32" s="512">
        <f>IFERROR(SUM(Operation!$H$30:$K$30),"")</f>
        <v>34.918942933333334</v>
      </c>
      <c r="G32" s="520">
        <f t="shared" si="2"/>
        <v>78578.078801102456</v>
      </c>
      <c r="H32" s="276"/>
      <c r="I32" s="277"/>
      <c r="J32" s="518"/>
      <c r="K32" s="519"/>
      <c r="L32" s="519"/>
      <c r="M32" s="519"/>
      <c r="N32" s="519"/>
      <c r="O32" s="519"/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48" ht="19.95" customHeight="1" x14ac:dyDescent="0.3">
      <c r="A33" s="56"/>
      <c r="B33" s="39"/>
      <c r="C33" s="509">
        <v>20</v>
      </c>
      <c r="D33" s="506" t="s">
        <v>472</v>
      </c>
      <c r="E33" s="506" t="s">
        <v>474</v>
      </c>
      <c r="F33" s="235">
        <f>IFERROR(SUM(Operation!$H$30:$K$30),"")</f>
        <v>34.918942933333334</v>
      </c>
      <c r="G33" s="521">
        <f t="shared" si="2"/>
        <v>78612.997744035791</v>
      </c>
      <c r="H33" s="276"/>
      <c r="I33" s="277"/>
      <c r="J33" s="277"/>
      <c r="K33" s="277"/>
      <c r="L33" s="277"/>
      <c r="M33" s="277"/>
      <c r="N33" s="277"/>
      <c r="O33" s="277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48" x14ac:dyDescent="0.3">
      <c r="A34" s="56"/>
      <c r="B34" s="39"/>
      <c r="C34" s="608" t="s">
        <v>28</v>
      </c>
      <c r="D34" s="609"/>
      <c r="E34" s="610"/>
      <c r="F34" s="614">
        <f>IFERROR(SUM(F8:F33),"")</f>
        <v>78612.997744035791</v>
      </c>
      <c r="G34" s="614"/>
      <c r="H34" s="276"/>
      <c r="I34" s="277"/>
      <c r="J34" s="277"/>
      <c r="K34" s="277"/>
      <c r="L34" s="277"/>
      <c r="M34" s="277"/>
      <c r="N34" s="277"/>
      <c r="O34" s="277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48" x14ac:dyDescent="0.3">
      <c r="A35" s="56"/>
      <c r="B35" s="39"/>
      <c r="C35" s="611"/>
      <c r="D35" s="612"/>
      <c r="E35" s="613"/>
      <c r="F35" s="614"/>
      <c r="G35" s="614"/>
      <c r="H35" s="276"/>
      <c r="I35" s="277"/>
      <c r="J35" s="277"/>
      <c r="K35" s="277"/>
      <c r="L35" s="277"/>
      <c r="M35" s="277"/>
      <c r="N35" s="277"/>
      <c r="O35" s="277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 x14ac:dyDescent="0.3">
      <c r="A36" s="56"/>
      <c r="B36" s="69"/>
      <c r="C36" s="70"/>
      <c r="D36" s="70"/>
      <c r="E36" s="70"/>
      <c r="F36" s="70"/>
      <c r="G36" s="70"/>
      <c r="H36" s="8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  <row r="38" spans="1:48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</row>
    <row r="40" spans="1:48" x14ac:dyDescent="0.3">
      <c r="A40" s="56"/>
      <c r="B40" s="56"/>
      <c r="C40" s="596"/>
      <c r="D40" s="597"/>
      <c r="E40" s="59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  <row r="41" spans="1:48" x14ac:dyDescent="0.3">
      <c r="A41" s="56"/>
      <c r="B41" s="56"/>
      <c r="C41" s="596"/>
      <c r="D41" s="597"/>
      <c r="E41" s="59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</row>
    <row r="42" spans="1:48" x14ac:dyDescent="0.3">
      <c r="A42" s="56"/>
      <c r="B42" s="56"/>
      <c r="C42" s="262"/>
      <c r="D42" s="515"/>
      <c r="E42" s="51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x14ac:dyDescent="0.3">
      <c r="A43" s="56"/>
      <c r="B43" s="56"/>
      <c r="C43" s="262"/>
      <c r="D43" s="515"/>
      <c r="E43" s="51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48" x14ac:dyDescent="0.3">
      <c r="A44" s="56"/>
      <c r="B44" s="56"/>
      <c r="C44" s="60"/>
      <c r="D44" s="60"/>
      <c r="E44" s="60"/>
      <c r="F44" s="60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</row>
    <row r="45" spans="1:48" x14ac:dyDescent="0.3">
      <c r="A45" s="56"/>
      <c r="B45" s="56"/>
      <c r="C45" s="60"/>
      <c r="D45" s="60"/>
      <c r="E45" s="60"/>
      <c r="F45" s="60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</row>
    <row r="46" spans="1:48" x14ac:dyDescent="0.3">
      <c r="A46" s="56"/>
      <c r="B46" s="56"/>
      <c r="C46" s="60"/>
      <c r="D46" s="60"/>
      <c r="E46" s="60"/>
      <c r="F46" s="60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48" x14ac:dyDescent="0.3">
      <c r="A47" s="56"/>
      <c r="B47" s="56"/>
      <c r="C47" s="60"/>
      <c r="D47" s="60"/>
      <c r="E47" s="60"/>
      <c r="F47" s="60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48" s="60" customFormat="1" x14ac:dyDescent="0.3"/>
    <row r="49" s="60" customFormat="1" x14ac:dyDescent="0.3"/>
    <row r="50" s="60" customFormat="1" x14ac:dyDescent="0.3"/>
    <row r="51" s="60" customFormat="1" x14ac:dyDescent="0.3"/>
    <row r="52" s="60" customFormat="1" x14ac:dyDescent="0.3"/>
    <row r="53" s="60" customFormat="1" x14ac:dyDescent="0.3"/>
    <row r="54" s="60" customFormat="1" x14ac:dyDescent="0.3"/>
    <row r="55" s="60" customFormat="1" x14ac:dyDescent="0.3"/>
    <row r="56" s="60" customFormat="1" x14ac:dyDescent="0.3"/>
    <row r="57" s="60" customFormat="1" x14ac:dyDescent="0.3"/>
    <row r="58" s="60" customFormat="1" ht="14.55" customHeight="1" x14ac:dyDescent="0.3"/>
    <row r="59" s="60" customFormat="1" x14ac:dyDescent="0.3"/>
    <row r="60" s="60" customFormat="1" x14ac:dyDescent="0.3"/>
    <row r="61" s="60" customFormat="1" x14ac:dyDescent="0.3"/>
    <row r="62" s="60" customFormat="1" x14ac:dyDescent="0.3"/>
    <row r="63" s="60" customFormat="1" x14ac:dyDescent="0.3"/>
    <row r="64" s="60" customFormat="1" x14ac:dyDescent="0.3"/>
    <row r="65" s="60" customFormat="1" x14ac:dyDescent="0.3"/>
    <row r="66" s="60" customFormat="1" x14ac:dyDescent="0.3"/>
    <row r="67" s="60" customFormat="1" x14ac:dyDescent="0.3"/>
    <row r="68" s="60" customFormat="1" x14ac:dyDescent="0.3"/>
    <row r="69" s="60" customFormat="1" x14ac:dyDescent="0.3"/>
    <row r="70" s="60" customFormat="1" x14ac:dyDescent="0.3"/>
    <row r="71" s="60" customFormat="1" x14ac:dyDescent="0.3"/>
    <row r="72" s="60" customFormat="1" x14ac:dyDescent="0.3"/>
    <row r="73" s="60" customFormat="1" x14ac:dyDescent="0.3"/>
    <row r="74" s="60" customFormat="1" x14ac:dyDescent="0.3"/>
    <row r="75" s="60" customFormat="1" x14ac:dyDescent="0.3"/>
    <row r="76" s="60" customFormat="1" x14ac:dyDescent="0.3"/>
    <row r="77" s="60" customFormat="1" x14ac:dyDescent="0.3"/>
    <row r="78" s="60" customFormat="1" x14ac:dyDescent="0.3"/>
    <row r="79" s="60" customFormat="1" x14ac:dyDescent="0.3"/>
    <row r="80" s="60" customFormat="1" x14ac:dyDescent="0.3"/>
    <row r="81" s="60" customFormat="1" x14ac:dyDescent="0.3"/>
    <row r="82" s="60" customFormat="1" x14ac:dyDescent="0.3"/>
    <row r="83" s="60" customFormat="1" x14ac:dyDescent="0.3"/>
    <row r="84" s="60" customFormat="1" x14ac:dyDescent="0.3"/>
    <row r="85" s="60" customFormat="1" x14ac:dyDescent="0.3"/>
    <row r="86" s="60" customFormat="1" x14ac:dyDescent="0.3"/>
    <row r="87" s="60" customFormat="1" x14ac:dyDescent="0.3"/>
    <row r="88" s="60" customFormat="1" x14ac:dyDescent="0.3"/>
    <row r="89" s="60" customFormat="1" x14ac:dyDescent="0.3"/>
    <row r="90" s="60" customFormat="1" x14ac:dyDescent="0.3"/>
    <row r="91" s="60" customFormat="1" x14ac:dyDescent="0.3"/>
    <row r="92" s="60" customFormat="1" x14ac:dyDescent="0.3"/>
    <row r="93" s="60" customFormat="1" x14ac:dyDescent="0.3"/>
    <row r="94" s="60" customFormat="1" x14ac:dyDescent="0.3"/>
    <row r="95" s="60" customFormat="1" x14ac:dyDescent="0.3"/>
    <row r="96" s="60" customFormat="1" x14ac:dyDescent="0.3"/>
    <row r="97" s="60" customFormat="1" x14ac:dyDescent="0.3"/>
    <row r="98" s="60" customFormat="1" x14ac:dyDescent="0.3"/>
    <row r="99" s="60" customFormat="1" x14ac:dyDescent="0.3"/>
    <row r="100" s="60" customFormat="1" x14ac:dyDescent="0.3"/>
    <row r="101" s="60" customFormat="1" x14ac:dyDescent="0.3"/>
    <row r="102" s="60" customFormat="1" x14ac:dyDescent="0.3"/>
    <row r="103" s="60" customFormat="1" x14ac:dyDescent="0.3"/>
    <row r="104" s="60" customFormat="1" x14ac:dyDescent="0.3"/>
    <row r="105" s="60" customFormat="1" x14ac:dyDescent="0.3"/>
    <row r="106" s="60" customFormat="1" x14ac:dyDescent="0.3"/>
    <row r="107" s="60" customFormat="1" x14ac:dyDescent="0.3"/>
    <row r="108" s="60" customFormat="1" x14ac:dyDescent="0.3"/>
    <row r="109" s="60" customFormat="1" x14ac:dyDescent="0.3"/>
    <row r="110" s="60" customFormat="1" x14ac:dyDescent="0.3"/>
    <row r="111" s="60" customFormat="1" x14ac:dyDescent="0.3"/>
    <row r="112" s="60" customFormat="1" x14ac:dyDescent="0.3"/>
    <row r="113" s="60" customFormat="1" x14ac:dyDescent="0.3"/>
    <row r="114" s="60" customFormat="1" x14ac:dyDescent="0.3"/>
    <row r="115" s="60" customFormat="1" x14ac:dyDescent="0.3"/>
    <row r="116" s="60" customFormat="1" x14ac:dyDescent="0.3"/>
    <row r="117" s="60" customFormat="1" x14ac:dyDescent="0.3"/>
    <row r="118" s="60" customFormat="1" x14ac:dyDescent="0.3"/>
    <row r="119" s="60" customFormat="1" x14ac:dyDescent="0.3"/>
    <row r="120" s="60" customFormat="1" x14ac:dyDescent="0.3"/>
    <row r="121" s="60" customFormat="1" x14ac:dyDescent="0.3"/>
    <row r="122" s="60" customFormat="1" x14ac:dyDescent="0.3"/>
    <row r="123" s="60" customFormat="1" x14ac:dyDescent="0.3"/>
    <row r="124" s="60" customFormat="1" x14ac:dyDescent="0.3"/>
    <row r="125" s="60" customFormat="1" x14ac:dyDescent="0.3"/>
    <row r="126" s="60" customFormat="1" x14ac:dyDescent="0.3"/>
    <row r="127" s="60" customFormat="1" x14ac:dyDescent="0.3"/>
    <row r="128" s="60" customFormat="1" x14ac:dyDescent="0.3"/>
    <row r="129" s="60" customFormat="1" x14ac:dyDescent="0.3"/>
    <row r="130" s="60" customFormat="1" x14ac:dyDescent="0.3"/>
    <row r="131" s="60" customFormat="1" x14ac:dyDescent="0.3"/>
    <row r="132" s="60" customFormat="1" x14ac:dyDescent="0.3"/>
    <row r="133" s="60" customFormat="1" x14ac:dyDescent="0.3"/>
    <row r="134" s="60" customFormat="1" x14ac:dyDescent="0.3"/>
    <row r="135" s="60" customFormat="1" x14ac:dyDescent="0.3"/>
    <row r="136" s="60" customFormat="1" x14ac:dyDescent="0.3"/>
    <row r="137" s="60" customFormat="1" x14ac:dyDescent="0.3"/>
    <row r="138" s="60" customFormat="1" x14ac:dyDescent="0.3"/>
    <row r="139" s="60" customFormat="1" x14ac:dyDescent="0.3"/>
    <row r="140" s="60" customFormat="1" x14ac:dyDescent="0.3"/>
    <row r="141" s="60" customFormat="1" x14ac:dyDescent="0.3"/>
    <row r="142" s="60" customFormat="1" x14ac:dyDescent="0.3"/>
    <row r="143" s="60" customFormat="1" x14ac:dyDescent="0.3"/>
    <row r="144" s="60" customFormat="1" x14ac:dyDescent="0.3"/>
    <row r="145" s="60" customFormat="1" x14ac:dyDescent="0.3"/>
    <row r="146" s="60" customFormat="1" x14ac:dyDescent="0.3"/>
    <row r="147" s="60" customFormat="1" x14ac:dyDescent="0.3"/>
    <row r="148" s="60" customFormat="1" x14ac:dyDescent="0.3"/>
    <row r="149" s="60" customFormat="1" x14ac:dyDescent="0.3"/>
    <row r="150" s="60" customFormat="1" x14ac:dyDescent="0.3"/>
    <row r="151" s="60" customFormat="1" x14ac:dyDescent="0.3"/>
    <row r="152" s="60" customFormat="1" x14ac:dyDescent="0.3"/>
    <row r="153" s="60" customFormat="1" x14ac:dyDescent="0.3"/>
    <row r="154" s="60" customFormat="1" x14ac:dyDescent="0.3"/>
    <row r="155" s="60" customFormat="1" x14ac:dyDescent="0.3"/>
    <row r="156" s="60" customFormat="1" x14ac:dyDescent="0.3"/>
    <row r="157" s="60" customFormat="1" x14ac:dyDescent="0.3"/>
    <row r="158" s="60" customFormat="1" x14ac:dyDescent="0.3"/>
    <row r="159" s="60" customFormat="1" x14ac:dyDescent="0.3"/>
    <row r="160" s="60" customFormat="1" x14ac:dyDescent="0.3"/>
    <row r="161" s="60" customFormat="1" x14ac:dyDescent="0.3"/>
    <row r="162" s="60" customFormat="1" x14ac:dyDescent="0.3"/>
    <row r="163" s="60" customFormat="1" x14ac:dyDescent="0.3"/>
    <row r="164" s="60" customFormat="1" x14ac:dyDescent="0.3"/>
    <row r="165" s="60" customFormat="1" x14ac:dyDescent="0.3"/>
    <row r="166" s="60" customFormat="1" x14ac:dyDescent="0.3"/>
    <row r="167" s="60" customFormat="1" x14ac:dyDescent="0.3"/>
    <row r="168" s="60" customFormat="1" x14ac:dyDescent="0.3"/>
    <row r="169" s="60" customFormat="1" x14ac:dyDescent="0.3"/>
    <row r="170" s="60" customFormat="1" x14ac:dyDescent="0.3"/>
    <row r="171" s="60" customFormat="1" x14ac:dyDescent="0.3"/>
    <row r="172" s="60" customFormat="1" x14ac:dyDescent="0.3"/>
    <row r="173" s="60" customFormat="1" x14ac:dyDescent="0.3"/>
    <row r="174" s="60" customFormat="1" x14ac:dyDescent="0.3"/>
    <row r="175" s="60" customFormat="1" x14ac:dyDescent="0.3"/>
    <row r="176" s="60" customFormat="1" x14ac:dyDescent="0.3"/>
    <row r="177" s="60" customFormat="1" x14ac:dyDescent="0.3"/>
    <row r="178" s="60" customFormat="1" x14ac:dyDescent="0.3"/>
    <row r="179" s="60" customFormat="1" x14ac:dyDescent="0.3"/>
    <row r="180" s="60" customFormat="1" x14ac:dyDescent="0.3"/>
    <row r="181" s="60" customFormat="1" x14ac:dyDescent="0.3"/>
    <row r="182" s="60" customFormat="1" x14ac:dyDescent="0.3"/>
    <row r="183" s="60" customFormat="1" x14ac:dyDescent="0.3"/>
    <row r="184" s="60" customFormat="1" x14ac:dyDescent="0.3"/>
    <row r="185" s="60" customFormat="1" x14ac:dyDescent="0.3"/>
    <row r="186" s="60" customFormat="1" x14ac:dyDescent="0.3"/>
    <row r="187" s="60" customFormat="1" x14ac:dyDescent="0.3"/>
    <row r="188" s="60" customFormat="1" x14ac:dyDescent="0.3"/>
    <row r="189" s="60" customFormat="1" x14ac:dyDescent="0.3"/>
    <row r="190" s="60" customFormat="1" x14ac:dyDescent="0.3"/>
    <row r="191" s="60" customFormat="1" x14ac:dyDescent="0.3"/>
    <row r="192" s="60" customFormat="1" x14ac:dyDescent="0.3"/>
    <row r="193" s="60" customFormat="1" x14ac:dyDescent="0.3"/>
    <row r="194" s="60" customFormat="1" x14ac:dyDescent="0.3"/>
    <row r="195" s="60" customFormat="1" x14ac:dyDescent="0.3"/>
    <row r="196" s="60" customFormat="1" x14ac:dyDescent="0.3"/>
    <row r="197" s="60" customFormat="1" x14ac:dyDescent="0.3"/>
    <row r="198" s="60" customFormat="1" x14ac:dyDescent="0.3"/>
    <row r="199" s="60" customFormat="1" x14ac:dyDescent="0.3"/>
    <row r="200" s="60" customFormat="1" x14ac:dyDescent="0.3"/>
    <row r="201" s="60" customFormat="1" x14ac:dyDescent="0.3"/>
    <row r="202" s="60" customFormat="1" x14ac:dyDescent="0.3"/>
    <row r="203" s="60" customFormat="1" x14ac:dyDescent="0.3"/>
    <row r="204" s="60" customFormat="1" x14ac:dyDescent="0.3"/>
    <row r="205" s="60" customFormat="1" x14ac:dyDescent="0.3"/>
    <row r="206" s="60" customFormat="1" x14ac:dyDescent="0.3"/>
    <row r="207" s="60" customFormat="1" x14ac:dyDescent="0.3"/>
    <row r="208" s="60" customFormat="1" x14ac:dyDescent="0.3"/>
    <row r="209" s="60" customFormat="1" x14ac:dyDescent="0.3"/>
    <row r="210" s="60" customFormat="1" x14ac:dyDescent="0.3"/>
    <row r="211" s="60" customFormat="1" x14ac:dyDescent="0.3"/>
    <row r="212" s="60" customFormat="1" x14ac:dyDescent="0.3"/>
    <row r="213" s="60" customFormat="1" x14ac:dyDescent="0.3"/>
    <row r="214" s="60" customFormat="1" x14ac:dyDescent="0.3"/>
    <row r="215" s="60" customFormat="1" x14ac:dyDescent="0.3"/>
    <row r="216" s="60" customFormat="1" x14ac:dyDescent="0.3"/>
    <row r="217" s="60" customFormat="1" x14ac:dyDescent="0.3"/>
    <row r="218" s="60" customFormat="1" x14ac:dyDescent="0.3"/>
    <row r="219" s="60" customFormat="1" x14ac:dyDescent="0.3"/>
    <row r="220" s="60" customFormat="1" x14ac:dyDescent="0.3"/>
    <row r="221" s="60" customFormat="1" x14ac:dyDescent="0.3"/>
    <row r="222" s="60" customFormat="1" x14ac:dyDescent="0.3"/>
    <row r="223" s="60" customFormat="1" x14ac:dyDescent="0.3"/>
    <row r="224" s="60" customFormat="1" x14ac:dyDescent="0.3"/>
    <row r="225" s="60" customFormat="1" x14ac:dyDescent="0.3"/>
    <row r="226" s="60" customFormat="1" x14ac:dyDescent="0.3"/>
    <row r="227" s="60" customFormat="1" x14ac:dyDescent="0.3"/>
    <row r="228" s="60" customFormat="1" x14ac:dyDescent="0.3"/>
    <row r="229" s="60" customFormat="1" x14ac:dyDescent="0.3"/>
    <row r="230" s="60" customFormat="1" x14ac:dyDescent="0.3"/>
    <row r="231" s="60" customFormat="1" x14ac:dyDescent="0.3"/>
    <row r="232" s="60" customFormat="1" x14ac:dyDescent="0.3"/>
    <row r="233" s="60" customFormat="1" x14ac:dyDescent="0.3"/>
    <row r="234" s="60" customFormat="1" x14ac:dyDescent="0.3"/>
    <row r="235" s="60" customFormat="1" x14ac:dyDescent="0.3"/>
    <row r="236" s="60" customFormat="1" x14ac:dyDescent="0.3"/>
    <row r="237" s="60" customFormat="1" x14ac:dyDescent="0.3"/>
    <row r="238" s="60" customFormat="1" x14ac:dyDescent="0.3"/>
    <row r="239" s="60" customFormat="1" x14ac:dyDescent="0.3"/>
    <row r="240" s="60" customFormat="1" x14ac:dyDescent="0.3"/>
    <row r="241" s="60" customFormat="1" x14ac:dyDescent="0.3"/>
    <row r="242" s="60" customFormat="1" x14ac:dyDescent="0.3"/>
    <row r="243" s="60" customFormat="1" x14ac:dyDescent="0.3"/>
    <row r="244" s="60" customFormat="1" x14ac:dyDescent="0.3"/>
    <row r="245" s="60" customFormat="1" x14ac:dyDescent="0.3"/>
    <row r="246" s="60" customFormat="1" x14ac:dyDescent="0.3"/>
    <row r="247" s="60" customFormat="1" x14ac:dyDescent="0.3"/>
    <row r="248" s="60" customFormat="1" x14ac:dyDescent="0.3"/>
    <row r="249" s="60" customFormat="1" x14ac:dyDescent="0.3"/>
    <row r="250" s="60" customFormat="1" x14ac:dyDescent="0.3"/>
    <row r="251" s="60" customFormat="1" x14ac:dyDescent="0.3"/>
    <row r="252" s="60" customFormat="1" x14ac:dyDescent="0.3"/>
    <row r="253" s="60" customFormat="1" x14ac:dyDescent="0.3"/>
    <row r="254" s="60" customFormat="1" x14ac:dyDescent="0.3"/>
    <row r="255" s="60" customFormat="1" x14ac:dyDescent="0.3"/>
    <row r="256" s="60" customFormat="1" x14ac:dyDescent="0.3"/>
    <row r="257" s="60" customFormat="1" x14ac:dyDescent="0.3"/>
    <row r="258" s="60" customFormat="1" x14ac:dyDescent="0.3"/>
    <row r="259" s="60" customFormat="1" x14ac:dyDescent="0.3"/>
    <row r="260" s="60" customFormat="1" x14ac:dyDescent="0.3"/>
    <row r="261" s="60" customFormat="1" x14ac:dyDescent="0.3"/>
    <row r="262" s="60" customFormat="1" x14ac:dyDescent="0.3"/>
    <row r="263" s="60" customFormat="1" x14ac:dyDescent="0.3"/>
    <row r="264" s="60" customFormat="1" x14ac:dyDescent="0.3"/>
    <row r="265" s="60" customFormat="1" x14ac:dyDescent="0.3"/>
    <row r="266" s="60" customFormat="1" x14ac:dyDescent="0.3"/>
    <row r="267" s="60" customFormat="1" x14ac:dyDescent="0.3"/>
    <row r="268" s="60" customFormat="1" x14ac:dyDescent="0.3"/>
    <row r="269" s="60" customFormat="1" x14ac:dyDescent="0.3"/>
    <row r="270" s="60" customFormat="1" x14ac:dyDescent="0.3"/>
    <row r="271" s="60" customFormat="1" x14ac:dyDescent="0.3"/>
    <row r="272" s="60" customFormat="1" x14ac:dyDescent="0.3"/>
    <row r="273" s="60" customFormat="1" x14ac:dyDescent="0.3"/>
    <row r="274" s="60" customFormat="1" x14ac:dyDescent="0.3"/>
    <row r="275" s="60" customFormat="1" x14ac:dyDescent="0.3"/>
    <row r="276" s="60" customFormat="1" x14ac:dyDescent="0.3"/>
    <row r="277" s="60" customFormat="1" x14ac:dyDescent="0.3"/>
    <row r="278" s="60" customFormat="1" x14ac:dyDescent="0.3"/>
    <row r="279" s="60" customFormat="1" x14ac:dyDescent="0.3"/>
    <row r="280" s="60" customFormat="1" x14ac:dyDescent="0.3"/>
    <row r="281" s="60" customFormat="1" x14ac:dyDescent="0.3"/>
    <row r="282" s="60" customFormat="1" x14ac:dyDescent="0.3"/>
    <row r="283" s="60" customFormat="1" x14ac:dyDescent="0.3"/>
    <row r="284" s="60" customFormat="1" x14ac:dyDescent="0.3"/>
    <row r="285" s="60" customFormat="1" x14ac:dyDescent="0.3"/>
    <row r="286" s="60" customFormat="1" x14ac:dyDescent="0.3"/>
    <row r="287" s="60" customFormat="1" x14ac:dyDescent="0.3"/>
    <row r="288" s="60" customFormat="1" x14ac:dyDescent="0.3"/>
    <row r="289" s="60" customFormat="1" x14ac:dyDescent="0.3"/>
    <row r="290" s="60" customFormat="1" x14ac:dyDescent="0.3"/>
    <row r="291" s="60" customFormat="1" x14ac:dyDescent="0.3"/>
    <row r="292" s="60" customFormat="1" x14ac:dyDescent="0.3"/>
    <row r="293" s="60" customFormat="1" x14ac:dyDescent="0.3"/>
    <row r="294" s="60" customFormat="1" x14ac:dyDescent="0.3"/>
    <row r="295" s="60" customFormat="1" x14ac:dyDescent="0.3"/>
    <row r="296" s="60" customFormat="1" x14ac:dyDescent="0.3"/>
    <row r="297" s="60" customFormat="1" x14ac:dyDescent="0.3"/>
    <row r="298" s="60" customFormat="1" x14ac:dyDescent="0.3"/>
    <row r="299" s="60" customFormat="1" x14ac:dyDescent="0.3"/>
    <row r="300" s="60" customFormat="1" x14ac:dyDescent="0.3"/>
    <row r="301" s="60" customFormat="1" x14ac:dyDescent="0.3"/>
    <row r="302" s="60" customFormat="1" x14ac:dyDescent="0.3"/>
    <row r="303" s="60" customFormat="1" x14ac:dyDescent="0.3"/>
    <row r="304" s="60" customFormat="1" x14ac:dyDescent="0.3"/>
    <row r="305" s="60" customFormat="1" x14ac:dyDescent="0.3"/>
    <row r="306" s="60" customFormat="1" x14ac:dyDescent="0.3"/>
    <row r="307" s="60" customFormat="1" x14ac:dyDescent="0.3"/>
    <row r="308" s="60" customFormat="1" x14ac:dyDescent="0.3"/>
    <row r="309" s="60" customFormat="1" x14ac:dyDescent="0.3"/>
    <row r="310" s="60" customFormat="1" x14ac:dyDescent="0.3"/>
    <row r="311" s="60" customFormat="1" x14ac:dyDescent="0.3"/>
    <row r="312" s="60" customFormat="1" x14ac:dyDescent="0.3"/>
    <row r="313" s="60" customFormat="1" x14ac:dyDescent="0.3"/>
    <row r="314" s="60" customFormat="1" x14ac:dyDescent="0.3"/>
    <row r="315" s="60" customFormat="1" x14ac:dyDescent="0.3"/>
    <row r="316" s="60" customFormat="1" x14ac:dyDescent="0.3"/>
    <row r="317" s="60" customFormat="1" x14ac:dyDescent="0.3"/>
    <row r="318" s="60" customFormat="1" x14ac:dyDescent="0.3"/>
    <row r="319" s="60" customFormat="1" x14ac:dyDescent="0.3"/>
    <row r="320" s="60" customFormat="1" x14ac:dyDescent="0.3"/>
    <row r="321" s="60" customFormat="1" x14ac:dyDescent="0.3"/>
    <row r="322" s="60" customFormat="1" x14ac:dyDescent="0.3"/>
    <row r="323" s="60" customFormat="1" x14ac:dyDescent="0.3"/>
    <row r="324" s="60" customFormat="1" x14ac:dyDescent="0.3"/>
    <row r="325" s="60" customFormat="1" x14ac:dyDescent="0.3"/>
    <row r="326" s="60" customFormat="1" x14ac:dyDescent="0.3"/>
    <row r="327" s="60" customFormat="1" x14ac:dyDescent="0.3"/>
    <row r="328" s="60" customFormat="1" x14ac:dyDescent="0.3"/>
    <row r="329" s="60" customFormat="1" x14ac:dyDescent="0.3"/>
    <row r="330" s="60" customFormat="1" x14ac:dyDescent="0.3"/>
    <row r="331" s="60" customFormat="1" x14ac:dyDescent="0.3"/>
    <row r="332" s="60" customFormat="1" x14ac:dyDescent="0.3"/>
    <row r="333" s="60" customFormat="1" x14ac:dyDescent="0.3"/>
    <row r="334" s="60" customFormat="1" x14ac:dyDescent="0.3"/>
    <row r="335" s="60" customFormat="1" x14ac:dyDescent="0.3"/>
    <row r="336" s="60" customFormat="1" x14ac:dyDescent="0.3"/>
    <row r="337" s="60" customFormat="1" x14ac:dyDescent="0.3"/>
    <row r="338" s="60" customFormat="1" x14ac:dyDescent="0.3"/>
    <row r="339" s="60" customFormat="1" x14ac:dyDescent="0.3"/>
    <row r="340" s="60" customFormat="1" x14ac:dyDescent="0.3"/>
    <row r="341" s="60" customFormat="1" x14ac:dyDescent="0.3"/>
    <row r="342" s="60" customFormat="1" x14ac:dyDescent="0.3"/>
    <row r="343" s="60" customFormat="1" x14ac:dyDescent="0.3"/>
    <row r="344" s="60" customFormat="1" x14ac:dyDescent="0.3"/>
    <row r="345" s="60" customFormat="1" x14ac:dyDescent="0.3"/>
    <row r="346" s="60" customFormat="1" x14ac:dyDescent="0.3"/>
    <row r="347" s="60" customFormat="1" x14ac:dyDescent="0.3"/>
    <row r="348" s="60" customFormat="1" x14ac:dyDescent="0.3"/>
    <row r="349" s="60" customFormat="1" x14ac:dyDescent="0.3"/>
    <row r="350" s="60" customFormat="1" x14ac:dyDescent="0.3"/>
    <row r="351" s="60" customFormat="1" x14ac:dyDescent="0.3"/>
    <row r="352" s="60" customFormat="1" x14ac:dyDescent="0.3"/>
    <row r="353" s="60" customFormat="1" x14ac:dyDescent="0.3"/>
    <row r="354" s="60" customFormat="1" x14ac:dyDescent="0.3"/>
    <row r="355" s="60" customFormat="1" x14ac:dyDescent="0.3"/>
    <row r="356" s="60" customFormat="1" x14ac:dyDescent="0.3"/>
    <row r="357" s="60" customFormat="1" x14ac:dyDescent="0.3"/>
    <row r="358" s="60" customFormat="1" x14ac:dyDescent="0.3"/>
    <row r="359" s="60" customFormat="1" x14ac:dyDescent="0.3"/>
    <row r="360" s="60" customFormat="1" x14ac:dyDescent="0.3"/>
    <row r="361" s="60" customFormat="1" x14ac:dyDescent="0.3"/>
    <row r="362" s="60" customFormat="1" x14ac:dyDescent="0.3"/>
    <row r="363" s="60" customFormat="1" x14ac:dyDescent="0.3"/>
    <row r="364" s="60" customFormat="1" x14ac:dyDescent="0.3"/>
    <row r="365" s="60" customFormat="1" x14ac:dyDescent="0.3"/>
    <row r="366" s="60" customFormat="1" x14ac:dyDescent="0.3"/>
    <row r="367" s="60" customFormat="1" x14ac:dyDescent="0.3"/>
    <row r="368" s="60" customFormat="1" x14ac:dyDescent="0.3"/>
    <row r="369" s="60" customFormat="1" x14ac:dyDescent="0.3"/>
    <row r="370" s="60" customFormat="1" x14ac:dyDescent="0.3"/>
    <row r="371" s="60" customFormat="1" x14ac:dyDescent="0.3"/>
    <row r="372" s="60" customFormat="1" x14ac:dyDescent="0.3"/>
    <row r="373" s="60" customFormat="1" x14ac:dyDescent="0.3"/>
    <row r="374" s="60" customFormat="1" x14ac:dyDescent="0.3"/>
    <row r="375" s="60" customFormat="1" x14ac:dyDescent="0.3"/>
    <row r="376" s="60" customFormat="1" x14ac:dyDescent="0.3"/>
    <row r="377" s="60" customFormat="1" x14ac:dyDescent="0.3"/>
    <row r="378" s="60" customFormat="1" x14ac:dyDescent="0.3"/>
    <row r="379" s="60" customFormat="1" x14ac:dyDescent="0.3"/>
    <row r="380" s="60" customFormat="1" x14ac:dyDescent="0.3"/>
    <row r="381" s="60" customFormat="1" x14ac:dyDescent="0.3"/>
    <row r="382" s="60" customFormat="1" x14ac:dyDescent="0.3"/>
    <row r="383" s="60" customFormat="1" x14ac:dyDescent="0.3"/>
    <row r="384" s="60" customFormat="1" x14ac:dyDescent="0.3"/>
    <row r="385" s="60" customFormat="1" x14ac:dyDescent="0.3"/>
    <row r="386" s="60" customFormat="1" x14ac:dyDescent="0.3"/>
    <row r="387" s="60" customFormat="1" x14ac:dyDescent="0.3"/>
    <row r="388" s="60" customFormat="1" x14ac:dyDescent="0.3"/>
    <row r="389" s="60" customFormat="1" x14ac:dyDescent="0.3"/>
    <row r="390" s="60" customFormat="1" x14ac:dyDescent="0.3"/>
    <row r="391" s="60" customFormat="1" x14ac:dyDescent="0.3"/>
    <row r="392" s="60" customFormat="1" x14ac:dyDescent="0.3"/>
    <row r="393" s="60" customFormat="1" x14ac:dyDescent="0.3"/>
    <row r="394" s="60" customFormat="1" x14ac:dyDescent="0.3"/>
    <row r="395" s="60" customFormat="1" x14ac:dyDescent="0.3"/>
    <row r="396" s="60" customFormat="1" x14ac:dyDescent="0.3"/>
    <row r="397" s="60" customFormat="1" x14ac:dyDescent="0.3"/>
    <row r="398" s="60" customFormat="1" x14ac:dyDescent="0.3"/>
    <row r="399" s="60" customFormat="1" x14ac:dyDescent="0.3"/>
    <row r="400" s="60" customFormat="1" x14ac:dyDescent="0.3"/>
    <row r="401" s="60" customFormat="1" x14ac:dyDescent="0.3"/>
    <row r="402" s="60" customFormat="1" x14ac:dyDescent="0.3"/>
    <row r="403" s="60" customFormat="1" x14ac:dyDescent="0.3"/>
    <row r="404" s="60" customFormat="1" x14ac:dyDescent="0.3"/>
    <row r="405" s="60" customFormat="1" x14ac:dyDescent="0.3"/>
    <row r="406" s="60" customFormat="1" x14ac:dyDescent="0.3"/>
    <row r="407" s="60" customFormat="1" x14ac:dyDescent="0.3"/>
    <row r="408" s="60" customFormat="1" x14ac:dyDescent="0.3"/>
    <row r="409" s="60" customFormat="1" x14ac:dyDescent="0.3"/>
    <row r="410" s="60" customFormat="1" x14ac:dyDescent="0.3"/>
    <row r="411" s="60" customFormat="1" x14ac:dyDescent="0.3"/>
    <row r="412" s="60" customFormat="1" x14ac:dyDescent="0.3"/>
    <row r="413" s="60" customFormat="1" x14ac:dyDescent="0.3"/>
  </sheetData>
  <mergeCells count="28">
    <mergeCell ref="C4:G5"/>
    <mergeCell ref="K4:O5"/>
    <mergeCell ref="B1:P1"/>
    <mergeCell ref="D10:D11"/>
    <mergeCell ref="C8:C11"/>
    <mergeCell ref="N30:O31"/>
    <mergeCell ref="O6:O7"/>
    <mergeCell ref="O8:O9"/>
    <mergeCell ref="K6:K7"/>
    <mergeCell ref="L6:L7"/>
    <mergeCell ref="M6:M7"/>
    <mergeCell ref="N6:N7"/>
    <mergeCell ref="K8:K9"/>
    <mergeCell ref="C40:C41"/>
    <mergeCell ref="D40:D41"/>
    <mergeCell ref="E40:E41"/>
    <mergeCell ref="K30:M31"/>
    <mergeCell ref="G6:G7"/>
    <mergeCell ref="G8:G11"/>
    <mergeCell ref="G21:G23"/>
    <mergeCell ref="C34:E35"/>
    <mergeCell ref="F34:G35"/>
    <mergeCell ref="C6:C7"/>
    <mergeCell ref="D6:D7"/>
    <mergeCell ref="E6:E7"/>
    <mergeCell ref="F6:F7"/>
    <mergeCell ref="D8:D9"/>
    <mergeCell ref="C21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CD3C-7FA3-482C-AF57-06537DDE2E26}">
  <sheetPr codeName="Ark5">
    <tabColor theme="8" tint="0.39997558519241921"/>
  </sheetPr>
  <dimension ref="A1:AE107"/>
  <sheetViews>
    <sheetView zoomScale="43" zoomScaleNormal="43" workbookViewId="0">
      <selection activeCell="C38" sqref="C38:C39"/>
    </sheetView>
  </sheetViews>
  <sheetFormatPr baseColWidth="10" defaultColWidth="11.44140625" defaultRowHeight="14.4" x14ac:dyDescent="0.3"/>
  <cols>
    <col min="2" max="2" width="11.21875" customWidth="1"/>
    <col min="3" max="3" width="22.21875" customWidth="1"/>
    <col min="4" max="4" width="44.77734375" bestFit="1" customWidth="1"/>
    <col min="5" max="5" width="25.77734375" bestFit="1" customWidth="1"/>
    <col min="6" max="6" width="27.77734375" bestFit="1" customWidth="1"/>
    <col min="7" max="7" width="34.77734375" customWidth="1"/>
    <col min="8" max="8" width="32.44140625" customWidth="1"/>
    <col min="9" max="9" width="23.77734375" customWidth="1"/>
    <col min="10" max="10" width="20.44140625" customWidth="1"/>
    <col min="11" max="11" width="21.77734375" customWidth="1"/>
    <col min="12" max="12" width="29.21875" customWidth="1"/>
    <col min="13" max="13" width="35.44140625" customWidth="1"/>
    <col min="14" max="14" width="30" customWidth="1"/>
  </cols>
  <sheetData>
    <row r="1" spans="1:31" x14ac:dyDescent="0.3">
      <c r="A1" s="60"/>
      <c r="B1" s="262"/>
      <c r="C1" s="263"/>
      <c r="D1" s="26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x14ac:dyDescent="0.3">
      <c r="A2" s="60"/>
      <c r="B2" s="262"/>
      <c r="C2" s="263"/>
      <c r="D2" s="26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x14ac:dyDescent="0.3">
      <c r="A3" s="60"/>
      <c r="B3" s="60"/>
      <c r="C3" s="6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4.7" customHeight="1" x14ac:dyDescent="0.3">
      <c r="A4" s="60"/>
      <c r="B4" s="68"/>
      <c r="C4" s="654" t="s">
        <v>497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4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4.7" customHeight="1" x14ac:dyDescent="0.3">
      <c r="A5" s="60"/>
      <c r="B5" s="39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47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4.7" customHeight="1" x14ac:dyDescent="0.3">
      <c r="A6" s="60"/>
      <c r="B6" s="39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47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4.7" customHeight="1" x14ac:dyDescent="0.3">
      <c r="A7" s="60"/>
      <c r="B7" s="39"/>
      <c r="C7" s="636"/>
      <c r="D7" s="636"/>
      <c r="E7" s="636"/>
      <c r="F7" s="636" t="s">
        <v>35</v>
      </c>
      <c r="G7" s="636"/>
      <c r="H7" s="636" t="s">
        <v>36</v>
      </c>
      <c r="I7" s="636"/>
      <c r="J7" s="636"/>
      <c r="K7" s="636"/>
      <c r="L7" s="636" t="s">
        <v>37</v>
      </c>
      <c r="M7" s="636"/>
      <c r="N7" s="636"/>
      <c r="O7" s="47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14.7" customHeight="1" x14ac:dyDescent="0.3">
      <c r="A8" s="60"/>
      <c r="B8" s="39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47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ht="14.7" customHeight="1" x14ac:dyDescent="0.3">
      <c r="A9" s="60"/>
      <c r="B9" s="39"/>
      <c r="C9" s="630" t="s">
        <v>38</v>
      </c>
      <c r="D9" s="632" t="s">
        <v>39</v>
      </c>
      <c r="E9" s="634" t="s">
        <v>40</v>
      </c>
      <c r="F9" s="628" t="s">
        <v>41</v>
      </c>
      <c r="G9" s="626" t="s">
        <v>42</v>
      </c>
      <c r="H9" s="674" t="s">
        <v>43</v>
      </c>
      <c r="I9" s="632" t="s">
        <v>44</v>
      </c>
      <c r="J9" s="634" t="s">
        <v>45</v>
      </c>
      <c r="K9" s="634" t="s">
        <v>46</v>
      </c>
      <c r="L9" s="634" t="s">
        <v>47</v>
      </c>
      <c r="M9" s="634" t="s">
        <v>48</v>
      </c>
      <c r="N9" s="672" t="s">
        <v>49</v>
      </c>
      <c r="O9" s="47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3">
      <c r="A10" s="60"/>
      <c r="B10" s="39"/>
      <c r="C10" s="631"/>
      <c r="D10" s="633"/>
      <c r="E10" s="635"/>
      <c r="F10" s="629"/>
      <c r="G10" s="627"/>
      <c r="H10" s="675"/>
      <c r="I10" s="633"/>
      <c r="J10" s="635"/>
      <c r="K10" s="635"/>
      <c r="L10" s="635"/>
      <c r="M10" s="635"/>
      <c r="N10" s="673"/>
      <c r="O10" s="47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ht="19.95" customHeight="1" x14ac:dyDescent="0.3">
      <c r="A11" s="60"/>
      <c r="B11" s="39"/>
      <c r="C11" s="639" t="s">
        <v>50</v>
      </c>
      <c r="D11" s="637">
        <f>'Electric engine'!C24</f>
        <v>2140</v>
      </c>
      <c r="E11" s="266" t="s">
        <v>51</v>
      </c>
      <c r="F11" s="497" t="s">
        <v>52</v>
      </c>
      <c r="G11" s="267">
        <f>'Electric engine'!D15</f>
        <v>0.51724137931034486</v>
      </c>
      <c r="H11" s="497" t="s">
        <v>53</v>
      </c>
      <c r="I11" s="268">
        <f>IFERROR(IF(F11=Calculations!$K$8,VLOOKUP(Manufacturing!H11,Calculations!$B$8:$I$31,6,FALSE),IF(Manufacturing!F11=Calculations!$K$9,VLOOKUP(Manufacturing!H11,Calculations!$B$8:$I$31,7,FALSE),IF(F11=Calculations!$K$10,VLOOKUP(Manufacturing!H11,Calculations!$B$8:$I$31,8,FALSE),"N/A"))),"N/A")</f>
        <v>1.2090000000000001</v>
      </c>
      <c r="J11" s="269">
        <f>IFERROR(($D$11*G11)*I11,"N/A")</f>
        <v>1338.2379310344827</v>
      </c>
      <c r="K11" s="661">
        <f>SUM(J11:J19)</f>
        <v>2988.5566428106704</v>
      </c>
      <c r="L11" s="678">
        <v>2</v>
      </c>
      <c r="M11" s="676">
        <f>K11*L11</f>
        <v>5977.1132856213408</v>
      </c>
      <c r="N11" s="657">
        <f>SUM(G11:G15)</f>
        <v>0.97657774886141846</v>
      </c>
      <c r="O11" s="47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ht="19.95" customHeight="1" x14ac:dyDescent="0.3">
      <c r="A12" s="60"/>
      <c r="B12" s="39"/>
      <c r="C12" s="639"/>
      <c r="D12" s="637"/>
      <c r="E12" s="266" t="s">
        <v>54</v>
      </c>
      <c r="F12" s="497" t="s">
        <v>52</v>
      </c>
      <c r="G12" s="267">
        <f>'Electric engine'!D16</f>
        <v>8.8484059856864014E-2</v>
      </c>
      <c r="H12" s="497" t="s">
        <v>53</v>
      </c>
      <c r="I12" s="268">
        <f>IFERROR(IF(F12=Calculations!$K$8,VLOOKUP(Manufacturing!H12,Calculations!$B$8:$I$31,6,FALSE),IF(Manufacturing!F12=Calculations!$K$9,VLOOKUP(Manufacturing!H12,Calculations!$B$8:$I$31,7,FALSE),IF(F12=Calculations!$K$10,VLOOKUP(Manufacturing!H12,Calculations!$B$8:$I$31,8,FALSE),"N/A"))),"N/A")</f>
        <v>1.2090000000000001</v>
      </c>
      <c r="J12" s="269">
        <f t="shared" ref="J12:J19" si="0">IFERROR(($D$11*G12)*I12,"N/A")</f>
        <v>228.93126870527001</v>
      </c>
      <c r="K12" s="661"/>
      <c r="L12" s="678"/>
      <c r="M12" s="676"/>
      <c r="N12" s="657"/>
      <c r="O12" s="47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ht="19.95" customHeight="1" x14ac:dyDescent="0.3">
      <c r="A13" s="60"/>
      <c r="B13" s="39"/>
      <c r="C13" s="639"/>
      <c r="D13" s="637"/>
      <c r="E13" s="266" t="s">
        <v>55</v>
      </c>
      <c r="F13" s="282" t="s">
        <v>52</v>
      </c>
      <c r="G13" s="267">
        <f>'Electric engine'!D17</f>
        <v>0.29603122966818479</v>
      </c>
      <c r="H13" s="497" t="s">
        <v>53</v>
      </c>
      <c r="I13" s="268">
        <f>IFERROR(IF(F13=Calculations!$K$8,VLOOKUP(Manufacturing!H13,Calculations!$B$8:$I$31,6,FALSE),IF(Manufacturing!F13=Calculations!$K$9,VLOOKUP(Manufacturing!H13,Calculations!$B$8:$I$31,7,FALSE),IF(F13=Calculations!$K$10,VLOOKUP(Manufacturing!H13,Calculations!$B$8:$I$31,8,FALSE),"N/A"))),"N/A")</f>
        <v>1.2090000000000001</v>
      </c>
      <c r="J13" s="269">
        <f t="shared" si="0"/>
        <v>765.90975927130785</v>
      </c>
      <c r="K13" s="661"/>
      <c r="L13" s="678"/>
      <c r="M13" s="676"/>
      <c r="N13" s="657"/>
      <c r="O13" s="47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ht="19.95" customHeight="1" x14ac:dyDescent="0.3">
      <c r="A14" s="60"/>
      <c r="B14" s="39"/>
      <c r="C14" s="639"/>
      <c r="D14" s="637"/>
      <c r="E14" s="266" t="s">
        <v>56</v>
      </c>
      <c r="F14" s="282" t="s">
        <v>57</v>
      </c>
      <c r="G14" s="267">
        <f>'Electric engine'!D18</f>
        <v>1.5614834092387769E-2</v>
      </c>
      <c r="H14" s="497" t="s">
        <v>53</v>
      </c>
      <c r="I14" s="268">
        <f>IFERROR(IF(F14=Calculations!$K$8,VLOOKUP(Manufacturing!H14,Calculations!$B$8:$I$31,6,FALSE),IF(Manufacturing!F14=Calculations!$K$9,VLOOKUP(Manufacturing!H14,Calculations!$B$8:$I$31,7,FALSE),IF(F14=Calculations!$K$10,VLOOKUP(Manufacturing!H14,Calculations!$B$8:$I$31,8,FALSE),"N/A"))),"N/A")</f>
        <v>4.07</v>
      </c>
      <c r="J14" s="269">
        <f t="shared" si="0"/>
        <v>136.00208197787902</v>
      </c>
      <c r="K14" s="661"/>
      <c r="L14" s="678"/>
      <c r="M14" s="676"/>
      <c r="N14" s="657"/>
      <c r="O14" s="47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9.95" customHeight="1" x14ac:dyDescent="0.3">
      <c r="A15" s="60"/>
      <c r="B15" s="39"/>
      <c r="C15" s="639"/>
      <c r="D15" s="637"/>
      <c r="E15" s="266" t="s">
        <v>58</v>
      </c>
      <c r="F15" s="282" t="s">
        <v>58</v>
      </c>
      <c r="G15" s="267">
        <f>'Electric engine'!D19</f>
        <v>5.9206245933636957E-2</v>
      </c>
      <c r="H15" s="497" t="s">
        <v>59</v>
      </c>
      <c r="I15" s="268">
        <f>IFERROR(IF(F15=Calculations!$K$8,VLOOKUP(Manufacturing!H15,Calculations!$B$8:$I$31,6,FALSE),IF(Manufacturing!F15=Calculations!$K$9,VLOOKUP(Manufacturing!H15,Calculations!$B$8:$I$31,7,FALSE),IF(F15=Calculations!$K$10,VLOOKUP(Manufacturing!H15,Calculations!$B$8:$I$31,8,FALSE),"N/A"))),"N/A")</f>
        <v>4.0999999999999996</v>
      </c>
      <c r="J15" s="269">
        <f t="shared" si="0"/>
        <v>519.47560182173061</v>
      </c>
      <c r="K15" s="661"/>
      <c r="L15" s="678"/>
      <c r="M15" s="676"/>
      <c r="N15" s="657"/>
      <c r="O15" s="47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19.95" customHeight="1" x14ac:dyDescent="0.3">
      <c r="A16" s="60"/>
      <c r="B16" s="39"/>
      <c r="C16" s="639"/>
      <c r="D16" s="637"/>
      <c r="E16" s="270" t="s">
        <v>60</v>
      </c>
      <c r="F16" s="282" t="s">
        <v>61</v>
      </c>
      <c r="G16" s="267">
        <f>'Electric engine'!D20</f>
        <v>3.9037085230969422E-3</v>
      </c>
      <c r="H16" s="497" t="s">
        <v>62</v>
      </c>
      <c r="I16" s="268" t="str">
        <f>IFERROR(IF(F16=Calculations!$K$8,VLOOKUP(Manufacturing!H16,Calculations!$B$8:$I$31,6,FALSE),IF(Manufacturing!F16=Calculations!$K$9,VLOOKUP(Manufacturing!H16,Calculations!$B$8:$I$31,7,FALSE),IF(F16=Calculations!$K$10,VLOOKUP(Manufacturing!H16,Calculations!$B$8:$I$31,8,FALSE),"N/A"))),"N/A")</f>
        <v>N/A</v>
      </c>
      <c r="J16" s="269" t="str">
        <f t="shared" si="0"/>
        <v>N/A</v>
      </c>
      <c r="K16" s="661"/>
      <c r="L16" s="678"/>
      <c r="M16" s="676"/>
      <c r="N16" s="657"/>
      <c r="O16" s="47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ht="19.95" customHeight="1" x14ac:dyDescent="0.3">
      <c r="A17" s="60"/>
      <c r="B17" s="39"/>
      <c r="C17" s="639"/>
      <c r="D17" s="637"/>
      <c r="E17" s="270" t="s">
        <v>63</v>
      </c>
      <c r="F17" s="282" t="s">
        <v>61</v>
      </c>
      <c r="G17" s="267">
        <f>'Electric engine'!D21</f>
        <v>9.7592713077423558E-3</v>
      </c>
      <c r="H17" s="497" t="s">
        <v>62</v>
      </c>
      <c r="I17" s="268" t="str">
        <f>IFERROR(IF(F17=Calculations!$K$8,VLOOKUP(Manufacturing!H17,Calculations!$B$8:$I$31,6,FALSE),IF(Manufacturing!F17=Calculations!$K$9,VLOOKUP(Manufacturing!H17,Calculations!$B$8:$I$31,7,FALSE),IF(F17=Calculations!$K$10,VLOOKUP(Manufacturing!H17,Calculations!$B$8:$I$31,8,FALSE),"N/A"))),"N/A")</f>
        <v>N/A</v>
      </c>
      <c r="J17" s="269" t="str">
        <f t="shared" si="0"/>
        <v>N/A</v>
      </c>
      <c r="K17" s="661"/>
      <c r="L17" s="678"/>
      <c r="M17" s="676"/>
      <c r="N17" s="657"/>
      <c r="O17" s="47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ht="19.95" customHeight="1" x14ac:dyDescent="0.3">
      <c r="A18" s="60"/>
      <c r="B18" s="39"/>
      <c r="C18" s="639"/>
      <c r="D18" s="637"/>
      <c r="E18" s="270" t="s">
        <v>64</v>
      </c>
      <c r="F18" s="282" t="s">
        <v>61</v>
      </c>
      <c r="G18" s="267">
        <f>'Electric engine'!D22</f>
        <v>4.554326610279766E-3</v>
      </c>
      <c r="H18" s="497" t="s">
        <v>62</v>
      </c>
      <c r="I18" s="268" t="str">
        <f>IFERROR(IF(F18=Calculations!$K$8,VLOOKUP(Manufacturing!H18,Calculations!$B$8:$I$31,6,FALSE),IF(Manufacturing!F18=Calculations!$K$9,VLOOKUP(Manufacturing!H18,Calculations!$B$8:$I$31,7,FALSE),IF(F18=Calculations!$K$10,VLOOKUP(Manufacturing!H18,Calculations!$B$8:$I$31,8,FALSE),"N/A"))),"N/A")</f>
        <v>N/A</v>
      </c>
      <c r="J18" s="269" t="str">
        <f t="shared" si="0"/>
        <v>N/A</v>
      </c>
      <c r="K18" s="661"/>
      <c r="L18" s="678"/>
      <c r="M18" s="676"/>
      <c r="N18" s="657"/>
      <c r="O18" s="4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19.95" customHeight="1" x14ac:dyDescent="0.3">
      <c r="A19" s="60"/>
      <c r="B19" s="39"/>
      <c r="C19" s="640"/>
      <c r="D19" s="638"/>
      <c r="E19" s="271" t="s">
        <v>65</v>
      </c>
      <c r="F19" s="283" t="s">
        <v>61</v>
      </c>
      <c r="G19" s="272">
        <f>'Electric engine'!D23</f>
        <v>5.2049446974625898E-3</v>
      </c>
      <c r="H19" s="281" t="s">
        <v>62</v>
      </c>
      <c r="I19" s="268" t="str">
        <f>IFERROR(IF(F19=Calculations!$K$8,VLOOKUP(Manufacturing!H19,Calculations!$B$8:$I$31,6,FALSE),IF(Manufacturing!F19=Calculations!$K$9,VLOOKUP(Manufacturing!H19,Calculations!$B$8:$I$31,7,FALSE),IF(F19=Calculations!$K$10,VLOOKUP(Manufacturing!H19,Calculations!$B$8:$I$31,8,FALSE),"N/A"))),"N/A")</f>
        <v>N/A</v>
      </c>
      <c r="J19" s="273" t="str">
        <f t="shared" si="0"/>
        <v>N/A</v>
      </c>
      <c r="K19" s="688"/>
      <c r="L19" s="679"/>
      <c r="M19" s="677"/>
      <c r="N19" s="658"/>
      <c r="O19" s="47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19.95" customHeight="1" x14ac:dyDescent="0.3">
      <c r="A20" s="60"/>
      <c r="B20" s="39"/>
      <c r="C20" s="393"/>
      <c r="D20" s="395"/>
      <c r="E20" s="238"/>
      <c r="F20" s="397"/>
      <c r="G20" s="398"/>
      <c r="H20" s="394"/>
      <c r="I20" s="433"/>
      <c r="J20" s="399">
        <f>SUM(J11:J13)</f>
        <v>2333.0789590110608</v>
      </c>
      <c r="K20" s="400"/>
      <c r="L20" s="401"/>
      <c r="M20" s="396"/>
      <c r="N20" s="397"/>
      <c r="O20" s="47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x14ac:dyDescent="0.3">
      <c r="A21" s="60"/>
      <c r="B21" s="3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7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x14ac:dyDescent="0.3">
      <c r="A22" s="60"/>
      <c r="B22" s="39"/>
      <c r="C22" s="636"/>
      <c r="D22" s="690"/>
      <c r="E22" s="691"/>
      <c r="F22" s="690" t="s">
        <v>66</v>
      </c>
      <c r="G22" s="691"/>
      <c r="H22" s="690" t="s">
        <v>67</v>
      </c>
      <c r="I22" s="691"/>
      <c r="J22" s="636" t="s">
        <v>68</v>
      </c>
      <c r="K22" s="636"/>
      <c r="L22" s="636"/>
      <c r="M22" s="33"/>
      <c r="N22" s="314"/>
      <c r="O22" s="47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x14ac:dyDescent="0.3">
      <c r="A23" s="60"/>
      <c r="B23" s="39"/>
      <c r="C23" s="636"/>
      <c r="D23" s="692"/>
      <c r="E23" s="693"/>
      <c r="F23" s="692"/>
      <c r="G23" s="693"/>
      <c r="H23" s="692"/>
      <c r="I23" s="693"/>
      <c r="J23" s="636"/>
      <c r="K23" s="636"/>
      <c r="L23" s="636"/>
      <c r="M23" s="33"/>
      <c r="N23" s="314"/>
      <c r="O23" s="47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ht="19.95" customHeight="1" x14ac:dyDescent="0.3">
      <c r="A24" s="60"/>
      <c r="B24" s="39"/>
      <c r="C24" s="599" t="s">
        <v>69</v>
      </c>
      <c r="D24" s="649" t="s">
        <v>70</v>
      </c>
      <c r="E24" s="649"/>
      <c r="F24" s="649" t="s">
        <v>71</v>
      </c>
      <c r="G24" s="649"/>
      <c r="H24" s="649" t="s">
        <v>72</v>
      </c>
      <c r="I24" s="649"/>
      <c r="J24" s="599" t="s">
        <v>73</v>
      </c>
      <c r="K24" s="599" t="s">
        <v>74</v>
      </c>
      <c r="L24" s="599" t="s">
        <v>75</v>
      </c>
      <c r="M24" s="33"/>
      <c r="N24" s="33"/>
      <c r="O24" s="47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9.95" customHeight="1" x14ac:dyDescent="0.3">
      <c r="A25" s="60"/>
      <c r="B25" s="39"/>
      <c r="C25" s="599"/>
      <c r="D25" s="649"/>
      <c r="E25" s="649"/>
      <c r="F25" s="649"/>
      <c r="G25" s="649"/>
      <c r="H25" s="649"/>
      <c r="I25" s="649"/>
      <c r="J25" s="599"/>
      <c r="K25" s="599"/>
      <c r="L25" s="599"/>
      <c r="M25" s="33"/>
      <c r="N25" s="33"/>
      <c r="O25" s="47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19.95" customHeight="1" x14ac:dyDescent="0.3">
      <c r="A26" s="60"/>
      <c r="B26" s="39"/>
      <c r="C26" s="650" t="s">
        <v>76</v>
      </c>
      <c r="D26" s="498" t="s">
        <v>77</v>
      </c>
      <c r="E26" s="498">
        <v>11</v>
      </c>
      <c r="F26" s="498" t="s">
        <v>78</v>
      </c>
      <c r="G26" s="498">
        <v>7</v>
      </c>
      <c r="H26" s="498" t="s">
        <v>79</v>
      </c>
      <c r="I26" s="498">
        <v>3</v>
      </c>
      <c r="J26" s="689" t="s">
        <v>80</v>
      </c>
      <c r="K26" s="689">
        <f>IFERROR(VLOOKUP(J26,'Electric Battery'!A44:C48,2,FALSE),"")</f>
        <v>153.80000000000001</v>
      </c>
      <c r="L26" s="614">
        <f>IFERROR(K26*I27,"")</f>
        <v>35527.800000000003</v>
      </c>
      <c r="M26" s="33"/>
      <c r="N26" s="33"/>
      <c r="O26" s="47"/>
      <c r="P26" s="56"/>
      <c r="Q26" s="60"/>
      <c r="R26" s="60"/>
      <c r="S26" s="60"/>
      <c r="T26" s="60"/>
      <c r="U26" s="60"/>
      <c r="V26" s="60"/>
      <c r="W26" s="60"/>
      <c r="X26" s="60"/>
      <c r="Y26" s="60"/>
      <c r="Z26" s="56"/>
      <c r="AA26" s="56"/>
      <c r="AB26" s="56"/>
      <c r="AC26" s="56"/>
      <c r="AD26" s="56"/>
      <c r="AE26" s="56"/>
    </row>
    <row r="27" spans="1:31" ht="19.95" customHeight="1" x14ac:dyDescent="0.3">
      <c r="A27" s="60"/>
      <c r="B27" s="39"/>
      <c r="C27" s="650"/>
      <c r="D27" s="498" t="s">
        <v>81</v>
      </c>
      <c r="E27" s="498">
        <v>128</v>
      </c>
      <c r="F27" s="498" t="s">
        <v>82</v>
      </c>
      <c r="G27" s="498">
        <f>E26*G26</f>
        <v>77</v>
      </c>
      <c r="H27" s="498" t="s">
        <v>82</v>
      </c>
      <c r="I27" s="498">
        <f>I26*G27</f>
        <v>231</v>
      </c>
      <c r="J27" s="689"/>
      <c r="K27" s="689"/>
      <c r="L27" s="614"/>
      <c r="M27" s="33"/>
      <c r="N27" s="33"/>
      <c r="O27" s="47"/>
      <c r="P27" s="56"/>
      <c r="Q27" s="60"/>
      <c r="R27" s="60"/>
      <c r="S27" s="60"/>
      <c r="T27" s="60"/>
      <c r="U27" s="60"/>
      <c r="V27" s="60"/>
      <c r="W27" s="60"/>
      <c r="X27" s="60"/>
      <c r="Y27" s="60"/>
      <c r="Z27" s="56"/>
      <c r="AA27" s="56"/>
      <c r="AB27" s="56"/>
      <c r="AC27" s="56"/>
      <c r="AD27" s="56"/>
      <c r="AE27" s="56"/>
    </row>
    <row r="28" spans="1:31" ht="19.95" customHeight="1" x14ac:dyDescent="0.3">
      <c r="A28" s="60"/>
      <c r="B28" s="39"/>
      <c r="C28" s="650"/>
      <c r="D28" s="498" t="s">
        <v>83</v>
      </c>
      <c r="E28" s="498">
        <v>177</v>
      </c>
      <c r="F28" s="498" t="s">
        <v>84</v>
      </c>
      <c r="G28" s="498">
        <f>E27*G26</f>
        <v>896</v>
      </c>
      <c r="H28" s="498" t="s">
        <v>84</v>
      </c>
      <c r="I28" s="498">
        <f>G28</f>
        <v>896</v>
      </c>
      <c r="J28" s="689"/>
      <c r="K28" s="689"/>
      <c r="L28" s="614"/>
      <c r="M28" s="33"/>
      <c r="N28" s="33"/>
      <c r="O28" s="47"/>
      <c r="P28" s="56"/>
      <c r="Q28" s="60"/>
      <c r="R28" s="60"/>
      <c r="S28" s="60"/>
      <c r="T28" s="60"/>
      <c r="U28" s="60"/>
      <c r="V28" s="60"/>
      <c r="W28" s="60"/>
      <c r="X28" s="60"/>
      <c r="Y28" s="60"/>
      <c r="Z28" s="56"/>
      <c r="AA28" s="56"/>
      <c r="AB28" s="56"/>
      <c r="AC28" s="56"/>
      <c r="AD28" s="56"/>
      <c r="AE28" s="56"/>
    </row>
    <row r="29" spans="1:31" ht="19.95" customHeight="1" x14ac:dyDescent="0.3">
      <c r="A29" s="60"/>
      <c r="B29" s="39"/>
      <c r="C29" s="650"/>
      <c r="D29" s="498" t="s">
        <v>85</v>
      </c>
      <c r="E29" s="498">
        <v>5.6</v>
      </c>
      <c r="F29" s="498" t="s">
        <v>86</v>
      </c>
      <c r="G29" s="310">
        <f>E29*G27</f>
        <v>431.2</v>
      </c>
      <c r="H29" s="498" t="s">
        <v>86</v>
      </c>
      <c r="I29" s="310">
        <f>G29*I26</f>
        <v>1293.5999999999999</v>
      </c>
      <c r="J29" s="689"/>
      <c r="K29" s="689"/>
      <c r="L29" s="614"/>
      <c r="M29" s="33"/>
      <c r="N29" s="33"/>
      <c r="O29" s="47"/>
      <c r="P29" s="56"/>
      <c r="Q29" s="60"/>
      <c r="R29" s="60"/>
      <c r="S29" s="60"/>
      <c r="T29" s="60"/>
      <c r="U29" s="60"/>
      <c r="V29" s="60"/>
      <c r="W29" s="60"/>
      <c r="X29" s="60"/>
      <c r="Y29" s="60"/>
      <c r="Z29" s="56"/>
      <c r="AA29" s="56"/>
      <c r="AB29" s="56"/>
      <c r="AC29" s="56"/>
      <c r="AD29" s="56"/>
      <c r="AE29" s="56"/>
    </row>
    <row r="30" spans="1:31" s="278" customFormat="1" ht="19.95" customHeight="1" x14ac:dyDescent="0.3">
      <c r="A30" s="274"/>
      <c r="B30" s="275"/>
      <c r="C30" s="313"/>
      <c r="D30" s="238"/>
      <c r="E30" s="238"/>
      <c r="F30" s="238"/>
      <c r="G30" s="370"/>
      <c r="H30" s="370"/>
      <c r="I30" s="370"/>
      <c r="J30" s="315"/>
      <c r="K30" s="370"/>
      <c r="L30" s="370"/>
      <c r="M30" s="238"/>
      <c r="N30" s="238"/>
      <c r="O30" s="276"/>
      <c r="P30" s="277"/>
      <c r="Q30" s="274"/>
      <c r="R30" s="274"/>
      <c r="S30" s="274"/>
      <c r="T30" s="274"/>
      <c r="U30" s="274"/>
      <c r="V30" s="274"/>
      <c r="W30" s="274"/>
      <c r="X30" s="274"/>
      <c r="Y30" s="274"/>
      <c r="Z30" s="277"/>
      <c r="AA30" s="277"/>
      <c r="AB30" s="277"/>
      <c r="AC30" s="277"/>
      <c r="AD30" s="277"/>
      <c r="AE30" s="277"/>
    </row>
    <row r="31" spans="1:31" ht="19.95" customHeight="1" x14ac:dyDescent="0.3">
      <c r="A31" s="60"/>
      <c r="B31" s="6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80"/>
      <c r="P31" s="56"/>
      <c r="Q31" s="60"/>
      <c r="R31" s="60"/>
      <c r="S31" s="60"/>
      <c r="T31" s="60"/>
      <c r="U31" s="60"/>
      <c r="V31" s="60"/>
      <c r="W31" s="60"/>
      <c r="X31" s="60"/>
      <c r="Y31" s="60"/>
      <c r="Z31" s="56"/>
      <c r="AA31" s="56"/>
      <c r="AB31" s="56"/>
      <c r="AC31" s="56"/>
      <c r="AD31" s="56"/>
      <c r="AE31" s="56"/>
    </row>
    <row r="32" spans="1:31" s="60" customFormat="1" x14ac:dyDescent="0.3">
      <c r="B32" s="141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141"/>
    </row>
    <row r="33" spans="1:31" s="60" customFormat="1" x14ac:dyDescent="0.3">
      <c r="B33" s="141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141"/>
    </row>
    <row r="34" spans="1:31" s="60" customFormat="1" x14ac:dyDescent="0.3">
      <c r="B34" s="141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141"/>
    </row>
    <row r="35" spans="1:31" ht="14.7" customHeight="1" x14ac:dyDescent="0.3">
      <c r="A35" s="60"/>
      <c r="B35" s="67"/>
      <c r="C35" s="686" t="s">
        <v>498</v>
      </c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50"/>
      <c r="P35" s="56"/>
      <c r="Q35" s="56"/>
      <c r="R35" s="277"/>
      <c r="S35" s="277"/>
      <c r="T35" s="277"/>
      <c r="U35" s="277"/>
      <c r="V35" s="277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ht="14.7" customHeight="1" x14ac:dyDescent="0.3">
      <c r="A36" s="60"/>
      <c r="B36" s="52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51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4.7" customHeight="1" x14ac:dyDescent="0.3">
      <c r="A37" s="60"/>
      <c r="B37" s="52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51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14.7" customHeight="1" x14ac:dyDescent="0.3">
      <c r="A38" s="60"/>
      <c r="B38" s="52"/>
      <c r="C38" s="636"/>
      <c r="D38" s="636"/>
      <c r="E38" s="636"/>
      <c r="F38" s="636" t="s">
        <v>35</v>
      </c>
      <c r="G38" s="636"/>
      <c r="H38" s="636" t="s">
        <v>36</v>
      </c>
      <c r="I38" s="636"/>
      <c r="J38" s="636"/>
      <c r="K38" s="636"/>
      <c r="L38" s="636" t="s">
        <v>37</v>
      </c>
      <c r="M38" s="636"/>
      <c r="N38" s="636"/>
      <c r="O38" s="51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14.7" customHeight="1" x14ac:dyDescent="0.3">
      <c r="A39" s="60"/>
      <c r="B39" s="52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51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x14ac:dyDescent="0.3">
      <c r="A40" s="60"/>
      <c r="B40" s="52"/>
      <c r="C40" s="641" t="s">
        <v>38</v>
      </c>
      <c r="D40" s="643" t="s">
        <v>39</v>
      </c>
      <c r="E40" s="641" t="s">
        <v>40</v>
      </c>
      <c r="F40" s="645" t="s">
        <v>41</v>
      </c>
      <c r="G40" s="647" t="s">
        <v>42</v>
      </c>
      <c r="H40" s="667" t="s">
        <v>43</v>
      </c>
      <c r="I40" s="669" t="s">
        <v>44</v>
      </c>
      <c r="J40" s="641" t="s">
        <v>45</v>
      </c>
      <c r="K40" s="641" t="s">
        <v>46</v>
      </c>
      <c r="L40" s="641" t="s">
        <v>47</v>
      </c>
      <c r="M40" s="659" t="s">
        <v>48</v>
      </c>
      <c r="N40" s="645" t="s">
        <v>49</v>
      </c>
      <c r="O40" s="51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x14ac:dyDescent="0.3">
      <c r="A41" s="60"/>
      <c r="B41" s="52"/>
      <c r="C41" s="642"/>
      <c r="D41" s="644"/>
      <c r="E41" s="642"/>
      <c r="F41" s="646"/>
      <c r="G41" s="648"/>
      <c r="H41" s="668"/>
      <c r="I41" s="670"/>
      <c r="J41" s="642"/>
      <c r="K41" s="642"/>
      <c r="L41" s="642"/>
      <c r="M41" s="660"/>
      <c r="N41" s="646"/>
      <c r="O41" s="51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278" customFormat="1" ht="19.95" customHeight="1" x14ac:dyDescent="0.3">
      <c r="A42" s="274"/>
      <c r="B42" s="279"/>
      <c r="C42" s="651" t="s">
        <v>87</v>
      </c>
      <c r="D42" s="671">
        <v>1190</v>
      </c>
      <c r="E42" s="266" t="s">
        <v>88</v>
      </c>
      <c r="F42" s="284" t="s">
        <v>52</v>
      </c>
      <c r="G42" s="267">
        <v>0.94</v>
      </c>
      <c r="H42" s="497" t="s">
        <v>53</v>
      </c>
      <c r="I42" s="268">
        <f>IFERROR(IF(F42=Calculations!$K$8,VLOOKUP(Manufacturing!H42,Calculations!$B$8:$I$31,6,FALSE),IF(Manufacturing!F42=Calculations!$K$9,VLOOKUP(Manufacturing!H42,Calculations!$B$8:$I$31,7,FALSE),IF(F42=Calculations!$K$10,VLOOKUP(Manufacturing!H42,Calculations!$B$8:$I$31,8,FALSE),"N/A"))),"N/A")</f>
        <v>1.2090000000000001</v>
      </c>
      <c r="J42" s="269">
        <f>IFERROR(($D$42*G42)*I42,"N/A")</f>
        <v>1352.3874000000001</v>
      </c>
      <c r="K42" s="661">
        <f>SUM(J42:J47)</f>
        <v>1352.3874000000001</v>
      </c>
      <c r="L42" s="683">
        <v>2</v>
      </c>
      <c r="M42" s="680">
        <f>K42*L42</f>
        <v>2704.7748000000001</v>
      </c>
      <c r="N42" s="664">
        <f>SUM(G42)</f>
        <v>0.94</v>
      </c>
      <c r="O42" s="280"/>
      <c r="P42" s="277"/>
      <c r="Q42" s="277"/>
      <c r="R42" s="56"/>
      <c r="S42" s="56"/>
      <c r="T42" s="56"/>
      <c r="U42" s="56"/>
      <c r="V42" s="56"/>
      <c r="W42" s="277"/>
      <c r="X42" s="277"/>
      <c r="Y42" s="277"/>
      <c r="Z42" s="277"/>
      <c r="AA42" s="277"/>
      <c r="AB42" s="277"/>
      <c r="AC42" s="277"/>
      <c r="AD42" s="277"/>
      <c r="AE42" s="277"/>
    </row>
    <row r="43" spans="1:31" s="278" customFormat="1" ht="19.95" customHeight="1" x14ac:dyDescent="0.3">
      <c r="A43" s="274"/>
      <c r="B43" s="279"/>
      <c r="C43" s="652"/>
      <c r="D43" s="671"/>
      <c r="E43" s="266" t="s">
        <v>89</v>
      </c>
      <c r="F43" s="284" t="s">
        <v>61</v>
      </c>
      <c r="G43" s="267">
        <v>0.01</v>
      </c>
      <c r="H43" s="497" t="s">
        <v>62</v>
      </c>
      <c r="I43" s="268" t="str">
        <f>IFERROR(IF(F43=Calculations!$K$8,VLOOKUP(Manufacturing!H43,Calculations!$B$8:$I$31,6,FALSE),IF(Manufacturing!F43=Calculations!$K$9,VLOOKUP(Manufacturing!H43,Calculations!$B$8:$I$31,7,FALSE),IF(F43=Calculations!$K$10,VLOOKUP(Manufacturing!H43,Calculations!$B$8:$I$31,8,FALSE),"N/A"))),"N/A")</f>
        <v>N/A</v>
      </c>
      <c r="J43" s="269" t="str">
        <f t="shared" ref="J43:J47" si="1">IFERROR(($D$42*G43)*I43,"N/A")</f>
        <v>N/A</v>
      </c>
      <c r="K43" s="662"/>
      <c r="L43" s="684"/>
      <c r="M43" s="681"/>
      <c r="N43" s="665"/>
      <c r="O43" s="280"/>
      <c r="P43" s="277"/>
      <c r="Q43" s="277"/>
      <c r="R43" s="56"/>
      <c r="S43" s="56"/>
      <c r="T43" s="56"/>
      <c r="U43" s="56"/>
      <c r="V43" s="56"/>
      <c r="W43" s="277"/>
      <c r="X43" s="277"/>
      <c r="Y43" s="277"/>
      <c r="Z43" s="277"/>
      <c r="AA43" s="277"/>
      <c r="AB43" s="277"/>
      <c r="AC43" s="277"/>
      <c r="AD43" s="277"/>
      <c r="AE43" s="277"/>
    </row>
    <row r="44" spans="1:31" s="278" customFormat="1" ht="19.95" customHeight="1" x14ac:dyDescent="0.3">
      <c r="A44" s="274"/>
      <c r="B44" s="279"/>
      <c r="C44" s="652"/>
      <c r="D44" s="671"/>
      <c r="E44" s="266" t="s">
        <v>90</v>
      </c>
      <c r="F44" s="284" t="s">
        <v>61</v>
      </c>
      <c r="G44" s="267">
        <v>4.0000000000000001E-3</v>
      </c>
      <c r="H44" s="497" t="s">
        <v>62</v>
      </c>
      <c r="I44" s="268" t="str">
        <f>IFERROR(IF(F44=Calculations!$K$8,VLOOKUP(Manufacturing!H44,Calculations!$B$8:$I$31,6,FALSE),IF(Manufacturing!F44=Calculations!$K$9,VLOOKUP(Manufacturing!H44,Calculations!$B$8:$I$31,7,FALSE),IF(F44=Calculations!$K$10,VLOOKUP(Manufacturing!H44,Calculations!$B$8:$I$31,8,FALSE),"N/A"))),"N/A")</f>
        <v>N/A</v>
      </c>
      <c r="J44" s="269" t="str">
        <f t="shared" si="1"/>
        <v>N/A</v>
      </c>
      <c r="K44" s="662"/>
      <c r="L44" s="684"/>
      <c r="M44" s="681"/>
      <c r="N44" s="665"/>
      <c r="O44" s="280"/>
      <c r="P44" s="277"/>
      <c r="Q44" s="277"/>
      <c r="R44" s="56"/>
      <c r="S44" s="56"/>
      <c r="T44" s="56"/>
      <c r="U44" s="56"/>
      <c r="V44" s="56"/>
      <c r="W44" s="277"/>
      <c r="X44" s="277"/>
      <c r="Y44" s="277"/>
      <c r="Z44" s="277"/>
      <c r="AA44" s="277"/>
      <c r="AB44" s="277"/>
      <c r="AC44" s="277"/>
      <c r="AD44" s="277"/>
      <c r="AE44" s="277"/>
    </row>
    <row r="45" spans="1:31" s="278" customFormat="1" ht="19.95" customHeight="1" x14ac:dyDescent="0.3">
      <c r="A45" s="274"/>
      <c r="B45" s="279"/>
      <c r="C45" s="652"/>
      <c r="D45" s="671"/>
      <c r="E45" s="266" t="s">
        <v>91</v>
      </c>
      <c r="F45" s="284" t="s">
        <v>61</v>
      </c>
      <c r="G45" s="267">
        <v>4.3999999999999997E-2</v>
      </c>
      <c r="H45" s="497" t="s">
        <v>62</v>
      </c>
      <c r="I45" s="268" t="str">
        <f>IFERROR(IF(F45=Calculations!$K$8,VLOOKUP(Manufacturing!H45,Calculations!$B$8:$I$31,6,FALSE),IF(Manufacturing!F45=Calculations!$K$9,VLOOKUP(Manufacturing!H45,Calculations!$B$8:$I$31,7,FALSE),IF(F45=Calculations!$K$10,VLOOKUP(Manufacturing!H45,Calculations!$B$8:$I$31,8,FALSE),"N/A"))),"N/A")</f>
        <v>N/A</v>
      </c>
      <c r="J45" s="269" t="str">
        <f t="shared" si="1"/>
        <v>N/A</v>
      </c>
      <c r="K45" s="662"/>
      <c r="L45" s="684"/>
      <c r="M45" s="681"/>
      <c r="N45" s="665"/>
      <c r="O45" s="280"/>
      <c r="P45" s="277"/>
      <c r="Q45" s="277"/>
      <c r="R45" s="56"/>
      <c r="S45" s="56"/>
      <c r="T45" s="56"/>
      <c r="U45" s="56"/>
      <c r="V45" s="56"/>
      <c r="W45" s="277"/>
      <c r="X45" s="277"/>
      <c r="Y45" s="277"/>
      <c r="Z45" s="277"/>
      <c r="AA45" s="277"/>
      <c r="AB45" s="277"/>
      <c r="AC45" s="277"/>
      <c r="AD45" s="277"/>
      <c r="AE45" s="277"/>
    </row>
    <row r="46" spans="1:31" s="278" customFormat="1" ht="19.95" customHeight="1" x14ac:dyDescent="0.3">
      <c r="A46" s="274"/>
      <c r="B46" s="279"/>
      <c r="C46" s="652"/>
      <c r="D46" s="671"/>
      <c r="E46" s="266" t="s">
        <v>92</v>
      </c>
      <c r="F46" s="284" t="s">
        <v>61</v>
      </c>
      <c r="G46" s="267">
        <v>3.0000000000000001E-3</v>
      </c>
      <c r="H46" s="497" t="s">
        <v>62</v>
      </c>
      <c r="I46" s="268" t="str">
        <f>IFERROR(IF(F46=Calculations!$K$8,VLOOKUP(Manufacturing!H46,Calculations!$B$8:$I$31,6,FALSE),IF(Manufacturing!F46=Calculations!$K$9,VLOOKUP(Manufacturing!H46,Calculations!$B$8:$I$31,7,FALSE),IF(F46=Calculations!$K$10,VLOOKUP(Manufacturing!H46,Calculations!$B$8:$I$31,8,FALSE),"N/A"))),"N/A")</f>
        <v>N/A</v>
      </c>
      <c r="J46" s="269" t="str">
        <f t="shared" si="1"/>
        <v>N/A</v>
      </c>
      <c r="K46" s="662"/>
      <c r="L46" s="684"/>
      <c r="M46" s="681"/>
      <c r="N46" s="665"/>
      <c r="O46" s="280"/>
      <c r="P46" s="277"/>
      <c r="Q46" s="277"/>
      <c r="R46" s="56"/>
      <c r="S46" s="56"/>
      <c r="T46" s="56"/>
      <c r="U46" s="56"/>
      <c r="V46" s="56"/>
      <c r="W46" s="277"/>
      <c r="X46" s="277"/>
      <c r="Y46" s="277"/>
      <c r="Z46" s="277"/>
      <c r="AA46" s="277"/>
      <c r="AB46" s="277"/>
      <c r="AC46" s="277"/>
      <c r="AD46" s="277"/>
      <c r="AE46" s="277"/>
    </row>
    <row r="47" spans="1:31" s="278" customFormat="1" ht="19.95" customHeight="1" x14ac:dyDescent="0.3">
      <c r="A47" s="274"/>
      <c r="B47" s="279"/>
      <c r="C47" s="653"/>
      <c r="D47" s="671"/>
      <c r="E47" s="266" t="s">
        <v>61</v>
      </c>
      <c r="F47" s="284" t="s">
        <v>61</v>
      </c>
      <c r="G47" s="267">
        <v>1E-4</v>
      </c>
      <c r="H47" s="497" t="s">
        <v>62</v>
      </c>
      <c r="I47" s="268" t="str">
        <f>IFERROR(IF(F47=Calculations!$K$8,VLOOKUP(Manufacturing!H47,Calculations!$B$8:$I$31,6,FALSE),IF(Manufacturing!F47=Calculations!$K$9,VLOOKUP(Manufacturing!H47,Calculations!$B$8:$I$31,7,FALSE),IF(F47=Calculations!$K$10,VLOOKUP(Manufacturing!H47,Calculations!$B$8:$I$31,8,FALSE),"N/A"))),"N/A")</f>
        <v>N/A</v>
      </c>
      <c r="J47" s="269" t="str">
        <f t="shared" si="1"/>
        <v>N/A</v>
      </c>
      <c r="K47" s="663"/>
      <c r="L47" s="685"/>
      <c r="M47" s="682"/>
      <c r="N47" s="666"/>
      <c r="O47" s="280"/>
      <c r="P47" s="277"/>
      <c r="Q47" s="277"/>
      <c r="R47" s="56"/>
      <c r="S47" s="56"/>
      <c r="T47" s="56"/>
      <c r="U47" s="56"/>
      <c r="V47" s="56"/>
      <c r="W47" s="277"/>
      <c r="X47" s="277"/>
      <c r="Y47" s="277"/>
      <c r="Z47" s="277"/>
      <c r="AA47" s="277"/>
      <c r="AB47" s="277"/>
      <c r="AC47" s="277"/>
      <c r="AD47" s="277"/>
      <c r="AE47" s="277"/>
    </row>
    <row r="48" spans="1:31" x14ac:dyDescent="0.3">
      <c r="A48" s="60"/>
      <c r="B48" s="52"/>
      <c r="C48" s="34"/>
      <c r="D48" s="79"/>
      <c r="E48" s="79"/>
      <c r="F48" s="34"/>
      <c r="G48" s="34"/>
      <c r="H48" s="34"/>
      <c r="I48" s="34"/>
      <c r="J48" s="34"/>
      <c r="K48" s="34"/>
      <c r="L48" s="34"/>
      <c r="M48" s="34"/>
      <c r="N48" s="34"/>
      <c r="O48" s="51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x14ac:dyDescent="0.3">
      <c r="A49" s="60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x14ac:dyDescent="0.3">
      <c r="A50" s="60"/>
      <c r="B50" s="6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x14ac:dyDescent="0.3">
      <c r="A51" s="60"/>
      <c r="B51" s="60"/>
      <c r="C51" s="56"/>
      <c r="D51" s="56"/>
      <c r="E51" s="56"/>
      <c r="F51" s="56"/>
      <c r="G51" s="431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x14ac:dyDescent="0.3">
      <c r="A52" s="60"/>
      <c r="B52" s="6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x14ac:dyDescent="0.3">
      <c r="A53" s="60"/>
      <c r="B53" s="6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x14ac:dyDescent="0.3">
      <c r="A54" s="60"/>
      <c r="B54" s="6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x14ac:dyDescent="0.3">
      <c r="A55" s="60"/>
      <c r="B55" s="6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x14ac:dyDescent="0.3">
      <c r="A56" s="60"/>
      <c r="B56" s="6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x14ac:dyDescent="0.3">
      <c r="A57" s="60"/>
      <c r="B57" s="60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x14ac:dyDescent="0.3">
      <c r="A58" s="60"/>
      <c r="B58" s="60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x14ac:dyDescent="0.3">
      <c r="A59" s="60"/>
      <c r="B59" s="6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x14ac:dyDescent="0.3">
      <c r="A60" s="60"/>
      <c r="B60" s="60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x14ac:dyDescent="0.3">
      <c r="A61" s="60"/>
      <c r="B61" s="6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x14ac:dyDescent="0.3">
      <c r="A62" s="60"/>
      <c r="B62" s="6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x14ac:dyDescent="0.3">
      <c r="A63" s="60"/>
      <c r="B63" s="6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x14ac:dyDescent="0.3">
      <c r="A64" s="60"/>
      <c r="B64" s="6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x14ac:dyDescent="0.3">
      <c r="A65" s="60"/>
      <c r="B65" s="6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x14ac:dyDescent="0.3">
      <c r="A66" s="60"/>
      <c r="B66" s="60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x14ac:dyDescent="0.3">
      <c r="A67" s="60"/>
      <c r="B67" s="60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x14ac:dyDescent="0.3">
      <c r="A68" s="60"/>
      <c r="B68" s="60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x14ac:dyDescent="0.3">
      <c r="A69" s="60"/>
      <c r="B69" s="60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x14ac:dyDescent="0.3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x14ac:dyDescent="0.3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x14ac:dyDescent="0.3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x14ac:dyDescent="0.3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x14ac:dyDescent="0.3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x14ac:dyDescent="0.3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x14ac:dyDescent="0.3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x14ac:dyDescent="0.3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x14ac:dyDescent="0.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x14ac:dyDescent="0.3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x14ac:dyDescent="0.3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1:31" x14ac:dyDescent="0.3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</row>
    <row r="88" spans="1:31" x14ac:dyDescent="0.3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x14ac:dyDescent="0.3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x14ac:dyDescent="0.3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1:31" x14ac:dyDescent="0.3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</row>
    <row r="92" spans="1:31" x14ac:dyDescent="0.3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1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</row>
    <row r="94" spans="1:31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1:31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</row>
    <row r="96" spans="1:31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W96" s="56"/>
      <c r="X96" s="56"/>
      <c r="Y96" s="56"/>
      <c r="Z96" s="56"/>
      <c r="AA96" s="56"/>
      <c r="AB96" s="56"/>
      <c r="AC96" s="56"/>
      <c r="AD96" s="56"/>
      <c r="AE96" s="56"/>
    </row>
    <row r="97" spans="1:31" x14ac:dyDescent="0.3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W97" s="56"/>
      <c r="X97" s="56"/>
      <c r="Y97" s="56"/>
      <c r="Z97" s="56"/>
      <c r="AA97" s="56"/>
      <c r="AB97" s="56"/>
      <c r="AC97" s="56"/>
      <c r="AD97" s="56"/>
      <c r="AE97" s="56"/>
    </row>
    <row r="98" spans="1:31" x14ac:dyDescent="0.3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W98" s="56"/>
      <c r="X98" s="56"/>
      <c r="Y98" s="56"/>
      <c r="Z98" s="56"/>
      <c r="AA98" s="56"/>
      <c r="AB98" s="56"/>
      <c r="AC98" s="56"/>
      <c r="AD98" s="56"/>
      <c r="AE98" s="56"/>
    </row>
    <row r="99" spans="1:31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W99" s="56"/>
      <c r="X99" s="56"/>
      <c r="Y99" s="56"/>
      <c r="Z99" s="56"/>
      <c r="AA99" s="56"/>
      <c r="AB99" s="56"/>
      <c r="AC99" s="56"/>
      <c r="AD99" s="56"/>
      <c r="AE99" s="56"/>
    </row>
    <row r="100" spans="1:31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x14ac:dyDescent="0.3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W101" s="56"/>
      <c r="X101" s="56"/>
      <c r="Y101" s="56"/>
      <c r="Z101" s="56"/>
      <c r="AA101" s="56"/>
      <c r="AB101" s="56"/>
      <c r="AC101" s="56"/>
      <c r="AD101" s="56"/>
      <c r="AE101" s="56"/>
    </row>
    <row r="102" spans="1:31" x14ac:dyDescent="0.3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1:31" x14ac:dyDescent="0.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1:31" x14ac:dyDescent="0.3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x14ac:dyDescent="0.3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1:31" x14ac:dyDescent="0.3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31" x14ac:dyDescent="0.3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W107" s="56"/>
      <c r="X107" s="56"/>
      <c r="Y107" s="56"/>
      <c r="Z107" s="56"/>
      <c r="AA107" s="56"/>
      <c r="AB107" s="56"/>
      <c r="AC107" s="56"/>
      <c r="AD107" s="56"/>
      <c r="AE107" s="56"/>
    </row>
  </sheetData>
  <mergeCells count="80">
    <mergeCell ref="L24:L25"/>
    <mergeCell ref="L22:L23"/>
    <mergeCell ref="D22:E23"/>
    <mergeCell ref="F22:G23"/>
    <mergeCell ref="H22:I23"/>
    <mergeCell ref="J22:J23"/>
    <mergeCell ref="K22:K23"/>
    <mergeCell ref="H7:H8"/>
    <mergeCell ref="I7:I8"/>
    <mergeCell ref="J38:J39"/>
    <mergeCell ref="K38:K39"/>
    <mergeCell ref="L38:L39"/>
    <mergeCell ref="J9:J10"/>
    <mergeCell ref="K9:K10"/>
    <mergeCell ref="K11:K19"/>
    <mergeCell ref="L9:L10"/>
    <mergeCell ref="I9:I10"/>
    <mergeCell ref="H24:I25"/>
    <mergeCell ref="J26:J29"/>
    <mergeCell ref="K26:K29"/>
    <mergeCell ref="L26:L29"/>
    <mergeCell ref="K24:K25"/>
    <mergeCell ref="J24:J25"/>
    <mergeCell ref="D42:D47"/>
    <mergeCell ref="H38:H39"/>
    <mergeCell ref="N9:N10"/>
    <mergeCell ref="I38:I39"/>
    <mergeCell ref="H9:H10"/>
    <mergeCell ref="M11:M19"/>
    <mergeCell ref="M9:M10"/>
    <mergeCell ref="L11:L19"/>
    <mergeCell ref="M42:M47"/>
    <mergeCell ref="L42:L47"/>
    <mergeCell ref="C35:N37"/>
    <mergeCell ref="C38:C39"/>
    <mergeCell ref="D38:D39"/>
    <mergeCell ref="E38:E39"/>
    <mergeCell ref="M38:M39"/>
    <mergeCell ref="N38:N39"/>
    <mergeCell ref="M40:M41"/>
    <mergeCell ref="K42:K47"/>
    <mergeCell ref="N42:N47"/>
    <mergeCell ref="H40:H41"/>
    <mergeCell ref="I40:I41"/>
    <mergeCell ref="C42:C47"/>
    <mergeCell ref="K40:K41"/>
    <mergeCell ref="L40:L41"/>
    <mergeCell ref="C4:N6"/>
    <mergeCell ref="N40:N41"/>
    <mergeCell ref="J7:J8"/>
    <mergeCell ref="K7:K8"/>
    <mergeCell ref="L7:L8"/>
    <mergeCell ref="C7:C8"/>
    <mergeCell ref="D7:D8"/>
    <mergeCell ref="E7:E8"/>
    <mergeCell ref="F7:F8"/>
    <mergeCell ref="G7:G8"/>
    <mergeCell ref="M7:M8"/>
    <mergeCell ref="N7:N8"/>
    <mergeCell ref="N11:N19"/>
    <mergeCell ref="F38:F39"/>
    <mergeCell ref="D11:D19"/>
    <mergeCell ref="C11:C19"/>
    <mergeCell ref="G38:G39"/>
    <mergeCell ref="J40:J41"/>
    <mergeCell ref="C40:C41"/>
    <mergeCell ref="D40:D41"/>
    <mergeCell ref="E40:E41"/>
    <mergeCell ref="F40:F41"/>
    <mergeCell ref="G40:G41"/>
    <mergeCell ref="C24:C25"/>
    <mergeCell ref="D24:E25"/>
    <mergeCell ref="F24:G25"/>
    <mergeCell ref="C22:C23"/>
    <mergeCell ref="C26:C29"/>
    <mergeCell ref="G9:G10"/>
    <mergeCell ref="F9:F10"/>
    <mergeCell ref="C9:C10"/>
    <mergeCell ref="D9:D10"/>
    <mergeCell ref="E9:E10"/>
  </mergeCells>
  <conditionalFormatting sqref="F11:F20 F42:F47">
    <cfRule type="containsText" dxfId="1" priority="2" operator="containsText" text="Other">
      <formula>NOT(ISERROR(SEARCH("Other",F11)))</formula>
    </cfRule>
  </conditionalFormatting>
  <conditionalFormatting sqref="H11:J20 H42:J47">
    <cfRule type="containsText" dxfId="0" priority="1" operator="containsText" text="N/A">
      <formula>NOT(ISERROR(SEARCH("N/A",H11)))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35766C4-9989-4A0E-B8D1-9C9C04E6C03A}">
          <x14:formula1>
            <xm:f>Calculations!$B$8:$B$33</xm:f>
          </x14:formula1>
          <xm:sqref>H42:H47 H11:H19</xm:sqref>
        </x14:dataValidation>
        <x14:dataValidation type="list" allowBlank="1" showInputMessage="1" showErrorMessage="1" xr:uid="{1D319444-2509-4359-8449-C9F03302F67F}">
          <x14:formula1>
            <xm:f>Calculations!$M$8:$M$12</xm:f>
          </x14:formula1>
          <xm:sqref>F20</xm:sqref>
        </x14:dataValidation>
        <x14:dataValidation type="list" allowBlank="1" showInputMessage="1" showErrorMessage="1" xr:uid="{40DEF2AE-80E4-465B-B42E-8502A69078C1}">
          <x14:formula1>
            <xm:f>'Electric Battery'!$A$44:$A$49</xm:f>
          </x14:formula1>
          <xm:sqref>J26:J29</xm:sqref>
        </x14:dataValidation>
        <x14:dataValidation type="list" allowBlank="1" showInputMessage="1" showErrorMessage="1" xr:uid="{15C7903E-A5FE-418E-912E-EB115D1F4857}">
          <x14:formula1>
            <xm:f>Calculations!$K$8:$K$12</xm:f>
          </x14:formula1>
          <xm:sqref>F11:F19 F42:F47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EFE0-B65C-4621-B360-4431A30A6B55}">
  <sheetPr codeName="Ark7">
    <tabColor theme="7" tint="0.39997558519241921"/>
  </sheetPr>
  <dimension ref="A1:AL349"/>
  <sheetViews>
    <sheetView tabSelected="1" topLeftCell="A40" zoomScale="35" zoomScaleNormal="35" workbookViewId="0">
      <selection activeCell="F90" sqref="F90"/>
    </sheetView>
  </sheetViews>
  <sheetFormatPr baseColWidth="10" defaultColWidth="11.44140625" defaultRowHeight="14.4" x14ac:dyDescent="0.3"/>
  <cols>
    <col min="3" max="3" width="21" bestFit="1" customWidth="1"/>
    <col min="4" max="4" width="43.44140625" customWidth="1"/>
    <col min="5" max="5" width="40.44140625" customWidth="1"/>
    <col min="6" max="6" width="40" customWidth="1"/>
    <col min="7" max="7" width="12.77734375" customWidth="1"/>
    <col min="8" max="8" width="19.44140625" customWidth="1"/>
    <col min="9" max="9" width="15.44140625" customWidth="1"/>
    <col min="10" max="10" width="18.77734375" customWidth="1"/>
    <col min="11" max="11" width="18" customWidth="1"/>
    <col min="12" max="12" width="19.21875" customWidth="1"/>
    <col min="13" max="13" width="28.77734375" customWidth="1"/>
    <col min="14" max="15" width="21.44140625" customWidth="1"/>
    <col min="16" max="16" width="21.21875" customWidth="1"/>
    <col min="17" max="17" width="14.44140625" customWidth="1"/>
    <col min="18" max="18" width="17.44140625" customWidth="1"/>
    <col min="19" max="19" width="21.44140625" customWidth="1"/>
    <col min="20" max="20" width="25.77734375" customWidth="1"/>
    <col min="26" max="26" width="13.21875" customWidth="1"/>
  </cols>
  <sheetData>
    <row r="1" spans="1:38" s="60" customFormat="1" x14ac:dyDescent="0.3">
      <c r="B1" s="264"/>
    </row>
    <row r="2" spans="1:38" s="60" customFormat="1" x14ac:dyDescent="0.3">
      <c r="B2" s="264"/>
    </row>
    <row r="3" spans="1:38" x14ac:dyDescent="0.3">
      <c r="A3" s="60"/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56"/>
      <c r="AK3" s="56"/>
      <c r="AL3" s="56"/>
    </row>
    <row r="4" spans="1:38" ht="19.95" customHeight="1" x14ac:dyDescent="0.3">
      <c r="A4" s="60"/>
      <c r="B4" s="68"/>
      <c r="C4" s="739" t="s">
        <v>499</v>
      </c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46"/>
      <c r="V4" s="56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56"/>
      <c r="AK4" s="56"/>
      <c r="AL4" s="56"/>
    </row>
    <row r="5" spans="1:38" ht="19.95" customHeight="1" x14ac:dyDescent="0.3">
      <c r="A5" s="60"/>
      <c r="B5" s="39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47"/>
      <c r="V5" s="56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56"/>
      <c r="AK5" s="56"/>
      <c r="AL5" s="56"/>
    </row>
    <row r="6" spans="1:38" ht="19.95" customHeight="1" x14ac:dyDescent="0.3">
      <c r="A6" s="60"/>
      <c r="B6" s="39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47"/>
      <c r="V6" s="56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6"/>
      <c r="AK6" s="56"/>
      <c r="AL6" s="56"/>
    </row>
    <row r="7" spans="1:38" ht="19.95" customHeight="1" x14ac:dyDescent="0.3">
      <c r="A7" s="60"/>
      <c r="B7" s="39"/>
      <c r="C7" s="698" t="s">
        <v>93</v>
      </c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47"/>
      <c r="V7" s="56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56"/>
      <c r="AK7" s="56"/>
      <c r="AL7" s="56"/>
    </row>
    <row r="8" spans="1:38" ht="19.95" customHeight="1" x14ac:dyDescent="0.3">
      <c r="A8" s="60"/>
      <c r="B8" s="39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47"/>
      <c r="V8" s="56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56"/>
      <c r="AK8" s="56"/>
      <c r="AL8" s="56"/>
    </row>
    <row r="9" spans="1:38" s="278" customFormat="1" ht="19.95" customHeight="1" x14ac:dyDescent="0.3">
      <c r="A9" s="274"/>
      <c r="B9" s="744"/>
      <c r="C9" s="636" t="s">
        <v>94</v>
      </c>
      <c r="D9" s="636" t="s">
        <v>95</v>
      </c>
      <c r="E9" s="636" t="s">
        <v>96</v>
      </c>
      <c r="F9" s="636" t="s">
        <v>97</v>
      </c>
      <c r="G9" s="636" t="s">
        <v>98</v>
      </c>
      <c r="H9" s="636"/>
      <c r="I9" s="636"/>
      <c r="J9" s="636" t="s">
        <v>99</v>
      </c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276"/>
      <c r="V9" s="277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7"/>
      <c r="AK9" s="277"/>
      <c r="AL9" s="277"/>
    </row>
    <row r="10" spans="1:38" s="278" customFormat="1" ht="19.95" customHeight="1" x14ac:dyDescent="0.3">
      <c r="A10" s="274"/>
      <c r="B10" s="744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276"/>
      <c r="V10" s="277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7"/>
      <c r="AK10" s="277"/>
      <c r="AL10" s="277"/>
    </row>
    <row r="11" spans="1:38" s="278" customFormat="1" ht="19.95" customHeight="1" x14ac:dyDescent="0.3">
      <c r="A11" s="274"/>
      <c r="B11" s="275"/>
      <c r="C11" s="705" t="s">
        <v>100</v>
      </c>
      <c r="D11" s="708" t="s">
        <v>101</v>
      </c>
      <c r="E11" s="711" t="s">
        <v>102</v>
      </c>
      <c r="F11" s="713" t="s">
        <v>103</v>
      </c>
      <c r="G11" s="629" t="s">
        <v>104</v>
      </c>
      <c r="H11" s="629" t="s">
        <v>105</v>
      </c>
      <c r="I11" s="629" t="s">
        <v>106</v>
      </c>
      <c r="J11" s="629" t="s">
        <v>107</v>
      </c>
      <c r="K11" s="629" t="s">
        <v>108</v>
      </c>
      <c r="L11" s="629" t="s">
        <v>109</v>
      </c>
      <c r="M11" s="675" t="s">
        <v>110</v>
      </c>
      <c r="N11" s="629" t="s">
        <v>111</v>
      </c>
      <c r="O11" s="675" t="s">
        <v>112</v>
      </c>
      <c r="P11" s="629" t="s">
        <v>113</v>
      </c>
      <c r="Q11" s="629" t="s">
        <v>114</v>
      </c>
      <c r="R11" s="629" t="s">
        <v>115</v>
      </c>
      <c r="S11" s="629" t="s">
        <v>116</v>
      </c>
      <c r="T11" s="701" t="s">
        <v>117</v>
      </c>
      <c r="U11" s="276"/>
      <c r="V11" s="277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7"/>
      <c r="AK11" s="277"/>
      <c r="AL11" s="277"/>
    </row>
    <row r="12" spans="1:38" s="278" customFormat="1" ht="19.95" customHeight="1" x14ac:dyDescent="0.3">
      <c r="A12" s="274"/>
      <c r="B12" s="275"/>
      <c r="C12" s="706"/>
      <c r="D12" s="709"/>
      <c r="E12" s="709"/>
      <c r="F12" s="713"/>
      <c r="G12" s="628"/>
      <c r="H12" s="628"/>
      <c r="I12" s="628"/>
      <c r="J12" s="628"/>
      <c r="K12" s="628"/>
      <c r="L12" s="628"/>
      <c r="M12" s="674"/>
      <c r="N12" s="628"/>
      <c r="O12" s="674"/>
      <c r="P12" s="628"/>
      <c r="Q12" s="628"/>
      <c r="R12" s="628"/>
      <c r="S12" s="628"/>
      <c r="T12" s="702"/>
      <c r="U12" s="276"/>
      <c r="V12" s="277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7"/>
      <c r="AK12" s="277"/>
      <c r="AL12" s="277"/>
    </row>
    <row r="13" spans="1:38" s="278" customFormat="1" ht="19.95" customHeight="1" x14ac:dyDescent="0.3">
      <c r="A13" s="274"/>
      <c r="B13" s="275"/>
      <c r="C13" s="707"/>
      <c r="D13" s="710"/>
      <c r="E13" s="712"/>
      <c r="F13" s="713"/>
      <c r="G13" s="695"/>
      <c r="H13" s="695"/>
      <c r="I13" s="628"/>
      <c r="J13" s="695"/>
      <c r="K13" s="695"/>
      <c r="L13" s="628"/>
      <c r="M13" s="741"/>
      <c r="N13" s="695"/>
      <c r="O13" s="674"/>
      <c r="P13" s="628"/>
      <c r="Q13" s="695"/>
      <c r="R13" s="628"/>
      <c r="S13" s="628"/>
      <c r="T13" s="704"/>
      <c r="U13" s="276"/>
      <c r="V13" s="277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7"/>
      <c r="AK13" s="277"/>
      <c r="AL13" s="277"/>
    </row>
    <row r="14" spans="1:38" s="278" customFormat="1" ht="28.8" x14ac:dyDescent="0.3">
      <c r="A14" s="274"/>
      <c r="B14" s="275"/>
      <c r="C14" s="158" t="s">
        <v>52</v>
      </c>
      <c r="D14" s="489" t="s">
        <v>118</v>
      </c>
      <c r="E14" s="470" t="s">
        <v>119</v>
      </c>
      <c r="F14" s="158" t="s">
        <v>120</v>
      </c>
      <c r="G14" s="158">
        <v>245</v>
      </c>
      <c r="H14" s="158">
        <f>IFERROR(VLOOKUP(F14,Calculations!$B$61:$N$64,2,FALSE),"")</f>
        <v>14</v>
      </c>
      <c r="I14" s="215">
        <f>IFERROR(VLOOKUP(F14,Calculations!$B$61:$N$64,4,FALSE),"")</f>
        <v>26</v>
      </c>
      <c r="J14" s="194">
        <v>0.7</v>
      </c>
      <c r="K14" s="215">
        <f>IFERROR(I14*J14,"")</f>
        <v>18.2</v>
      </c>
      <c r="L14" s="207">
        <f>IFERROR(VLOOKUP(C14,Calculations!$C$43:$F$48,4,FALSE),"")</f>
        <v>3859.5185426154849</v>
      </c>
      <c r="M14" s="210">
        <f>IFERROR(VLOOKUP(F14,Calculations!$B$61:$N$64,5,FALSE),"")</f>
        <v>0.23499999999999999</v>
      </c>
      <c r="N14" s="163">
        <f>IFERROR(VLOOKUP(F14,Calculations!$B$61:$N$64,6,FALSE),"")</f>
        <v>0.32</v>
      </c>
      <c r="O14" s="164">
        <f>IFERROR(VLOOKUP(F14,Calculations!$B$61:$N$64,7,FALSE),"")</f>
        <v>3.2692307692307699E-3</v>
      </c>
      <c r="P14" s="189">
        <f>IFERROR((M14+O14*K14)*G14,"")</f>
        <v>72.152499999999989</v>
      </c>
      <c r="Q14" s="165" t="str">
        <f>IFERROR(VLOOKUP(F14,Calculations!$B$61:$N$64,11,FALSE),"")</f>
        <v>Diesel</v>
      </c>
      <c r="R14" s="166">
        <f>IFERROR(VLOOKUP(F14,Calculations!$B$61:$N$64,12,FALSE),"")</f>
        <v>2.6</v>
      </c>
      <c r="S14" s="486">
        <f>IFERROR((P14*R14),"")</f>
        <v>187.59649999999999</v>
      </c>
      <c r="T14" s="483">
        <f>IFERROR((S14/(K14*1000))*L14,"")</f>
        <v>39.781987378009106</v>
      </c>
      <c r="U14" s="276"/>
      <c r="V14" s="277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7"/>
      <c r="AK14" s="277"/>
      <c r="AL14" s="277"/>
    </row>
    <row r="15" spans="1:38" s="278" customFormat="1" ht="21.6" customHeight="1" x14ac:dyDescent="0.3">
      <c r="A15" s="274"/>
      <c r="B15" s="275"/>
      <c r="C15" s="168" t="s">
        <v>57</v>
      </c>
      <c r="D15" s="747" t="s">
        <v>121</v>
      </c>
      <c r="E15" s="472" t="s">
        <v>122</v>
      </c>
      <c r="F15" s="168" t="s">
        <v>120</v>
      </c>
      <c r="G15" s="168">
        <v>816</v>
      </c>
      <c r="H15" s="168">
        <f>IFERROR(VLOOKUP(F15,Calculations!$B$61:$N$64,2,FALSE),"")</f>
        <v>14</v>
      </c>
      <c r="I15" s="525">
        <f>IFERROR(VLOOKUP(F15,Calculations!$B$61:$N$64,4,FALSE),"")</f>
        <v>26</v>
      </c>
      <c r="J15" s="197">
        <v>0.7</v>
      </c>
      <c r="K15" s="525">
        <f>IFERROR(I15*J15,"")</f>
        <v>18.2</v>
      </c>
      <c r="L15" s="208">
        <f>IFERROR(VLOOKUP(C15,Calculations!$C$43:$F$48,4,FALSE),"")</f>
        <v>66.831489915419652</v>
      </c>
      <c r="M15" s="211">
        <f>IFERROR(VLOOKUP(F15,Calculations!$B$61:$N$64,5,FALSE),"")</f>
        <v>0.23499999999999999</v>
      </c>
      <c r="N15" s="482">
        <f>IFERROR(VLOOKUP(F15,Calculations!$B$61:$N$64,6,FALSE),"")</f>
        <v>0.32</v>
      </c>
      <c r="O15" s="173">
        <f>IFERROR(VLOOKUP(F15,Calculations!$B$61:$N$64,7,FALSE),"")</f>
        <v>3.2692307692307699E-3</v>
      </c>
      <c r="P15" s="190">
        <f>IFERROR((M15+O15*K15)*G15,"")</f>
        <v>240.31199999999998</v>
      </c>
      <c r="Q15" s="175" t="str">
        <f>IFERROR(VLOOKUP(F15,Calculations!$B$61:$N$64,11,FALSE),"")</f>
        <v>Diesel</v>
      </c>
      <c r="R15" s="176">
        <f>IFERROR(VLOOKUP(F15,Calculations!$B$61:$N$64,12,FALSE),"")</f>
        <v>2.6</v>
      </c>
      <c r="S15" s="487">
        <f>IFERROR((P15*R15),"")</f>
        <v>624.81119999999999</v>
      </c>
      <c r="T15" s="531">
        <f>IFERROR((S15/(K15*1000))*L15,"")</f>
        <v>2.2943441435077614</v>
      </c>
      <c r="U15" s="276"/>
      <c r="V15" s="277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7"/>
      <c r="AK15" s="277"/>
      <c r="AL15" s="277"/>
    </row>
    <row r="16" spans="1:38" s="278" customFormat="1" ht="19.95" customHeight="1" x14ac:dyDescent="0.3">
      <c r="A16" s="274"/>
      <c r="B16" s="275"/>
      <c r="C16" s="168" t="s">
        <v>57</v>
      </c>
      <c r="D16" s="747"/>
      <c r="E16" s="472" t="s">
        <v>123</v>
      </c>
      <c r="F16" s="168" t="s">
        <v>120</v>
      </c>
      <c r="G16" s="168">
        <v>6.2</v>
      </c>
      <c r="H16" s="168">
        <f>IFERROR(VLOOKUP(F16,Calculations!$B$61:$N$64,2,FALSE),"")</f>
        <v>14</v>
      </c>
      <c r="I16" s="178">
        <f>IFERROR(VLOOKUP(F16,Calculations!$B$61:$N$64,4,FALSE),"")</f>
        <v>26</v>
      </c>
      <c r="J16" s="197">
        <v>0.7</v>
      </c>
      <c r="K16" s="178">
        <f>IFERROR(I16*J16,"")</f>
        <v>18.2</v>
      </c>
      <c r="L16" s="208">
        <f>IFERROR(VLOOKUP(C16,Calculations!$C$43:$F$48,4,FALSE),"")</f>
        <v>66.831489915419652</v>
      </c>
      <c r="M16" s="211">
        <f>IFERROR(VLOOKUP(F16,Calculations!$B$61:$N$64,5,FALSE),"")</f>
        <v>0.23499999999999999</v>
      </c>
      <c r="N16" s="482">
        <f>IFERROR(VLOOKUP(F16,Calculations!$B$61:$N$64,6,FALSE),"")</f>
        <v>0.32</v>
      </c>
      <c r="O16" s="173">
        <f>IFERROR(VLOOKUP(F16,Calculations!$B$61:$N$64,7,FALSE),"")</f>
        <v>3.2692307692307699E-3</v>
      </c>
      <c r="P16" s="190">
        <f t="shared" ref="P16:P25" si="0">IFERROR((M16+O16*K16)*G16,"")</f>
        <v>1.8258999999999999</v>
      </c>
      <c r="Q16" s="175" t="str">
        <f>IFERROR(VLOOKUP(F16,Calculations!$B$61:$N$64,11,FALSE),"")</f>
        <v>Diesel</v>
      </c>
      <c r="R16" s="176">
        <f>IFERROR(VLOOKUP(F16,Calculations!$B$61:$N$64,12,FALSE),"")</f>
        <v>2.6</v>
      </c>
      <c r="S16" s="487">
        <f t="shared" ref="S16:S25" si="1">IFERROR((P16*R16),"")</f>
        <v>4.7473399999999994</v>
      </c>
      <c r="T16" s="484">
        <f>IFERROR((S16/(K16*1000))*L16,"")</f>
        <v>1.7432516776652106E-2</v>
      </c>
      <c r="U16" s="276"/>
      <c r="V16" s="277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7"/>
      <c r="AK16" s="277"/>
      <c r="AL16" s="277"/>
    </row>
    <row r="17" spans="1:38" s="278" customFormat="1" ht="19.95" customHeight="1" x14ac:dyDescent="0.3">
      <c r="A17" s="274"/>
      <c r="B17" s="275"/>
      <c r="C17" s="168" t="s">
        <v>58</v>
      </c>
      <c r="D17" s="748" t="s">
        <v>124</v>
      </c>
      <c r="E17" s="471" t="s">
        <v>125</v>
      </c>
      <c r="F17" s="168" t="s">
        <v>120</v>
      </c>
      <c r="G17" s="168">
        <v>148</v>
      </c>
      <c r="H17" s="168">
        <f>IFERROR(VLOOKUP(F17,Calculations!$B$61:$N$64,2,FALSE),"")</f>
        <v>14</v>
      </c>
      <c r="I17" s="178">
        <f>IFERROR(VLOOKUP(F17,Calculations!$B$61:$N$64,4,FALSE),"")</f>
        <v>26</v>
      </c>
      <c r="J17" s="197">
        <v>0.7</v>
      </c>
      <c r="K17" s="178">
        <f>IFERROR(I17*J17,"")</f>
        <v>18.2</v>
      </c>
      <c r="L17" s="208">
        <f>IFERROR(VLOOKUP(C17,Calculations!$C$43:$F$48,4,FALSE),"")</f>
        <v>253.40273259596617</v>
      </c>
      <c r="M17" s="211">
        <f>IFERROR(VLOOKUP(F17,Calculations!$B$61:$N$64,5,FALSE),"")</f>
        <v>0.23499999999999999</v>
      </c>
      <c r="N17" s="172">
        <f>IFERROR(VLOOKUP(F17,Calculations!$B$61:$N$64,6,FALSE),"")</f>
        <v>0.32</v>
      </c>
      <c r="O17" s="173">
        <f>IFERROR(VLOOKUP(F17,Calculations!$B$61:$N$64,7,FALSE),"")</f>
        <v>3.2692307692307699E-3</v>
      </c>
      <c r="P17" s="190">
        <f>IFERROR((M17+O17*K17)*G17,"")</f>
        <v>43.585999999999999</v>
      </c>
      <c r="Q17" s="175" t="str">
        <f>IFERROR(VLOOKUP(F17,Calculations!$B$61:$N$64,11,FALSE),"")</f>
        <v>Diesel</v>
      </c>
      <c r="R17" s="176">
        <f>IFERROR(VLOOKUP(F17,Calculations!$B$61:$N$64,12,FALSE),"")</f>
        <v>2.6</v>
      </c>
      <c r="S17" s="487">
        <f>IFERROR((P17*R17),"")</f>
        <v>113.3236</v>
      </c>
      <c r="T17" s="484">
        <f>IFERROR((S17/(K17*1000))*L17,"")</f>
        <v>1.5778302147039687</v>
      </c>
      <c r="U17" s="276"/>
      <c r="V17" s="277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7"/>
      <c r="AK17" s="277"/>
      <c r="AL17" s="277"/>
    </row>
    <row r="18" spans="1:38" s="278" customFormat="1" ht="19.95" customHeight="1" x14ac:dyDescent="0.3">
      <c r="A18" s="274"/>
      <c r="B18" s="275"/>
      <c r="C18" s="168" t="s">
        <v>58</v>
      </c>
      <c r="D18" s="748"/>
      <c r="E18" s="472" t="s">
        <v>126</v>
      </c>
      <c r="F18" s="168" t="s">
        <v>120</v>
      </c>
      <c r="G18" s="168">
        <v>6.2</v>
      </c>
      <c r="H18" s="526">
        <f>IFERROR(VLOOKUP(F18,Calculations!$B$61:$N$64,2,FALSE),"")</f>
        <v>14</v>
      </c>
      <c r="I18" s="527">
        <f>IFERROR(VLOOKUP(F18,Calculations!$B$61:$N$64,4,FALSE),"")</f>
        <v>26</v>
      </c>
      <c r="J18" s="197">
        <v>0.7</v>
      </c>
      <c r="K18" s="526">
        <f>IFERROR(I18*J18,"")</f>
        <v>18.2</v>
      </c>
      <c r="L18" s="528">
        <f>IFERROR(VLOOKUP(C18,Calculations!$C$43:$F$48,4,FALSE),"")</f>
        <v>253.40273259596617</v>
      </c>
      <c r="M18" s="529">
        <f>IFERROR(VLOOKUP(F18,Calculations!$B$61:$N$64,5,FALSE),"")</f>
        <v>0.23499999999999999</v>
      </c>
      <c r="N18" s="526">
        <f>IFERROR(VLOOKUP(F18,Calculations!$B$61:$N$64,6,FALSE),"")</f>
        <v>0.32</v>
      </c>
      <c r="O18" s="173">
        <f>IFERROR(VLOOKUP(F18,Calculations!$B$61:$N$64,7,FALSE),"")</f>
        <v>3.2692307692307699E-3</v>
      </c>
      <c r="P18" s="536">
        <f>IFERROR((M18+O18*K18)*G18,"")</f>
        <v>1.8258999999999999</v>
      </c>
      <c r="Q18" s="175" t="str">
        <f>IFERROR(VLOOKUP(F18,Calculations!$B$61:$N$64,11,FALSE),"")</f>
        <v>Diesel</v>
      </c>
      <c r="R18" s="176">
        <f>IFERROR(VLOOKUP(F18,Calculations!$B$61:$N$64,12,FALSE),"")</f>
        <v>2.6</v>
      </c>
      <c r="S18" s="487">
        <f>IFERROR((P18*R18),"")</f>
        <v>4.7473399999999994</v>
      </c>
      <c r="T18" s="484">
        <f>IFERROR((S18/(K18*1000))*L18,"")</f>
        <v>6.6098292778139237E-2</v>
      </c>
      <c r="U18" s="276"/>
      <c r="V18" s="277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7"/>
      <c r="AK18" s="277"/>
      <c r="AL18" s="277"/>
    </row>
    <row r="19" spans="1:38" s="278" customFormat="1" ht="19.95" customHeight="1" x14ac:dyDescent="0.3">
      <c r="A19" s="274"/>
      <c r="B19" s="275"/>
      <c r="C19" s="168"/>
      <c r="D19" s="219"/>
      <c r="E19" s="471" t="s">
        <v>127</v>
      </c>
      <c r="F19" s="168"/>
      <c r="G19" s="168"/>
      <c r="H19" s="168" t="str">
        <f>IFERROR(VLOOKUP(F19,Calculations!$B$61:$N$64,2,FALSE),"")</f>
        <v/>
      </c>
      <c r="I19" s="178" t="str">
        <f>IFERROR(VLOOKUP(F19,Calculations!$B$61:$N$64,4,FALSE),"")</f>
        <v/>
      </c>
      <c r="J19" s="197"/>
      <c r="K19" s="178" t="str">
        <f t="shared" ref="K19:K25" si="2">IFERROR(I19*J19,"")</f>
        <v/>
      </c>
      <c r="L19" s="208" t="str">
        <f>IFERROR(VLOOKUP(C19,Calculations!$C$43:$F$48,4,FALSE),"")</f>
        <v/>
      </c>
      <c r="M19" s="211" t="str">
        <f>IFERROR(VLOOKUP(F19,Calculations!$B$61:$N$64,5,FALSE),"")</f>
        <v/>
      </c>
      <c r="N19" s="172" t="str">
        <f>IFERROR(VLOOKUP(F19,Calculations!$B$61:$N$64,6,FALSE),"")</f>
        <v/>
      </c>
      <c r="O19" s="173" t="str">
        <f>IFERROR(VLOOKUP(F19,Calculations!$B$61:$N$64,7,FALSE),"")</f>
        <v/>
      </c>
      <c r="P19" s="174" t="str">
        <f t="shared" si="0"/>
        <v/>
      </c>
      <c r="Q19" s="175" t="str">
        <f>IFERROR(VLOOKUP(F19,Calculations!$B$61:$N$64,11,FALSE),"")</f>
        <v/>
      </c>
      <c r="R19" s="176" t="str">
        <f>IFERROR(VLOOKUP(F19,Calculations!$B$61:$N$64,12,FALSE),"")</f>
        <v/>
      </c>
      <c r="S19" s="487" t="str">
        <f t="shared" si="1"/>
        <v/>
      </c>
      <c r="T19" s="484" t="str">
        <f t="shared" ref="T19:T25" si="3">IFERROR((S19/(K19*1000))*L19,"")</f>
        <v/>
      </c>
      <c r="U19" s="276"/>
      <c r="V19" s="277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7"/>
      <c r="AK19" s="277"/>
      <c r="AL19" s="277"/>
    </row>
    <row r="20" spans="1:38" s="278" customFormat="1" ht="19.95" customHeight="1" x14ac:dyDescent="0.3">
      <c r="A20" s="274"/>
      <c r="B20" s="275"/>
      <c r="C20" s="168" t="s">
        <v>50</v>
      </c>
      <c r="D20" s="747" t="s">
        <v>128</v>
      </c>
      <c r="E20" s="471" t="s">
        <v>129</v>
      </c>
      <c r="F20" s="168" t="s">
        <v>120</v>
      </c>
      <c r="G20" s="168">
        <v>6.2</v>
      </c>
      <c r="H20" s="168">
        <f>IFERROR(VLOOKUP(F20,Calculations!$B$61:$N$64,2,FALSE),"")</f>
        <v>14</v>
      </c>
      <c r="I20" s="178">
        <f>IFERROR(VLOOKUP(F20,Calculations!$B$61:$N$64,4,FALSE),"")</f>
        <v>26</v>
      </c>
      <c r="J20" s="197">
        <v>0.7</v>
      </c>
      <c r="K20" s="178">
        <f>IFERROR(I20*J20,"")</f>
        <v>18.2</v>
      </c>
      <c r="L20" s="208">
        <f>IFERROR(VLOOKUP(C20,Calculations!$C$43:$F$48,4,FALSE),"")</f>
        <v>4280</v>
      </c>
      <c r="M20" s="211">
        <f>IFERROR(VLOOKUP(F20,Calculations!$B$61:$N$64,5,FALSE),"")</f>
        <v>0.23499999999999999</v>
      </c>
      <c r="N20" s="172">
        <f>IFERROR(VLOOKUP(F20,Calculations!$B$61:$N$64,6,FALSE),"")</f>
        <v>0.32</v>
      </c>
      <c r="O20" s="173">
        <f>IFERROR(VLOOKUP(F20,Calculations!$B$61:$N$64,7,FALSE),"")</f>
        <v>3.2692307692307699E-3</v>
      </c>
      <c r="P20" s="190">
        <f>IFERROR((M20+O20*K20)*G20,"")</f>
        <v>1.8258999999999999</v>
      </c>
      <c r="Q20" s="175" t="str">
        <f>IFERROR(VLOOKUP(F20,Calculations!$B$61:$N$64,11,FALSE),"")</f>
        <v>Diesel</v>
      </c>
      <c r="R20" s="176">
        <f>IFERROR(VLOOKUP(F20,Calculations!$B$61:$N$64,12,FALSE),"")</f>
        <v>2.6</v>
      </c>
      <c r="S20" s="487">
        <f t="shared" si="1"/>
        <v>4.7473399999999994</v>
      </c>
      <c r="T20" s="484">
        <f t="shared" si="3"/>
        <v>1.1164074285714285</v>
      </c>
      <c r="U20" s="276"/>
      <c r="V20" s="277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7"/>
      <c r="AK20" s="277"/>
      <c r="AL20" s="277"/>
    </row>
    <row r="21" spans="1:38" s="278" customFormat="1" ht="30" customHeight="1" x14ac:dyDescent="0.3">
      <c r="A21" s="274"/>
      <c r="B21" s="275"/>
      <c r="C21" s="168" t="s">
        <v>50</v>
      </c>
      <c r="D21" s="747"/>
      <c r="E21" s="472" t="s">
        <v>130</v>
      </c>
      <c r="F21" s="168" t="s">
        <v>120</v>
      </c>
      <c r="G21" s="168">
        <v>1245.5</v>
      </c>
      <c r="H21" s="168">
        <f>IFERROR(VLOOKUP(F21,Calculations!$B$61:$N$64,2,FALSE),"")</f>
        <v>14</v>
      </c>
      <c r="I21" s="178">
        <f>IFERROR(VLOOKUP(F21,Calculations!$B$61:$N$64,4,FALSE),"")</f>
        <v>26</v>
      </c>
      <c r="J21" s="197">
        <v>0.7</v>
      </c>
      <c r="K21" s="178">
        <f t="shared" si="2"/>
        <v>18.2</v>
      </c>
      <c r="L21" s="208">
        <f>IFERROR(VLOOKUP(C21,Calculations!$C$43:$F$48,4,FALSE),"")</f>
        <v>4280</v>
      </c>
      <c r="M21" s="211">
        <f>IFERROR(VLOOKUP(F21,Calculations!$B$61:$N$64,5,FALSE),"")</f>
        <v>0.23499999999999999</v>
      </c>
      <c r="N21" s="172">
        <f>IFERROR(VLOOKUP(F21,Calculations!$B$61:$N$64,6,FALSE),"")</f>
        <v>0.32</v>
      </c>
      <c r="O21" s="173">
        <f>IFERROR(VLOOKUP(F21,Calculations!$B$61:$N$64,7,FALSE),"")</f>
        <v>3.2692307692307699E-3</v>
      </c>
      <c r="P21" s="190">
        <f t="shared" si="0"/>
        <v>366.79974999999996</v>
      </c>
      <c r="Q21" s="175" t="str">
        <f>IFERROR(VLOOKUP(F21,Calculations!$B$61:$N$64,11,FALSE),"")</f>
        <v>Diesel</v>
      </c>
      <c r="R21" s="176">
        <f>IFERROR(VLOOKUP(F21,Calculations!$B$61:$N$64,12,FALSE),"")</f>
        <v>2.6</v>
      </c>
      <c r="S21" s="487">
        <f t="shared" si="1"/>
        <v>953.67934999999989</v>
      </c>
      <c r="T21" s="484">
        <f t="shared" si="3"/>
        <v>224.27184714285713</v>
      </c>
      <c r="U21" s="276"/>
      <c r="V21" s="277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7"/>
      <c r="AK21" s="277"/>
      <c r="AL21" s="277"/>
    </row>
    <row r="22" spans="1:38" s="278" customFormat="1" ht="19.95" customHeight="1" x14ac:dyDescent="0.3">
      <c r="A22" s="274"/>
      <c r="B22" s="275"/>
      <c r="C22" s="168"/>
      <c r="D22" s="219"/>
      <c r="E22" s="471"/>
      <c r="F22" s="168"/>
      <c r="G22" s="168"/>
      <c r="H22" s="168" t="str">
        <f>IFERROR(VLOOKUP(F22,Calculations!$B$61:$N$64,2,FALSE),"")</f>
        <v/>
      </c>
      <c r="I22" s="178" t="str">
        <f>IFERROR(VLOOKUP(F22,Calculations!$B$61:$N$64,4,FALSE),"")</f>
        <v/>
      </c>
      <c r="J22" s="197"/>
      <c r="K22" s="178" t="str">
        <f t="shared" si="2"/>
        <v/>
      </c>
      <c r="L22" s="208" t="str">
        <f>IFERROR(VLOOKUP(C22,Calculations!$C$43:$F$48,4,FALSE),"")</f>
        <v/>
      </c>
      <c r="M22" s="211" t="str">
        <f>IFERROR(VLOOKUP(F22,Calculations!$B$61:$N$64,5,FALSE),"")</f>
        <v/>
      </c>
      <c r="N22" s="172" t="str">
        <f>IFERROR(VLOOKUP(F22,Calculations!$B$61:$N$64,6,FALSE),"")</f>
        <v/>
      </c>
      <c r="O22" s="173" t="str">
        <f>IFERROR(VLOOKUP(F22,Calculations!$B$61:$N$64,7,FALSE),"")</f>
        <v/>
      </c>
      <c r="P22" s="174" t="str">
        <f t="shared" si="0"/>
        <v/>
      </c>
      <c r="Q22" s="175" t="str">
        <f>IFERROR(VLOOKUP(F22,Calculations!$B$61:$N$64,11,FALSE),"")</f>
        <v/>
      </c>
      <c r="R22" s="176" t="str">
        <f>IFERROR(VLOOKUP(F22,Calculations!$B$61:$N$64,12,FALSE),"")</f>
        <v/>
      </c>
      <c r="S22" s="487" t="str">
        <f t="shared" si="1"/>
        <v/>
      </c>
      <c r="T22" s="484" t="str">
        <f t="shared" si="3"/>
        <v/>
      </c>
      <c r="U22" s="276"/>
      <c r="V22" s="277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7"/>
      <c r="AK22" s="277"/>
      <c r="AL22" s="277"/>
    </row>
    <row r="23" spans="1:38" s="278" customFormat="1" ht="19.95" customHeight="1" x14ac:dyDescent="0.3">
      <c r="A23" s="274"/>
      <c r="B23" s="275"/>
      <c r="C23" s="168" t="s">
        <v>69</v>
      </c>
      <c r="D23" s="747" t="s">
        <v>131</v>
      </c>
      <c r="E23" s="530" t="s">
        <v>132</v>
      </c>
      <c r="F23" s="168" t="s">
        <v>120</v>
      </c>
      <c r="G23" s="168">
        <v>723</v>
      </c>
      <c r="H23" s="168">
        <f>IFERROR(VLOOKUP(F23,Calculations!$B$61:$N$64,2,FALSE),"")</f>
        <v>14</v>
      </c>
      <c r="I23" s="178">
        <f>IFERROR(VLOOKUP(F23,Calculations!$B$61:$N$64,4,FALSE),"")</f>
        <v>26</v>
      </c>
      <c r="J23" s="197">
        <v>0.7</v>
      </c>
      <c r="K23" s="178">
        <f t="shared" si="2"/>
        <v>18.2</v>
      </c>
      <c r="L23" s="208">
        <f>IFERROR(VLOOKUP(C23,Calculations!$C$43:$F$48,4,FALSE),"")</f>
        <v>1293.5999999999999</v>
      </c>
      <c r="M23" s="211">
        <f>IFERROR(VLOOKUP(F23,Calculations!$B$61:$N$64,5,FALSE),"")</f>
        <v>0.23499999999999999</v>
      </c>
      <c r="N23" s="172">
        <f>IFERROR(VLOOKUP(F23,Calculations!$B$61:$N$64,6,FALSE),"")</f>
        <v>0.32</v>
      </c>
      <c r="O23" s="173">
        <f>IFERROR(VLOOKUP(F23,Calculations!$B$61:$N$64,7,FALSE),"")</f>
        <v>3.2692307692307699E-3</v>
      </c>
      <c r="P23" s="190">
        <f t="shared" si="0"/>
        <v>212.92349999999999</v>
      </c>
      <c r="Q23" s="175" t="str">
        <f>IFERROR(VLOOKUP(F23,Calculations!$B$61:$N$64,11,FALSE),"")</f>
        <v>Diesel</v>
      </c>
      <c r="R23" s="176">
        <f>IFERROR(VLOOKUP(F23,Calculations!$B$61:$N$64,12,FALSE),"")</f>
        <v>2.6</v>
      </c>
      <c r="S23" s="199">
        <f t="shared" si="1"/>
        <v>553.60109999999997</v>
      </c>
      <c r="T23" s="484">
        <f t="shared" si="3"/>
        <v>39.348262799999993</v>
      </c>
      <c r="U23" s="276"/>
      <c r="V23" s="277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7"/>
      <c r="AK23" s="277"/>
      <c r="AL23" s="277"/>
    </row>
    <row r="24" spans="1:38" s="278" customFormat="1" ht="19.95" customHeight="1" x14ac:dyDescent="0.3">
      <c r="A24" s="274"/>
      <c r="B24" s="275"/>
      <c r="C24" s="168" t="s">
        <v>69</v>
      </c>
      <c r="D24" s="747"/>
      <c r="E24" s="471" t="s">
        <v>133</v>
      </c>
      <c r="F24" s="168" t="s">
        <v>120</v>
      </c>
      <c r="G24" s="168">
        <v>36.799999999999997</v>
      </c>
      <c r="H24" s="168">
        <f>IFERROR(VLOOKUP(F24,Calculations!$B$61:$N$64,2,FALSE),"")</f>
        <v>14</v>
      </c>
      <c r="I24" s="178">
        <f>IFERROR(VLOOKUP(F24,Calculations!$B$61:$N$64,4,FALSE),"")</f>
        <v>26</v>
      </c>
      <c r="J24" s="197">
        <v>0.7</v>
      </c>
      <c r="K24" s="178">
        <f t="shared" si="2"/>
        <v>18.2</v>
      </c>
      <c r="L24" s="208">
        <f>IFERROR(VLOOKUP(C24,Calculations!$C$43:$F$48,4,FALSE),"")</f>
        <v>1293.5999999999999</v>
      </c>
      <c r="M24" s="211">
        <f>IFERROR(VLOOKUP(F24,Calculations!$B$61:$N$64,5,FALSE),"")</f>
        <v>0.23499999999999999</v>
      </c>
      <c r="N24" s="172">
        <f>IFERROR(VLOOKUP(F24,Calculations!$B$61:$N$64,6,FALSE),"")</f>
        <v>0.32</v>
      </c>
      <c r="O24" s="173">
        <f>IFERROR(VLOOKUP(F24,Calculations!$B$61:$N$64,7,FALSE),"")</f>
        <v>3.2692307692307699E-3</v>
      </c>
      <c r="P24" s="190">
        <f t="shared" si="0"/>
        <v>10.837599999999998</v>
      </c>
      <c r="Q24" s="175" t="str">
        <f>IFERROR(VLOOKUP(F24,Calculations!$B$61:$N$64,11,FALSE),"")</f>
        <v>Diesel</v>
      </c>
      <c r="R24" s="176">
        <f>IFERROR(VLOOKUP(F24,Calculations!$B$61:$N$64,12,FALSE),"")</f>
        <v>2.6</v>
      </c>
      <c r="S24" s="199">
        <f t="shared" si="1"/>
        <v>28.177759999999996</v>
      </c>
      <c r="T24" s="484">
        <f t="shared" si="3"/>
        <v>2.0027884799999995</v>
      </c>
      <c r="U24" s="276"/>
      <c r="V24" s="277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7"/>
      <c r="AK24" s="277"/>
      <c r="AL24" s="277"/>
    </row>
    <row r="25" spans="1:38" s="278" customFormat="1" ht="19.95" customHeight="1" x14ac:dyDescent="0.3">
      <c r="A25" s="274"/>
      <c r="B25" s="275"/>
      <c r="C25" s="179"/>
      <c r="D25" s="221"/>
      <c r="E25" s="473"/>
      <c r="F25" s="179"/>
      <c r="G25" s="179"/>
      <c r="H25" s="179" t="str">
        <f>IFERROR(VLOOKUP(F25,Calculations!$B$61:$N$64,2,FALSE),"")</f>
        <v/>
      </c>
      <c r="I25" s="180" t="str">
        <f>IFERROR(VLOOKUP(F25,Calculations!$B$61:$N$64,4,FALSE),"")</f>
        <v/>
      </c>
      <c r="J25" s="201"/>
      <c r="K25" s="180" t="str">
        <f t="shared" si="2"/>
        <v/>
      </c>
      <c r="L25" s="209" t="str">
        <f>IFERROR(VLOOKUP(C25,Calculations!$C$43:$F$48,4,FALSE),"")</f>
        <v/>
      </c>
      <c r="M25" s="212" t="str">
        <f>IFERROR(VLOOKUP(F25,Calculations!$B$61:$N$64,5,FALSE),"")</f>
        <v/>
      </c>
      <c r="N25" s="183" t="str">
        <f>IFERROR(VLOOKUP(F25,Calculations!$B$61:$N$64,6,FALSE),"")</f>
        <v/>
      </c>
      <c r="O25" s="184" t="str">
        <f>IFERROR(VLOOKUP(F25,Calculations!$B$61:$N$64,7,FALSE),"")</f>
        <v/>
      </c>
      <c r="P25" s="185" t="str">
        <f t="shared" si="0"/>
        <v/>
      </c>
      <c r="Q25" s="186" t="str">
        <f>IFERROR(VLOOKUP(F25,Calculations!$B$61:$N$64,11,FALSE),"")</f>
        <v/>
      </c>
      <c r="R25" s="187" t="str">
        <f>IFERROR(VLOOKUP(F25,Calculations!$B$61:$N$64,12,FALSE),"")</f>
        <v/>
      </c>
      <c r="S25" s="488" t="str">
        <f t="shared" si="1"/>
        <v/>
      </c>
      <c r="T25" s="485" t="str">
        <f t="shared" si="3"/>
        <v/>
      </c>
      <c r="U25" s="276"/>
      <c r="V25" s="277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7"/>
      <c r="AK25" s="277"/>
      <c r="AL25" s="277"/>
    </row>
    <row r="26" spans="1:38" ht="19.95" customHeight="1" x14ac:dyDescent="0.3">
      <c r="A26" s="60"/>
      <c r="B26" s="39"/>
      <c r="C26" s="138"/>
      <c r="D26" s="139"/>
      <c r="E26" s="139"/>
      <c r="F26" s="139"/>
      <c r="G26" s="466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465"/>
      <c r="U26" s="47"/>
      <c r="V26" s="57"/>
      <c r="W26" s="141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56"/>
      <c r="AK26" s="56"/>
      <c r="AL26" s="56"/>
    </row>
    <row r="27" spans="1:38" ht="19.95" customHeight="1" x14ac:dyDescent="0.3">
      <c r="A27" s="60"/>
      <c r="B27" s="39"/>
      <c r="C27" s="698" t="s">
        <v>134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139"/>
      <c r="T27" s="139"/>
      <c r="U27" s="47"/>
      <c r="V27" s="57"/>
      <c r="W27" s="141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56"/>
      <c r="AK27" s="56"/>
      <c r="AL27" s="56"/>
    </row>
    <row r="28" spans="1:38" ht="19.95" customHeight="1" x14ac:dyDescent="0.3">
      <c r="A28" s="60"/>
      <c r="B28" s="39"/>
      <c r="C28" s="699"/>
      <c r="D28" s="69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139"/>
      <c r="T28" s="139"/>
      <c r="U28" s="47"/>
      <c r="V28" s="57"/>
      <c r="W28" s="141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56"/>
      <c r="AK28" s="56"/>
      <c r="AL28" s="56"/>
    </row>
    <row r="29" spans="1:38" ht="19.95" customHeight="1" x14ac:dyDescent="0.3">
      <c r="A29" s="60"/>
      <c r="B29" s="39"/>
      <c r="C29" s="636" t="s">
        <v>94</v>
      </c>
      <c r="D29" s="636" t="s">
        <v>135</v>
      </c>
      <c r="E29" s="636" t="s">
        <v>96</v>
      </c>
      <c r="F29" s="636" t="s">
        <v>97</v>
      </c>
      <c r="G29" s="636"/>
      <c r="H29" s="636"/>
      <c r="I29" s="636"/>
      <c r="J29" s="636" t="s">
        <v>136</v>
      </c>
      <c r="K29" s="636"/>
      <c r="L29" s="636"/>
      <c r="M29" s="636"/>
      <c r="N29" s="636"/>
      <c r="O29" s="636"/>
      <c r="P29" s="636"/>
      <c r="Q29" s="636"/>
      <c r="R29" s="636"/>
      <c r="S29" s="139"/>
      <c r="T29" s="139"/>
      <c r="U29" s="47"/>
      <c r="V29" s="57"/>
      <c r="W29" s="141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56"/>
      <c r="AK29" s="56"/>
      <c r="AL29" s="56"/>
    </row>
    <row r="30" spans="1:38" ht="19.95" customHeight="1" x14ac:dyDescent="0.3">
      <c r="A30" s="60"/>
      <c r="B30" s="39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139"/>
      <c r="T30" s="139"/>
      <c r="U30" s="47"/>
      <c r="V30" s="57"/>
      <c r="W30" s="141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56"/>
      <c r="AK30" s="56"/>
      <c r="AL30" s="56"/>
    </row>
    <row r="31" spans="1:38" ht="19.95" customHeight="1" x14ac:dyDescent="0.3">
      <c r="A31" s="60"/>
      <c r="B31" s="39"/>
      <c r="C31" s="599" t="s">
        <v>100</v>
      </c>
      <c r="D31" s="599" t="s">
        <v>101</v>
      </c>
      <c r="E31" s="599" t="s">
        <v>102</v>
      </c>
      <c r="F31" s="599" t="s">
        <v>137</v>
      </c>
      <c r="G31" s="599" t="s">
        <v>104</v>
      </c>
      <c r="H31" s="599" t="s">
        <v>138</v>
      </c>
      <c r="I31" s="599" t="s">
        <v>139</v>
      </c>
      <c r="J31" s="599" t="s">
        <v>140</v>
      </c>
      <c r="K31" s="599" t="s">
        <v>141</v>
      </c>
      <c r="L31" s="599" t="s">
        <v>109</v>
      </c>
      <c r="M31" s="733" t="s">
        <v>142</v>
      </c>
      <c r="N31" s="599" t="s">
        <v>143</v>
      </c>
      <c r="O31" s="599" t="s">
        <v>144</v>
      </c>
      <c r="P31" s="599" t="s">
        <v>145</v>
      </c>
      <c r="Q31" s="599" t="s">
        <v>146</v>
      </c>
      <c r="R31" s="701" t="s">
        <v>147</v>
      </c>
      <c r="S31" s="138"/>
      <c r="T31" s="599" t="s">
        <v>148</v>
      </c>
      <c r="U31" s="48"/>
      <c r="V31" s="58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56"/>
      <c r="AK31" s="56"/>
      <c r="AL31" s="56"/>
    </row>
    <row r="32" spans="1:38" ht="19.95" customHeight="1" x14ac:dyDescent="0.3">
      <c r="A32" s="60"/>
      <c r="B32" s="39"/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734"/>
      <c r="N32" s="695"/>
      <c r="O32" s="695"/>
      <c r="P32" s="695"/>
      <c r="Q32" s="695"/>
      <c r="R32" s="702"/>
      <c r="S32" s="138"/>
      <c r="T32" s="599"/>
      <c r="U32" s="48"/>
      <c r="V32" s="58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56"/>
      <c r="AK32" s="56"/>
      <c r="AL32" s="56"/>
    </row>
    <row r="33" spans="1:38" ht="19.95" customHeight="1" x14ac:dyDescent="0.3">
      <c r="A33" s="60"/>
      <c r="B33" s="3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735"/>
      <c r="N33" s="599"/>
      <c r="O33" s="599"/>
      <c r="P33" s="599"/>
      <c r="Q33" s="599"/>
      <c r="R33" s="703"/>
      <c r="S33" s="138"/>
      <c r="T33" s="599"/>
      <c r="U33" s="48"/>
      <c r="V33" s="58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56"/>
      <c r="AK33" s="56"/>
      <c r="AL33" s="56"/>
    </row>
    <row r="34" spans="1:38" ht="30" customHeight="1" x14ac:dyDescent="0.3">
      <c r="A34" s="60"/>
      <c r="B34" s="39"/>
      <c r="C34" s="171" t="s">
        <v>57</v>
      </c>
      <c r="D34" s="222"/>
      <c r="E34" s="158" t="s">
        <v>149</v>
      </c>
      <c r="F34" s="178" t="s">
        <v>150</v>
      </c>
      <c r="G34" s="158">
        <f>IFERROR(VLOOKUP(F34,Calculations!$B$89:$O$100,7,FALSE),"")</f>
        <v>95.8</v>
      </c>
      <c r="H34" s="213" t="str">
        <f>IFERROR(VLOOKUP(F34,Calculations!$B$89:$O$100,4,FALSE),"")</f>
        <v>-</v>
      </c>
      <c r="I34" s="193">
        <f>IFERROR(VLOOKUP(F34,Calculations!$B$89:$O$100,6,FALSE),"")</f>
        <v>4150</v>
      </c>
      <c r="J34" s="214">
        <v>0.7</v>
      </c>
      <c r="K34" s="215">
        <f>IFERROR(J34*I34,"")</f>
        <v>2905</v>
      </c>
      <c r="L34" s="207">
        <f>IFERROR(VLOOKUP(C34,Calculations!$C$43:$F$48,4,FALSE),"")</f>
        <v>66.831489915419652</v>
      </c>
      <c r="M34" s="205" t="str">
        <f>IFERROR(VLOOKUP(F34,Calculations!$B$89:$O$100,5,FALSE),"")</f>
        <v>Diesel</v>
      </c>
      <c r="N34" s="193" t="str">
        <f>IFERROR(VLOOKUP(F34,Calculations!$B$89:$O$100,10,FALSE),"")</f>
        <v>-</v>
      </c>
      <c r="O34" s="467">
        <f>IFERROR(VLOOKUP(F34,Calculations!$B$89:$O$100,11,FALSE),"")</f>
        <v>14866</v>
      </c>
      <c r="P34" s="193">
        <f>IFERROR(VLOOKUP(F34,Calculations!$B$89:$O$100,12,FALSE),"")</f>
        <v>686</v>
      </c>
      <c r="Q34" s="533">
        <f>IFERROR(VLOOKUP(F34,Calculations!$B$89:$O$100,13,FALSE),"")</f>
        <v>45891.341999999997</v>
      </c>
      <c r="R34" s="167">
        <f>IFERROR((Q34/K34)*(L34/1000),"")</f>
        <v>1.0557613631938294</v>
      </c>
      <c r="S34" s="138"/>
      <c r="T34" s="717">
        <f>SUM(R34:R42)+SUM(T14:T25)</f>
        <v>611.85156034906515</v>
      </c>
      <c r="U34" s="49"/>
      <c r="V34" s="59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56"/>
      <c r="AK34" s="56"/>
      <c r="AL34" s="56"/>
    </row>
    <row r="35" spans="1:38" ht="30" customHeight="1" x14ac:dyDescent="0.3">
      <c r="A35" s="60"/>
      <c r="B35" s="39"/>
      <c r="C35" s="171" t="s">
        <v>58</v>
      </c>
      <c r="D35" s="219"/>
      <c r="E35" s="471" t="s">
        <v>149</v>
      </c>
      <c r="F35" s="178" t="s">
        <v>150</v>
      </c>
      <c r="G35" s="471">
        <f>IFERROR(VLOOKUP(F35,Calculations!$B$89:$O$100,7,FALSE),"")</f>
        <v>95.8</v>
      </c>
      <c r="H35" s="213" t="str">
        <f>IFERROR(VLOOKUP(F35,Calculations!$B$89:$O$100,4,FALSE),"")</f>
        <v>-</v>
      </c>
      <c r="I35" s="490">
        <f>IFERROR(VLOOKUP(F35,Calculations!$B$89:$O$100,6,FALSE),"")</f>
        <v>4150</v>
      </c>
      <c r="J35" s="216">
        <v>0.7</v>
      </c>
      <c r="K35" s="178">
        <f>IFERROR(J35*I35,"")</f>
        <v>2905</v>
      </c>
      <c r="L35" s="208">
        <f>IFERROR(VLOOKUP(C35,Calculations!$C$43:$F$48,4,FALSE),"")</f>
        <v>253.40273259596617</v>
      </c>
      <c r="M35" s="204" t="s">
        <v>151</v>
      </c>
      <c r="N35" s="192" t="str">
        <f>IFERROR(VLOOKUP(F35,Calculations!$B$89:$O$100,10,FALSE),"")</f>
        <v>-</v>
      </c>
      <c r="O35" s="468">
        <f>IFERROR(VLOOKUP(F35,Calculations!$B$89:$O$100,11,FALSE),"")</f>
        <v>14866</v>
      </c>
      <c r="P35" s="192">
        <f>IFERROR(VLOOKUP(F35,Calculations!$B$89:$O$100,12,FALSE),"")</f>
        <v>686</v>
      </c>
      <c r="Q35" s="534">
        <f>IFERROR(VLOOKUP(F35,Calculations!$B$89:$O$100,13,FALSE),"")</f>
        <v>45891.341999999997</v>
      </c>
      <c r="R35" s="177">
        <f>IFERROR((Q35/K35)*(L35/1000),"")</f>
        <v>4.0030951687766025</v>
      </c>
      <c r="S35" s="138"/>
      <c r="T35" s="717"/>
      <c r="U35" s="49"/>
      <c r="V35" s="59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56"/>
      <c r="AK35" s="56"/>
      <c r="AL35" s="56"/>
    </row>
    <row r="36" spans="1:38" ht="30" customHeight="1" x14ac:dyDescent="0.3">
      <c r="A36" s="60"/>
      <c r="B36" s="39"/>
      <c r="C36" s="171"/>
      <c r="D36" s="219"/>
      <c r="E36" s="168"/>
      <c r="F36" s="178"/>
      <c r="G36" s="168"/>
      <c r="H36" s="213"/>
      <c r="I36" s="198"/>
      <c r="J36" s="197"/>
      <c r="K36" s="211"/>
      <c r="L36" s="208"/>
      <c r="M36" s="204"/>
      <c r="N36" s="168"/>
      <c r="O36" s="468"/>
      <c r="P36" s="192"/>
      <c r="Q36" s="534"/>
      <c r="R36" s="177"/>
      <c r="S36" s="138"/>
      <c r="T36" s="717"/>
      <c r="U36" s="49"/>
      <c r="V36" s="59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56"/>
      <c r="AK36" s="56"/>
      <c r="AL36" s="56"/>
    </row>
    <row r="37" spans="1:38" ht="30" customHeight="1" x14ac:dyDescent="0.3">
      <c r="A37" s="60"/>
      <c r="B37" s="39"/>
      <c r="C37" s="171" t="s">
        <v>50</v>
      </c>
      <c r="D37" s="169"/>
      <c r="E37" s="170" t="s">
        <v>152</v>
      </c>
      <c r="F37" s="178" t="s">
        <v>150</v>
      </c>
      <c r="G37" s="168">
        <f>IFERROR(VLOOKUP(F37,Calculations!$B$89:$O$100,7,FALSE),"")</f>
        <v>95.8</v>
      </c>
      <c r="H37" s="213" t="str">
        <f>IFERROR(VLOOKUP(F37,Calculations!$B$89:$O$100,4,FALSE),"")</f>
        <v>-</v>
      </c>
      <c r="I37" s="192">
        <f>IFERROR(VLOOKUP(F37,Calculations!$B$89:$O$100,6,FALSE),"")</f>
        <v>4150</v>
      </c>
      <c r="J37" s="474">
        <v>0.7</v>
      </c>
      <c r="K37" s="170">
        <f>IFERROR(J37*I37,"")</f>
        <v>2905</v>
      </c>
      <c r="L37" s="208">
        <f>IFERROR(VLOOKUP(C37,Calculations!$C$43:$F$48,4,FALSE),"")</f>
        <v>4280</v>
      </c>
      <c r="M37" s="204" t="str">
        <f>IFERROR(VLOOKUP(F37,Calculations!$B$89:$O$100,5,FALSE),"")</f>
        <v>Diesel</v>
      </c>
      <c r="N37" s="192" t="str">
        <f>IFERROR(VLOOKUP(F37,Calculations!$B$89:$O$100,10,FALSE),"")</f>
        <v>-</v>
      </c>
      <c r="O37" s="468">
        <f>IFERROR(VLOOKUP(F37,Calculations!$B$89:$O$100,11,FALSE),"")</f>
        <v>14866</v>
      </c>
      <c r="P37" s="192">
        <f>IFERROR(VLOOKUP(F37,Calculations!$B$89:$O$100,12,FALSE),"")</f>
        <v>686</v>
      </c>
      <c r="Q37" s="534">
        <f>IFERROR(VLOOKUP(F37,Calculations!$B$89:$O$100,13,FALSE),"")</f>
        <v>45891.341999999997</v>
      </c>
      <c r="R37" s="177">
        <f t="shared" ref="R37:R42" si="4">IFERROR((Q37/K37)*(L37/1000),"")</f>
        <v>67.612717301204825</v>
      </c>
      <c r="S37" s="138"/>
      <c r="T37" s="717"/>
      <c r="U37" s="49"/>
      <c r="V37" s="59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56"/>
      <c r="AK37" s="56"/>
      <c r="AL37" s="56"/>
    </row>
    <row r="38" spans="1:38" ht="30" customHeight="1" x14ac:dyDescent="0.3">
      <c r="A38" s="60"/>
      <c r="B38" s="39"/>
      <c r="C38" s="171"/>
      <c r="D38" s="169"/>
      <c r="E38" s="168"/>
      <c r="F38" s="178"/>
      <c r="G38" s="168"/>
      <c r="H38" s="213" t="str">
        <f>IFERROR(VLOOKUP(F38,Calculations!$B$89:$O$100,4,FALSE),"")</f>
        <v/>
      </c>
      <c r="I38" s="192" t="str">
        <f>IFERROR(VLOOKUP(F38,Calculations!$B$89:$O$100,6,FALSE),"")</f>
        <v/>
      </c>
      <c r="J38" s="216"/>
      <c r="K38" s="178" t="str">
        <f t="shared" ref="K38:K42" si="5">IFERROR(J38*I38,"")</f>
        <v/>
      </c>
      <c r="L38" s="208" t="str">
        <f>IFERROR(VLOOKUP(C38,Calculations!$C$43:$F$48,4,FALSE),"")</f>
        <v/>
      </c>
      <c r="M38" s="204" t="str">
        <f>IFERROR(VLOOKUP(F38,Calculations!$B$89:$O$100,5,FALSE),"")</f>
        <v/>
      </c>
      <c r="N38" s="168" t="str">
        <f>IFERROR(VLOOKUP(F38,Calculations!$B$89:$O$100,10,FALSE),"")</f>
        <v/>
      </c>
      <c r="O38" s="468" t="str">
        <f>IFERROR(VLOOKUP(F38,Calculations!$B$89:$O$100,11,FALSE),"")</f>
        <v/>
      </c>
      <c r="P38" s="192" t="str">
        <f>IFERROR(VLOOKUP(F38,Calculations!$B$89:$O$100,12,FALSE),"")</f>
        <v/>
      </c>
      <c r="Q38" s="534" t="str">
        <f>IFERROR(VLOOKUP(F38,Calculations!$B$89:$O$100,13,FALSE),"")</f>
        <v/>
      </c>
      <c r="R38" s="177" t="str">
        <f t="shared" si="4"/>
        <v/>
      </c>
      <c r="S38" s="138"/>
      <c r="T38" s="717"/>
      <c r="U38" s="49"/>
      <c r="V38" s="59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56"/>
      <c r="AK38" s="56"/>
      <c r="AL38" s="56"/>
    </row>
    <row r="39" spans="1:38" ht="30" customHeight="1" x14ac:dyDescent="0.3">
      <c r="A39" s="60"/>
      <c r="B39" s="39"/>
      <c r="C39" s="171" t="s">
        <v>69</v>
      </c>
      <c r="D39" s="169"/>
      <c r="E39" s="168" t="s">
        <v>153</v>
      </c>
      <c r="F39" s="178" t="s">
        <v>154</v>
      </c>
      <c r="G39" s="168">
        <v>22737</v>
      </c>
      <c r="H39" s="213" t="s">
        <v>155</v>
      </c>
      <c r="I39" s="192">
        <f>IFERROR(VLOOKUP(F39,Calculations!$B$89:$O$100,6,FALSE),"")</f>
        <v>216900</v>
      </c>
      <c r="J39" s="216">
        <v>0.7</v>
      </c>
      <c r="K39" s="178">
        <f t="shared" si="5"/>
        <v>151830</v>
      </c>
      <c r="L39" s="208">
        <f>IFERROR(VLOOKUP(C39,Calculations!$C$43:$F$48,4,FALSE),"")</f>
        <v>1293.5999999999999</v>
      </c>
      <c r="M39" s="204" t="str">
        <f>IFERROR(VLOOKUP(F39,Calculations!$B$89:$O$100,5,FALSE),"")</f>
        <v>Diesel</v>
      </c>
      <c r="N39" s="192" t="str">
        <f>IFERROR(VLOOKUP(F39,Calculations!$B$89:$O$100,10,FALSE),"")</f>
        <v>-</v>
      </c>
      <c r="O39" s="468">
        <f>IFERROR(VLOOKUP(F39,Calculations!$B$89:$O$100,11,FALSE),"")</f>
        <v>63840</v>
      </c>
      <c r="P39" s="432">
        <f>IFERROR(VLOOKUP(F39,Calculations!$B$89:$O$100,12,FALSE),"")</f>
        <v>644</v>
      </c>
      <c r="Q39" s="534">
        <f>IFERROR(VLOOKUP(F39,Calculations!$B$89:$O$100,13,FALSE),"")</f>
        <v>22967699.545945946</v>
      </c>
      <c r="R39" s="177">
        <f t="shared" si="4"/>
        <v>195.68607082023098</v>
      </c>
      <c r="S39" s="138"/>
      <c r="T39" s="717"/>
      <c r="U39" s="49"/>
      <c r="V39" s="59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56"/>
      <c r="AK39" s="56"/>
      <c r="AL39" s="56"/>
    </row>
    <row r="40" spans="1:38" ht="30" customHeight="1" x14ac:dyDescent="0.3">
      <c r="A40" s="60"/>
      <c r="B40" s="39"/>
      <c r="C40" s="171" t="s">
        <v>69</v>
      </c>
      <c r="D40" s="169"/>
      <c r="E40" s="168" t="s">
        <v>156</v>
      </c>
      <c r="F40" s="178" t="s">
        <v>157</v>
      </c>
      <c r="G40" s="168">
        <v>1013</v>
      </c>
      <c r="H40" s="213" t="s">
        <v>155</v>
      </c>
      <c r="I40" s="192">
        <f>IFERROR(VLOOKUP(F40,Calculations!$B$89:$O$100,6,FALSE),"")</f>
        <v>11208</v>
      </c>
      <c r="J40" s="216">
        <v>0.7</v>
      </c>
      <c r="K40" s="178">
        <f t="shared" si="5"/>
        <v>7845.5999999999995</v>
      </c>
      <c r="L40" s="208">
        <f>IFERROR(VLOOKUP(C40,Calculations!$C$43:$F$48,4,FALSE),"")</f>
        <v>1293.5999999999999</v>
      </c>
      <c r="M40" s="204" t="str">
        <f>IFERROR(VLOOKUP(F40,Calculations!$B$89:$O$100,5,FALSE),"")</f>
        <v>Diesel</v>
      </c>
      <c r="N40" s="192" t="str">
        <f>IFERROR(VLOOKUP(F40,Calculations!$B$89:$O$100,10,FALSE),"")</f>
        <v>-</v>
      </c>
      <c r="O40" s="468">
        <f>IFERROR(VLOOKUP(F40,Calculations!$B$89:$O$100,11,FALSE),"")</f>
        <v>7950</v>
      </c>
      <c r="P40" s="192">
        <f>IFERROR(VLOOKUP(F40,Calculations!$B$89:$O$100,12,FALSE),"")</f>
        <v>644</v>
      </c>
      <c r="Q40" s="534">
        <f>IFERROR(VLOOKUP(F40,Calculations!$B$89:$O$100,13,FALSE),"")</f>
        <v>200245.4594594595</v>
      </c>
      <c r="R40" s="177">
        <f>IFERROR((Q40/K40)*(L40/1000),"")</f>
        <v>33.016917298454779</v>
      </c>
      <c r="S40" s="138"/>
      <c r="T40" s="717"/>
      <c r="U40" s="49"/>
      <c r="V40" s="59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56"/>
      <c r="AK40" s="56"/>
      <c r="AL40" s="56"/>
    </row>
    <row r="41" spans="1:38" ht="30" customHeight="1" x14ac:dyDescent="0.3">
      <c r="A41" s="60"/>
      <c r="B41" s="39"/>
      <c r="C41" s="171"/>
      <c r="D41" s="169"/>
      <c r="E41" s="168"/>
      <c r="F41" s="178"/>
      <c r="G41" s="168" t="str">
        <f>IFERROR(VLOOKUP(F41,Calculations!$B$89:$O$100,7,FALSE),"")</f>
        <v/>
      </c>
      <c r="H41" s="213" t="str">
        <f>IFERROR(VLOOKUP(F41,Calculations!$B$89:$O$100,4,FALSE),"")</f>
        <v/>
      </c>
      <c r="I41" s="192" t="str">
        <f>IFERROR(VLOOKUP(F41,Calculations!$B$89:$O$100,6,FALSE),"")</f>
        <v/>
      </c>
      <c r="J41" s="216"/>
      <c r="K41" s="178" t="str">
        <f t="shared" si="5"/>
        <v/>
      </c>
      <c r="L41" s="208" t="str">
        <f>IFERROR(VLOOKUP(C41,Calculations!$C$43:$F$48,4,FALSE),"")</f>
        <v/>
      </c>
      <c r="M41" s="204" t="str">
        <f>IFERROR(VLOOKUP(F41,Calculations!$B$89:$O$100,5,FALSE),"")</f>
        <v/>
      </c>
      <c r="N41" s="168" t="str">
        <f>IFERROR(VLOOKUP(F41,Calculations!$B$89:$O$100,10,FALSE),"")</f>
        <v/>
      </c>
      <c r="O41" s="468" t="str">
        <f>IFERROR(VLOOKUP(F41,Calculations!$B$89:$O$100,11,FALSE),"")</f>
        <v/>
      </c>
      <c r="P41" s="192" t="str">
        <f>IFERROR(VLOOKUP(F41,Calculations!$B$89:$O$100,12,FALSE),"")</f>
        <v/>
      </c>
      <c r="Q41" s="534" t="str">
        <f>IFERROR(VLOOKUP(F41,Calculations!$B$89:$O$100,13,FALSE),"")</f>
        <v/>
      </c>
      <c r="R41" s="177" t="str">
        <f t="shared" si="4"/>
        <v/>
      </c>
      <c r="S41" s="138"/>
      <c r="T41" s="717"/>
      <c r="U41" s="49"/>
      <c r="V41" s="59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56"/>
      <c r="AK41" s="56"/>
      <c r="AL41" s="56"/>
    </row>
    <row r="42" spans="1:38" ht="30" customHeight="1" x14ac:dyDescent="0.3">
      <c r="A42" s="60"/>
      <c r="B42" s="39"/>
      <c r="C42" s="181"/>
      <c r="D42" s="223"/>
      <c r="E42" s="179"/>
      <c r="F42" s="180"/>
      <c r="G42" s="179" t="str">
        <f>IFERROR(VLOOKUP(F42,Calculations!$B$89:$O$100,7,FALSE),"")</f>
        <v/>
      </c>
      <c r="H42" s="217" t="str">
        <f>IFERROR(VLOOKUP(F42,Calculations!$B$89:$O$100,4,FALSE),"")</f>
        <v/>
      </c>
      <c r="I42" s="200" t="str">
        <f>IFERROR(VLOOKUP(F42,Calculations!$B$89:$O$100,6,FALSE),"")</f>
        <v/>
      </c>
      <c r="J42" s="218"/>
      <c r="K42" s="180" t="str">
        <f t="shared" si="5"/>
        <v/>
      </c>
      <c r="L42" s="209" t="str">
        <f>IFERROR(VLOOKUP(C42,Calculations!$C$43:$F$48,4,FALSE),"")</f>
        <v/>
      </c>
      <c r="M42" s="206" t="str">
        <f>IFERROR(VLOOKUP(F42,Calculations!$B$89:$O$100,5,FALSE),"")</f>
        <v/>
      </c>
      <c r="N42" s="179" t="str">
        <f>IFERROR(VLOOKUP(F42,Calculations!$B$89:$O$100,10,FALSE),"")</f>
        <v/>
      </c>
      <c r="O42" s="469" t="str">
        <f>IFERROR(VLOOKUP(F42,Calculations!$B$89:$O$100,11,FALSE),"")</f>
        <v/>
      </c>
      <c r="P42" s="200" t="str">
        <f>IFERROR(VLOOKUP(F42,Calculations!$B$89:$O$100,12,FALSE),"")</f>
        <v/>
      </c>
      <c r="Q42" s="535" t="str">
        <f>IFERROR(VLOOKUP(F42,Calculations!$B$89:$O$100,13,FALSE),"")</f>
        <v/>
      </c>
      <c r="R42" s="188" t="str">
        <f t="shared" si="4"/>
        <v/>
      </c>
      <c r="S42" s="138"/>
      <c r="T42" s="717"/>
      <c r="U42" s="49"/>
      <c r="V42" s="59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56"/>
      <c r="AK42" s="56"/>
      <c r="AL42" s="56"/>
    </row>
    <row r="43" spans="1:38" ht="19.95" customHeight="1" x14ac:dyDescent="0.3">
      <c r="A43" s="60"/>
      <c r="B43" s="39"/>
      <c r="C43" s="33"/>
      <c r="D43" s="33"/>
      <c r="E43" s="33"/>
      <c r="F43" s="33"/>
      <c r="G43" s="40"/>
      <c r="H43" s="40"/>
      <c r="I43" s="41"/>
      <c r="J43" s="42"/>
      <c r="K43" s="43"/>
      <c r="L43" s="44"/>
      <c r="M43" s="44"/>
      <c r="N43" s="44"/>
      <c r="O43" s="43"/>
      <c r="P43" s="42"/>
      <c r="Q43" s="45"/>
      <c r="R43" s="33"/>
      <c r="S43" s="494"/>
      <c r="T43" s="494"/>
      <c r="U43" s="49"/>
      <c r="V43" s="59"/>
      <c r="W43" s="141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56"/>
      <c r="AK43" s="56"/>
      <c r="AL43" s="56"/>
    </row>
    <row r="44" spans="1:38" ht="19.95" customHeight="1" x14ac:dyDescent="0.3">
      <c r="A44" s="60"/>
      <c r="B44" s="69"/>
      <c r="C44" s="70"/>
      <c r="D44" s="70"/>
      <c r="E44" s="70"/>
      <c r="F44" s="70"/>
      <c r="G44" s="71"/>
      <c r="H44" s="71"/>
      <c r="I44" s="72"/>
      <c r="J44" s="73"/>
      <c r="K44" s="74"/>
      <c r="L44" s="75"/>
      <c r="M44" s="75"/>
      <c r="N44" s="75"/>
      <c r="O44" s="74"/>
      <c r="P44" s="73"/>
      <c r="Q44" s="76"/>
      <c r="R44" s="70"/>
      <c r="S44" s="495"/>
      <c r="T44" s="495"/>
      <c r="U44" s="77"/>
      <c r="V44" s="59"/>
      <c r="W44" s="141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56"/>
      <c r="AK44" s="56"/>
      <c r="AL44" s="56"/>
    </row>
    <row r="45" spans="1:38" s="60" customFormat="1" ht="19.95" customHeight="1" x14ac:dyDescent="0.3">
      <c r="B45" s="141"/>
      <c r="C45" s="141"/>
      <c r="D45" s="141"/>
      <c r="E45" s="141"/>
      <c r="F45" s="141"/>
      <c r="G45" s="150"/>
      <c r="H45" s="150"/>
      <c r="I45" s="151"/>
      <c r="J45" s="152"/>
      <c r="K45" s="153"/>
      <c r="L45" s="154"/>
      <c r="M45" s="154"/>
      <c r="N45" s="154"/>
      <c r="O45" s="153"/>
      <c r="P45" s="152"/>
      <c r="Q45" s="155"/>
      <c r="R45" s="141"/>
      <c r="S45" s="156"/>
      <c r="T45" s="156"/>
      <c r="U45" s="157"/>
      <c r="V45" s="157"/>
      <c r="W45" s="141"/>
    </row>
    <row r="46" spans="1:38" ht="19.95" customHeight="1" x14ac:dyDescent="0.3">
      <c r="A46" s="141"/>
      <c r="B46" s="141"/>
      <c r="C46" s="141"/>
      <c r="D46" s="141"/>
      <c r="E46" s="141"/>
      <c r="F46" s="141"/>
      <c r="G46" s="150"/>
      <c r="H46" s="150"/>
      <c r="I46" s="151"/>
      <c r="J46" s="152"/>
      <c r="K46" s="153"/>
      <c r="L46" s="154"/>
      <c r="M46" s="154"/>
      <c r="N46" s="154"/>
      <c r="O46" s="153"/>
      <c r="P46" s="152"/>
      <c r="Q46" s="155"/>
      <c r="R46" s="141"/>
      <c r="S46" s="156"/>
      <c r="T46" s="156"/>
      <c r="U46" s="157"/>
      <c r="V46" s="157"/>
      <c r="W46" s="141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56"/>
      <c r="AK46" s="56"/>
      <c r="AL46" s="56"/>
    </row>
    <row r="47" spans="1:38" ht="19.95" customHeight="1" x14ac:dyDescent="0.3">
      <c r="A47" s="60"/>
      <c r="B47" s="67"/>
      <c r="C47" s="745" t="s">
        <v>500</v>
      </c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50"/>
      <c r="V47" s="57"/>
      <c r="W47" s="141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56"/>
      <c r="AK47" s="56"/>
      <c r="AL47" s="56"/>
    </row>
    <row r="48" spans="1:38" ht="19.95" customHeight="1" x14ac:dyDescent="0.3">
      <c r="A48" s="60"/>
      <c r="B48" s="52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51"/>
      <c r="V48" s="57"/>
      <c r="W48" s="141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56"/>
      <c r="AK48" s="56"/>
      <c r="AL48" s="56"/>
    </row>
    <row r="49" spans="1:38" ht="19.95" customHeight="1" x14ac:dyDescent="0.3">
      <c r="A49" s="60"/>
      <c r="B49" s="52"/>
      <c r="C49" s="746"/>
      <c r="D49" s="746"/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51"/>
      <c r="V49" s="57"/>
      <c r="W49" s="141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56"/>
      <c r="AK49" s="56"/>
      <c r="AL49" s="56"/>
    </row>
    <row r="50" spans="1:38" ht="19.95" customHeight="1" x14ac:dyDescent="0.3">
      <c r="A50" s="60"/>
      <c r="B50" s="52"/>
      <c r="C50" s="696" t="s">
        <v>93</v>
      </c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51"/>
      <c r="V50" s="56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56"/>
      <c r="AK50" s="56"/>
      <c r="AL50" s="56"/>
    </row>
    <row r="51" spans="1:38" ht="19.95" customHeight="1" x14ac:dyDescent="0.3">
      <c r="A51" s="60"/>
      <c r="B51" s="52"/>
      <c r="C51" s="696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51"/>
      <c r="V51" s="56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56"/>
      <c r="AK51" s="56"/>
      <c r="AL51" s="56"/>
    </row>
    <row r="52" spans="1:38" ht="19.95" customHeight="1" x14ac:dyDescent="0.3">
      <c r="A52" s="60"/>
      <c r="B52" s="52"/>
      <c r="C52" s="636" t="s">
        <v>94</v>
      </c>
      <c r="D52" s="636" t="s">
        <v>95</v>
      </c>
      <c r="E52" s="636" t="s">
        <v>96</v>
      </c>
      <c r="F52" s="636" t="s">
        <v>158</v>
      </c>
      <c r="G52" s="636" t="s">
        <v>159</v>
      </c>
      <c r="H52" s="636"/>
      <c r="I52" s="636"/>
      <c r="J52" s="636" t="s">
        <v>136</v>
      </c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51"/>
      <c r="V52" s="56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56"/>
      <c r="AK52" s="56"/>
      <c r="AL52" s="56"/>
    </row>
    <row r="53" spans="1:38" ht="19.95" customHeight="1" x14ac:dyDescent="0.3">
      <c r="A53" s="60"/>
      <c r="B53" s="52"/>
      <c r="C53" s="636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51"/>
      <c r="V53" s="56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56"/>
      <c r="AK53" s="56"/>
      <c r="AL53" s="56"/>
    </row>
    <row r="54" spans="1:38" ht="19.95" customHeight="1" x14ac:dyDescent="0.3">
      <c r="A54" s="60"/>
      <c r="B54" s="52"/>
      <c r="C54" s="736" t="s">
        <v>100</v>
      </c>
      <c r="D54" s="729" t="s">
        <v>101</v>
      </c>
      <c r="E54" s="726" t="s">
        <v>102</v>
      </c>
      <c r="F54" s="731" t="s">
        <v>103</v>
      </c>
      <c r="G54" s="645" t="s">
        <v>104</v>
      </c>
      <c r="H54" s="645" t="s">
        <v>105</v>
      </c>
      <c r="I54" s="645" t="s">
        <v>106</v>
      </c>
      <c r="J54" s="645" t="s">
        <v>107</v>
      </c>
      <c r="K54" s="645" t="s">
        <v>108</v>
      </c>
      <c r="L54" s="645" t="s">
        <v>109</v>
      </c>
      <c r="M54" s="667" t="s">
        <v>110</v>
      </c>
      <c r="N54" s="645" t="s">
        <v>111</v>
      </c>
      <c r="O54" s="667" t="s">
        <v>112</v>
      </c>
      <c r="P54" s="645" t="s">
        <v>113</v>
      </c>
      <c r="Q54" s="645" t="s">
        <v>114</v>
      </c>
      <c r="R54" s="645" t="s">
        <v>115</v>
      </c>
      <c r="S54" s="645" t="s">
        <v>116</v>
      </c>
      <c r="T54" s="718" t="s">
        <v>117</v>
      </c>
      <c r="U54" s="51"/>
      <c r="V54" s="56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56"/>
      <c r="AK54" s="56"/>
      <c r="AL54" s="56"/>
    </row>
    <row r="55" spans="1:38" ht="19.95" customHeight="1" x14ac:dyDescent="0.3">
      <c r="A55" s="60"/>
      <c r="B55" s="52"/>
      <c r="C55" s="737"/>
      <c r="D55" s="727"/>
      <c r="E55" s="727"/>
      <c r="F55" s="732"/>
      <c r="G55" s="700"/>
      <c r="H55" s="700"/>
      <c r="I55" s="700"/>
      <c r="J55" s="700"/>
      <c r="K55" s="700"/>
      <c r="L55" s="700"/>
      <c r="M55" s="721"/>
      <c r="N55" s="700"/>
      <c r="O55" s="721"/>
      <c r="P55" s="700"/>
      <c r="Q55" s="700"/>
      <c r="R55" s="700"/>
      <c r="S55" s="700"/>
      <c r="T55" s="719"/>
      <c r="U55" s="51"/>
      <c r="V55" s="56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56"/>
      <c r="AK55" s="56"/>
      <c r="AL55" s="56"/>
    </row>
    <row r="56" spans="1:38" ht="19.95" customHeight="1" x14ac:dyDescent="0.3">
      <c r="A56" s="60"/>
      <c r="B56" s="52"/>
      <c r="C56" s="738"/>
      <c r="D56" s="730"/>
      <c r="E56" s="728"/>
      <c r="F56" s="731"/>
      <c r="G56" s="646"/>
      <c r="H56" s="646"/>
      <c r="I56" s="646"/>
      <c r="J56" s="646"/>
      <c r="K56" s="646"/>
      <c r="L56" s="646"/>
      <c r="M56" s="668"/>
      <c r="N56" s="646"/>
      <c r="O56" s="668"/>
      <c r="P56" s="646"/>
      <c r="Q56" s="646"/>
      <c r="R56" s="646"/>
      <c r="S56" s="646"/>
      <c r="T56" s="720"/>
      <c r="U56" s="51"/>
      <c r="V56" s="56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56"/>
      <c r="AK56" s="56"/>
      <c r="AL56" s="56"/>
    </row>
    <row r="57" spans="1:38" ht="32.549999999999997" customHeight="1" x14ac:dyDescent="0.3">
      <c r="A57" s="60"/>
      <c r="B57" s="52"/>
      <c r="C57" s="158" t="s">
        <v>52</v>
      </c>
      <c r="D57" s="159" t="s">
        <v>160</v>
      </c>
      <c r="E57" s="160" t="s">
        <v>161</v>
      </c>
      <c r="F57" s="158" t="s">
        <v>120</v>
      </c>
      <c r="G57" s="158">
        <v>940</v>
      </c>
      <c r="H57" s="161">
        <f>IFERROR(VLOOKUP(F57,Calculations!$B$61:$N$64,2,FALSE),"")</f>
        <v>14</v>
      </c>
      <c r="I57" s="158">
        <f>IFERROR(VLOOKUP(F57,Calculations!$B$61:$N$64,4,FALSE),"")</f>
        <v>26</v>
      </c>
      <c r="J57" s="162">
        <v>0.7</v>
      </c>
      <c r="K57" s="158">
        <f>IFERROR(I57*J57,"")</f>
        <v>18.2</v>
      </c>
      <c r="L57" s="158">
        <f>IFERROR(VLOOKUP(C57,Calculations!$C$49:$F$52,4,FALSE),"")</f>
        <v>2237.1999999999998</v>
      </c>
      <c r="M57" s="158">
        <f>IFERROR(VLOOKUP(F57,Calculations!$B$61:$N$64,5,FALSE),"")</f>
        <v>0.23499999999999999</v>
      </c>
      <c r="N57" s="163">
        <f>IFERROR(VLOOKUP(F57,Calculations!$B$61:$N$64,6,FALSE),"")</f>
        <v>0.32</v>
      </c>
      <c r="O57" s="164">
        <f>IFERROR(VLOOKUP(F57,Calculations!$B$61:$N$64,7,FALSE),"")</f>
        <v>3.2692307692307699E-3</v>
      </c>
      <c r="P57" s="189">
        <f>IFERROR((M57+O57*K57)*G57,"")</f>
        <v>276.83</v>
      </c>
      <c r="Q57" s="165" t="str">
        <f>IFERROR(VLOOKUP(F57,Calculations!$B$61:$N$64,11,FALSE),"")</f>
        <v>Diesel</v>
      </c>
      <c r="R57" s="166">
        <f>IFERROR(VLOOKUP(F57,Calculations!$B$61:$N$64,12,FALSE),"")</f>
        <v>2.6</v>
      </c>
      <c r="S57" s="167">
        <f>IFERROR((P57*R57),"")</f>
        <v>719.75800000000004</v>
      </c>
      <c r="T57" s="189">
        <f>IFERROR((S57/(K57*1000))*L57,"")</f>
        <v>88.474867999999987</v>
      </c>
      <c r="U57" s="51"/>
      <c r="V57" s="56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56"/>
      <c r="AK57" s="56"/>
      <c r="AL57" s="56"/>
    </row>
    <row r="58" spans="1:38" ht="23.25" customHeight="1" x14ac:dyDescent="0.3">
      <c r="A58" s="60"/>
      <c r="B58" s="52"/>
      <c r="C58" s="168"/>
      <c r="D58" s="491"/>
      <c r="E58" s="160"/>
      <c r="F58" s="168"/>
      <c r="G58" s="168"/>
      <c r="H58" s="171"/>
      <c r="I58" s="168"/>
      <c r="J58" s="162"/>
      <c r="K58" s="168"/>
      <c r="L58" s="168"/>
      <c r="M58" s="168"/>
      <c r="N58" s="172"/>
      <c r="O58" s="173"/>
      <c r="P58" s="190"/>
      <c r="Q58" s="175"/>
      <c r="R58" s="176"/>
      <c r="S58" s="177"/>
      <c r="T58" s="190"/>
      <c r="U58" s="51"/>
      <c r="V58" s="56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56"/>
      <c r="AK58" s="56"/>
      <c r="AL58" s="56"/>
    </row>
    <row r="59" spans="1:38" ht="43.2" x14ac:dyDescent="0.3">
      <c r="A59" s="60"/>
      <c r="B59" s="52"/>
      <c r="C59" s="168" t="s">
        <v>87</v>
      </c>
      <c r="D59" s="169" t="s">
        <v>162</v>
      </c>
      <c r="E59" s="160" t="s">
        <v>163</v>
      </c>
      <c r="F59" s="168" t="s">
        <v>120</v>
      </c>
      <c r="G59" s="168">
        <v>935</v>
      </c>
      <c r="H59" s="171">
        <f>IFERROR(VLOOKUP(F59,Calculations!$B$61:$N$64,2,FALSE),"")</f>
        <v>14</v>
      </c>
      <c r="I59" s="168">
        <f>IFERROR(VLOOKUP(F59,Calculations!$B$61:$N$64,4,FALSE),"")</f>
        <v>26</v>
      </c>
      <c r="J59" s="162">
        <v>0.7</v>
      </c>
      <c r="K59" s="168">
        <f t="shared" ref="K59:K67" si="6">IFERROR(I59*J59,"")</f>
        <v>18.2</v>
      </c>
      <c r="L59" s="168">
        <f>IFERROR(VLOOKUP(C59,Calculations!$C$49:$F$52,4,FALSE),"")</f>
        <v>2380</v>
      </c>
      <c r="M59" s="168">
        <f>IFERROR(VLOOKUP(F59,Calculations!$B$61:$N$64,5,FALSE),"")</f>
        <v>0.23499999999999999</v>
      </c>
      <c r="N59" s="172">
        <f>IFERROR(VLOOKUP(F59,Calculations!$B$61:$N$64,6,FALSE),"")</f>
        <v>0.32</v>
      </c>
      <c r="O59" s="173">
        <f>IFERROR(VLOOKUP(F59,Calculations!$B$61:$N$64,7,FALSE),"")</f>
        <v>3.2692307692307699E-3</v>
      </c>
      <c r="P59" s="190">
        <f>IFERROR((M59+O59*K59)*G59,"")</f>
        <v>275.35749999999996</v>
      </c>
      <c r="Q59" s="175" t="str">
        <f>IFERROR(VLOOKUP(F59,Calculations!$B$61:$N$64,11,FALSE),"")</f>
        <v>Diesel</v>
      </c>
      <c r="R59" s="176">
        <f>IFERROR(VLOOKUP(F59,Calculations!$B$61:$N$64,12,FALSE),"")</f>
        <v>2.6</v>
      </c>
      <c r="S59" s="177">
        <f>IFERROR((P59*R59),"")</f>
        <v>715.92949999999996</v>
      </c>
      <c r="T59" s="190">
        <f t="shared" ref="T59:T67" si="7">IFERROR((S59/(K59*1000))*L59,"")</f>
        <v>93.621549999999999</v>
      </c>
      <c r="U59" s="51"/>
      <c r="V59" s="56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56"/>
      <c r="AK59" s="56"/>
      <c r="AL59" s="56"/>
    </row>
    <row r="60" spans="1:38" ht="28.8" x14ac:dyDescent="0.3">
      <c r="A60" s="60"/>
      <c r="B60" s="52"/>
      <c r="C60" s="168" t="s">
        <v>87</v>
      </c>
      <c r="D60" s="169" t="s">
        <v>164</v>
      </c>
      <c r="E60" s="170" t="s">
        <v>165</v>
      </c>
      <c r="F60" s="168" t="s">
        <v>120</v>
      </c>
      <c r="G60" s="168">
        <v>423</v>
      </c>
      <c r="H60" s="171">
        <f>IFERROR(VLOOKUP(F60,Calculations!$B$61:$N$64,2,FALSE),"")</f>
        <v>14</v>
      </c>
      <c r="I60" s="168">
        <f>IFERROR(VLOOKUP(F60,Calculations!$B$61:$N$64,4,FALSE),"")</f>
        <v>26</v>
      </c>
      <c r="J60" s="162">
        <v>0.7</v>
      </c>
      <c r="K60" s="168">
        <f t="shared" si="6"/>
        <v>18.2</v>
      </c>
      <c r="L60" s="168">
        <f>IFERROR(VLOOKUP(C60,Calculations!$C$49:$F$52,4,FALSE),"")</f>
        <v>2380</v>
      </c>
      <c r="M60" s="168">
        <f>IFERROR(VLOOKUP(F60,Calculations!$B$61:$N$64,5,FALSE),"")</f>
        <v>0.23499999999999999</v>
      </c>
      <c r="N60" s="172">
        <f>IFERROR(VLOOKUP(F60,Calculations!$B$61:$N$64,6,FALSE),"")</f>
        <v>0.32</v>
      </c>
      <c r="O60" s="173">
        <f>IFERROR(VLOOKUP(F60,Calculations!$B$61:$N$64,7,FALSE),"")</f>
        <v>3.2692307692307699E-3</v>
      </c>
      <c r="P60" s="190">
        <f t="shared" ref="P60:P67" si="8">IFERROR((M60+O60*K60)*G60,"")</f>
        <v>124.5735</v>
      </c>
      <c r="Q60" s="175" t="str">
        <f>IFERROR(VLOOKUP(F60,Calculations!$B$61:$N$64,11,FALSE),"")</f>
        <v>Diesel</v>
      </c>
      <c r="R60" s="176">
        <f>IFERROR(VLOOKUP(F60,Calculations!$B$61:$N$64,12,FALSE),"")</f>
        <v>2.6</v>
      </c>
      <c r="S60" s="177">
        <f t="shared" ref="S60:S67" si="9">IFERROR((P60*R60),"")</f>
        <v>323.89109999999999</v>
      </c>
      <c r="T60" s="190">
        <f t="shared" si="7"/>
        <v>42.354990000000001</v>
      </c>
      <c r="U60" s="51"/>
      <c r="V60" s="56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56"/>
      <c r="AK60" s="56"/>
      <c r="AL60" s="56"/>
    </row>
    <row r="61" spans="1:38" ht="19.95" customHeight="1" x14ac:dyDescent="0.3">
      <c r="A61" s="60"/>
      <c r="B61" s="52"/>
      <c r="C61" s="168"/>
      <c r="D61" s="169"/>
      <c r="E61" s="178"/>
      <c r="F61" s="168"/>
      <c r="G61" s="168"/>
      <c r="H61" s="171" t="str">
        <f>IFERROR(VLOOKUP(F61,Calculations!$B$61:$N$64,2,FALSE),"")</f>
        <v/>
      </c>
      <c r="I61" s="168" t="str">
        <f>IFERROR(VLOOKUP(F61,Calculations!$B$61:$N$64,4,FALSE),"")</f>
        <v/>
      </c>
      <c r="J61" s="162"/>
      <c r="K61" s="168" t="str">
        <f t="shared" si="6"/>
        <v/>
      </c>
      <c r="L61" s="168" t="str">
        <f>IFERROR(VLOOKUP(C61,Calculations!$C$49:$F$52,4,FALSE),"")</f>
        <v/>
      </c>
      <c r="M61" s="168" t="str">
        <f>IFERROR(VLOOKUP(F61,Calculations!$B$61:$N$64,5,FALSE),"")</f>
        <v/>
      </c>
      <c r="N61" s="172" t="str">
        <f>IFERROR(VLOOKUP(F61,Calculations!$B$61:$N$64,6,FALSE),"")</f>
        <v/>
      </c>
      <c r="O61" s="173" t="str">
        <f>IFERROR(VLOOKUP(F61,Calculations!$B$61:$N$64,7,FALSE),"")</f>
        <v/>
      </c>
      <c r="P61" s="190" t="str">
        <f t="shared" si="8"/>
        <v/>
      </c>
      <c r="Q61" s="175" t="str">
        <f>IFERROR(VLOOKUP(F61,Calculations!$B$61:$N$64,11,FALSE),"")</f>
        <v/>
      </c>
      <c r="R61" s="176" t="str">
        <f>IFERROR(VLOOKUP(F61,Calculations!$B$61:$N$64,12,FALSE),"")</f>
        <v/>
      </c>
      <c r="S61" s="177" t="str">
        <f t="shared" si="9"/>
        <v/>
      </c>
      <c r="T61" s="190" t="str">
        <f t="shared" si="7"/>
        <v/>
      </c>
      <c r="U61" s="51"/>
      <c r="V61" s="56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56"/>
      <c r="AK61" s="56"/>
      <c r="AL61" s="56"/>
    </row>
    <row r="62" spans="1:38" ht="19.95" customHeight="1" x14ac:dyDescent="0.3">
      <c r="A62" s="60"/>
      <c r="B62" s="52"/>
      <c r="C62" s="168"/>
      <c r="D62" s="169"/>
      <c r="E62" s="160"/>
      <c r="F62" s="168"/>
      <c r="G62" s="168"/>
      <c r="H62" s="171" t="str">
        <f>IFERROR(VLOOKUP(F62,Calculations!$B$61:$N$64,2,FALSE),"")</f>
        <v/>
      </c>
      <c r="I62" s="168" t="str">
        <f>IFERROR(VLOOKUP(F62,Calculations!$B$61:$N$64,4,FALSE),"")</f>
        <v/>
      </c>
      <c r="J62" s="162"/>
      <c r="K62" s="168" t="str">
        <f t="shared" si="6"/>
        <v/>
      </c>
      <c r="L62" s="168" t="str">
        <f>IFERROR(VLOOKUP(C62,Calculations!$C$49:$F$52,4,FALSE),"")</f>
        <v/>
      </c>
      <c r="M62" s="168" t="str">
        <f>IFERROR(VLOOKUP(F62,Calculations!$B$61:$N$64,5,FALSE),"")</f>
        <v/>
      </c>
      <c r="N62" s="172" t="str">
        <f>IFERROR(VLOOKUP(F62,Calculations!$B$61:$N$64,6,FALSE),"")</f>
        <v/>
      </c>
      <c r="O62" s="173" t="str">
        <f>IFERROR(VLOOKUP(F62,Calculations!$B$61:$N$64,7,FALSE),"")</f>
        <v/>
      </c>
      <c r="P62" s="190" t="str">
        <f t="shared" si="8"/>
        <v/>
      </c>
      <c r="Q62" s="175" t="str">
        <f>IFERROR(VLOOKUP(F62,Calculations!$B$61:$N$64,11,FALSE),"")</f>
        <v/>
      </c>
      <c r="R62" s="176" t="str">
        <f>IFERROR(VLOOKUP(F62,Calculations!$B$61:$N$64,12,FALSE),"")</f>
        <v/>
      </c>
      <c r="S62" s="177" t="str">
        <f t="shared" si="9"/>
        <v/>
      </c>
      <c r="T62" s="190" t="str">
        <f t="shared" si="7"/>
        <v/>
      </c>
      <c r="U62" s="51"/>
      <c r="V62" s="56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56"/>
      <c r="AK62" s="56"/>
      <c r="AL62" s="56"/>
    </row>
    <row r="63" spans="1:38" ht="19.95" customHeight="1" x14ac:dyDescent="0.3">
      <c r="A63" s="60"/>
      <c r="B63" s="52"/>
      <c r="C63" s="168"/>
      <c r="D63" s="169"/>
      <c r="E63" s="170"/>
      <c r="F63" s="168"/>
      <c r="G63" s="168"/>
      <c r="H63" s="171" t="str">
        <f>IFERROR(VLOOKUP(F63,Calculations!$B$61:$N$64,2,FALSE),"")</f>
        <v/>
      </c>
      <c r="I63" s="168" t="str">
        <f>IFERROR(VLOOKUP(F63,Calculations!$B$61:$N$64,4,FALSE),"")</f>
        <v/>
      </c>
      <c r="J63" s="162"/>
      <c r="K63" s="168" t="str">
        <f t="shared" si="6"/>
        <v/>
      </c>
      <c r="L63" s="168" t="str">
        <f>IFERROR(VLOOKUP(C63,Calculations!$C$49:$F$52,4,FALSE),"")</f>
        <v/>
      </c>
      <c r="M63" s="168" t="str">
        <f>IFERROR(VLOOKUP(F63,Calculations!$B$61:$N$64,5,FALSE),"")</f>
        <v/>
      </c>
      <c r="N63" s="172" t="str">
        <f>IFERROR(VLOOKUP(F63,Calculations!$B$61:$N$64,6,FALSE),"")</f>
        <v/>
      </c>
      <c r="O63" s="173" t="str">
        <f>IFERROR(VLOOKUP(F63,Calculations!$B$61:$N$64,7,FALSE),"")</f>
        <v/>
      </c>
      <c r="P63" s="190" t="str">
        <f t="shared" si="8"/>
        <v/>
      </c>
      <c r="Q63" s="175" t="str">
        <f>IFERROR(VLOOKUP(F63,Calculations!$B$61:$N$64,11,FALSE),"")</f>
        <v/>
      </c>
      <c r="R63" s="176" t="str">
        <f>IFERROR(VLOOKUP(F63,Calculations!$B$61:$N$64,12,FALSE),"")</f>
        <v/>
      </c>
      <c r="S63" s="177" t="str">
        <f t="shared" si="9"/>
        <v/>
      </c>
      <c r="T63" s="190" t="str">
        <f t="shared" si="7"/>
        <v/>
      </c>
      <c r="U63" s="51"/>
      <c r="V63" s="56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56"/>
      <c r="AK63" s="56"/>
      <c r="AL63" s="56"/>
    </row>
    <row r="64" spans="1:38" ht="19.95" customHeight="1" x14ac:dyDescent="0.3">
      <c r="A64" s="60"/>
      <c r="B64" s="52"/>
      <c r="C64" s="168"/>
      <c r="D64" s="169"/>
      <c r="E64" s="178"/>
      <c r="F64" s="168"/>
      <c r="G64" s="168"/>
      <c r="H64" s="171" t="str">
        <f>IFERROR(VLOOKUP(F64,Calculations!$B$61:$N$64,2,FALSE),"")</f>
        <v/>
      </c>
      <c r="I64" s="168" t="str">
        <f>IFERROR(VLOOKUP(F64,Calculations!$B$61:$N$64,4,FALSE),"")</f>
        <v/>
      </c>
      <c r="J64" s="162"/>
      <c r="K64" s="168" t="str">
        <f t="shared" si="6"/>
        <v/>
      </c>
      <c r="L64" s="168" t="str">
        <f>IFERROR(VLOOKUP(C64,Calculations!$C$49:$F$52,4,FALSE),"")</f>
        <v/>
      </c>
      <c r="M64" s="168" t="str">
        <f>IFERROR(VLOOKUP(F64,Calculations!$B$61:$N$64,5,FALSE),"")</f>
        <v/>
      </c>
      <c r="N64" s="172" t="str">
        <f>IFERROR(VLOOKUP(F64,Calculations!$B$61:$N$64,6,FALSE),"")</f>
        <v/>
      </c>
      <c r="O64" s="173" t="str">
        <f>IFERROR(VLOOKUP(F64,Calculations!$B$61:$N$64,7,FALSE),"")</f>
        <v/>
      </c>
      <c r="P64" s="190" t="str">
        <f t="shared" si="8"/>
        <v/>
      </c>
      <c r="Q64" s="175" t="str">
        <f>IFERROR(VLOOKUP(F64,Calculations!$B$61:$N$64,11,FALSE),"")</f>
        <v/>
      </c>
      <c r="R64" s="176" t="str">
        <f>IFERROR(VLOOKUP(F64,Calculations!$B$61:$N$64,12,FALSE),"")</f>
        <v/>
      </c>
      <c r="S64" s="177" t="str">
        <f t="shared" si="9"/>
        <v/>
      </c>
      <c r="T64" s="190" t="str">
        <f t="shared" si="7"/>
        <v/>
      </c>
      <c r="U64" s="51"/>
      <c r="V64" s="56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56"/>
      <c r="AK64" s="56"/>
      <c r="AL64" s="56"/>
    </row>
    <row r="65" spans="1:38" ht="19.95" customHeight="1" x14ac:dyDescent="0.3">
      <c r="A65" s="60"/>
      <c r="B65" s="52"/>
      <c r="C65" s="168"/>
      <c r="D65" s="169"/>
      <c r="E65" s="178"/>
      <c r="F65" s="168"/>
      <c r="G65" s="168"/>
      <c r="H65" s="171" t="str">
        <f>IFERROR(VLOOKUP(F65,Calculations!$B$61:$N$64,2,FALSE),"")</f>
        <v/>
      </c>
      <c r="I65" s="168" t="str">
        <f>IFERROR(VLOOKUP(F65,Calculations!$B$61:$N$64,4,FALSE),"")</f>
        <v/>
      </c>
      <c r="J65" s="162"/>
      <c r="K65" s="168" t="str">
        <f t="shared" si="6"/>
        <v/>
      </c>
      <c r="L65" s="168" t="str">
        <f>IFERROR(VLOOKUP(C65,Calculations!$C$49:$F$52,4,FALSE),"")</f>
        <v/>
      </c>
      <c r="M65" s="168" t="str">
        <f>IFERROR(VLOOKUP(F65,Calculations!$B$61:$N$64,5,FALSE),"")</f>
        <v/>
      </c>
      <c r="N65" s="172" t="str">
        <f>IFERROR(VLOOKUP(F65,Calculations!$B$61:$N$64,6,FALSE),"")</f>
        <v/>
      </c>
      <c r="O65" s="173" t="str">
        <f>IFERROR(VLOOKUP(F65,Calculations!$B$61:$N$64,7,FALSE),"")</f>
        <v/>
      </c>
      <c r="P65" s="190" t="str">
        <f t="shared" si="8"/>
        <v/>
      </c>
      <c r="Q65" s="175" t="str">
        <f>IFERROR(VLOOKUP(F65,Calculations!$B$61:$N$64,11,FALSE),"")</f>
        <v/>
      </c>
      <c r="R65" s="176" t="str">
        <f>IFERROR(VLOOKUP(F65,Calculations!$B$61:$N$64,12,FALSE),"")</f>
        <v/>
      </c>
      <c r="S65" s="177" t="str">
        <f t="shared" si="9"/>
        <v/>
      </c>
      <c r="T65" s="190" t="str">
        <f t="shared" si="7"/>
        <v/>
      </c>
      <c r="U65" s="51"/>
      <c r="V65" s="56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56"/>
      <c r="AK65" s="56"/>
      <c r="AL65" s="56"/>
    </row>
    <row r="66" spans="1:38" ht="19.95" customHeight="1" x14ac:dyDescent="0.3">
      <c r="A66" s="60"/>
      <c r="B66" s="52"/>
      <c r="C66" s="168"/>
      <c r="D66" s="169"/>
      <c r="E66" s="178"/>
      <c r="F66" s="168"/>
      <c r="G66" s="168"/>
      <c r="H66" s="171" t="str">
        <f>IFERROR(VLOOKUP(F66,Calculations!$B$61:$N$64,2,FALSE),"")</f>
        <v/>
      </c>
      <c r="I66" s="168" t="str">
        <f>IFERROR(VLOOKUP(F66,Calculations!$B$61:$N$64,4,FALSE),"")</f>
        <v/>
      </c>
      <c r="J66" s="162"/>
      <c r="K66" s="168" t="str">
        <f t="shared" si="6"/>
        <v/>
      </c>
      <c r="L66" s="168" t="str">
        <f>IFERROR(VLOOKUP(C66,Calculations!$C$49:$F$52,4,FALSE),"")</f>
        <v/>
      </c>
      <c r="M66" s="168" t="str">
        <f>IFERROR(VLOOKUP(F66,Calculations!$B$61:$N$64,5,FALSE),"")</f>
        <v/>
      </c>
      <c r="N66" s="172" t="str">
        <f>IFERROR(VLOOKUP(F66,Calculations!$B$61:$N$64,6,FALSE),"")</f>
        <v/>
      </c>
      <c r="O66" s="173" t="str">
        <f>IFERROR(VLOOKUP(F66,Calculations!$B$61:$N$64,7,FALSE),"")</f>
        <v/>
      </c>
      <c r="P66" s="190" t="str">
        <f t="shared" si="8"/>
        <v/>
      </c>
      <c r="Q66" s="175" t="str">
        <f>IFERROR(VLOOKUP(F66,Calculations!$B$61:$N$64,11,FALSE),"")</f>
        <v/>
      </c>
      <c r="R66" s="176" t="str">
        <f>IFERROR(VLOOKUP(F66,Calculations!$B$61:$N$64,12,FALSE),"")</f>
        <v/>
      </c>
      <c r="S66" s="177" t="str">
        <f t="shared" si="9"/>
        <v/>
      </c>
      <c r="T66" s="190" t="str">
        <f t="shared" si="7"/>
        <v/>
      </c>
      <c r="U66" s="51"/>
      <c r="V66" s="56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56"/>
      <c r="AK66" s="56"/>
      <c r="AL66" s="56"/>
    </row>
    <row r="67" spans="1:38" ht="19.95" customHeight="1" x14ac:dyDescent="0.3">
      <c r="A67" s="60"/>
      <c r="B67" s="52"/>
      <c r="C67" s="179"/>
      <c r="D67" s="223"/>
      <c r="E67" s="180"/>
      <c r="F67" s="179"/>
      <c r="G67" s="179"/>
      <c r="H67" s="181" t="str">
        <f>IFERROR(VLOOKUP(F67,Calculations!$B$61:$N$64,2,FALSE),"")</f>
        <v/>
      </c>
      <c r="I67" s="179" t="str">
        <f>IFERROR(VLOOKUP(F67,Calculations!$B$61:$N$64,4,FALSE),"")</f>
        <v/>
      </c>
      <c r="J67" s="182"/>
      <c r="K67" s="179" t="str">
        <f t="shared" si="6"/>
        <v/>
      </c>
      <c r="L67" s="179" t="str">
        <f>IFERROR(VLOOKUP(C67,Calculations!$C$49:$F$52,4,FALSE),"")</f>
        <v/>
      </c>
      <c r="M67" s="179" t="str">
        <f>IFERROR(VLOOKUP(F67,Calculations!$B$61:$N$64,5,FALSE),"")</f>
        <v/>
      </c>
      <c r="N67" s="183" t="str">
        <f>IFERROR(VLOOKUP(F67,Calculations!$B$61:$N$64,6,FALSE),"")</f>
        <v/>
      </c>
      <c r="O67" s="184" t="str">
        <f>IFERROR(VLOOKUP(F67,Calculations!$B$61:$N$64,7,FALSE),"")</f>
        <v/>
      </c>
      <c r="P67" s="191" t="str">
        <f t="shared" si="8"/>
        <v/>
      </c>
      <c r="Q67" s="186" t="str">
        <f>IFERROR(VLOOKUP(F67,Calculations!$B$61:$N$64,11,FALSE),"")</f>
        <v/>
      </c>
      <c r="R67" s="187" t="str">
        <f>IFERROR(VLOOKUP(F67,Calculations!$B$61:$N$64,12,FALSE),"")</f>
        <v/>
      </c>
      <c r="S67" s="188" t="str">
        <f t="shared" si="9"/>
        <v/>
      </c>
      <c r="T67" s="191" t="str">
        <f t="shared" si="7"/>
        <v/>
      </c>
      <c r="U67" s="51"/>
      <c r="V67" s="56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56"/>
      <c r="AK67" s="56"/>
      <c r="AL67" s="56"/>
    </row>
    <row r="68" spans="1:38" ht="19.95" customHeight="1" x14ac:dyDescent="0.45">
      <c r="A68" s="60"/>
      <c r="B68" s="52"/>
      <c r="C68" s="127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412"/>
      <c r="Q68" s="224"/>
      <c r="R68" s="224"/>
      <c r="S68" s="140"/>
      <c r="T68" s="140"/>
      <c r="U68" s="51"/>
      <c r="V68" s="56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56"/>
      <c r="AK68" s="56"/>
      <c r="AL68" s="56"/>
    </row>
    <row r="69" spans="1:38" ht="19.95" customHeight="1" x14ac:dyDescent="0.3">
      <c r="A69" s="60"/>
      <c r="B69" s="52"/>
      <c r="C69" s="696" t="s">
        <v>134</v>
      </c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140"/>
      <c r="T69" s="140"/>
      <c r="U69" s="51"/>
      <c r="V69" s="56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56"/>
      <c r="AK69" s="56"/>
      <c r="AL69" s="56"/>
    </row>
    <row r="70" spans="1:38" ht="19.95" customHeight="1" x14ac:dyDescent="0.3">
      <c r="A70" s="60"/>
      <c r="B70" s="52"/>
      <c r="C70" s="697"/>
      <c r="D70" s="697"/>
      <c r="E70" s="697"/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140"/>
      <c r="T70" s="140"/>
      <c r="U70" s="51"/>
      <c r="V70" s="56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56"/>
      <c r="AK70" s="56"/>
      <c r="AL70" s="56"/>
    </row>
    <row r="71" spans="1:38" ht="19.95" customHeight="1" x14ac:dyDescent="0.3">
      <c r="A71" s="60"/>
      <c r="B71" s="52"/>
      <c r="C71" s="636" t="s">
        <v>94</v>
      </c>
      <c r="D71" s="636" t="s">
        <v>135</v>
      </c>
      <c r="E71" s="636" t="s">
        <v>96</v>
      </c>
      <c r="F71" s="636" t="s">
        <v>97</v>
      </c>
      <c r="G71" s="636"/>
      <c r="H71" s="636"/>
      <c r="I71" s="636"/>
      <c r="J71" s="636" t="s">
        <v>136</v>
      </c>
      <c r="K71" s="636"/>
      <c r="L71" s="636"/>
      <c r="M71" s="636"/>
      <c r="N71" s="636"/>
      <c r="O71" s="636"/>
      <c r="P71" s="636"/>
      <c r="Q71" s="636"/>
      <c r="R71" s="636"/>
      <c r="S71" s="140"/>
      <c r="T71" s="140"/>
      <c r="U71" s="51"/>
      <c r="V71" s="56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56"/>
      <c r="AK71" s="56"/>
      <c r="AL71" s="56"/>
    </row>
    <row r="72" spans="1:38" ht="19.95" customHeight="1" x14ac:dyDescent="0.3">
      <c r="A72" s="60"/>
      <c r="B72" s="52"/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140"/>
      <c r="T72" s="140"/>
      <c r="U72" s="51"/>
      <c r="V72" s="56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56"/>
      <c r="AK72" s="56"/>
      <c r="AL72" s="56"/>
    </row>
    <row r="73" spans="1:38" ht="19.95" customHeight="1" x14ac:dyDescent="0.3">
      <c r="A73" s="60"/>
      <c r="B73" s="52"/>
      <c r="C73" s="604" t="s">
        <v>100</v>
      </c>
      <c r="D73" s="604" t="s">
        <v>101</v>
      </c>
      <c r="E73" s="604" t="s">
        <v>102</v>
      </c>
      <c r="F73" s="604" t="s">
        <v>137</v>
      </c>
      <c r="G73" s="604" t="s">
        <v>104</v>
      </c>
      <c r="H73" s="604" t="s">
        <v>138</v>
      </c>
      <c r="I73" s="604" t="s">
        <v>139</v>
      </c>
      <c r="J73" s="604" t="s">
        <v>140</v>
      </c>
      <c r="K73" s="604" t="s">
        <v>141</v>
      </c>
      <c r="L73" s="604" t="s">
        <v>109</v>
      </c>
      <c r="M73" s="723" t="s">
        <v>142</v>
      </c>
      <c r="N73" s="604" t="s">
        <v>143</v>
      </c>
      <c r="O73" s="604" t="s">
        <v>144</v>
      </c>
      <c r="P73" s="604" t="s">
        <v>145</v>
      </c>
      <c r="Q73" s="604" t="s">
        <v>146</v>
      </c>
      <c r="R73" s="742" t="s">
        <v>147</v>
      </c>
      <c r="S73" s="722"/>
      <c r="T73" s="645" t="s">
        <v>167</v>
      </c>
      <c r="U73" s="51"/>
      <c r="V73" s="56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56"/>
      <c r="AK73" s="56"/>
      <c r="AL73" s="56"/>
    </row>
    <row r="74" spans="1:38" ht="19.95" customHeight="1" x14ac:dyDescent="0.3">
      <c r="A74" s="60"/>
      <c r="B74" s="52"/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724"/>
      <c r="N74" s="604"/>
      <c r="O74" s="604"/>
      <c r="P74" s="604"/>
      <c r="Q74" s="604"/>
      <c r="R74" s="700"/>
      <c r="S74" s="722"/>
      <c r="T74" s="700"/>
      <c r="U74" s="51"/>
      <c r="V74" s="56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56"/>
      <c r="AK74" s="56"/>
      <c r="AL74" s="56"/>
    </row>
    <row r="75" spans="1:38" ht="19.95" customHeight="1" x14ac:dyDescent="0.3">
      <c r="A75" s="60"/>
      <c r="B75" s="52"/>
      <c r="C75" s="604"/>
      <c r="D75" s="604"/>
      <c r="E75" s="604"/>
      <c r="F75" s="604"/>
      <c r="G75" s="604"/>
      <c r="H75" s="604"/>
      <c r="I75" s="604"/>
      <c r="J75" s="604"/>
      <c r="K75" s="604"/>
      <c r="L75" s="604"/>
      <c r="M75" s="725"/>
      <c r="N75" s="604"/>
      <c r="O75" s="604"/>
      <c r="P75" s="604"/>
      <c r="Q75" s="645"/>
      <c r="R75" s="743"/>
      <c r="S75" s="722"/>
      <c r="T75" s="646"/>
      <c r="U75" s="51"/>
      <c r="V75" s="56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56"/>
      <c r="AK75" s="56"/>
      <c r="AL75" s="56"/>
    </row>
    <row r="76" spans="1:38" ht="30" customHeight="1" x14ac:dyDescent="0.3">
      <c r="A76" s="60"/>
      <c r="B76" s="52"/>
      <c r="C76" s="171" t="s">
        <v>87</v>
      </c>
      <c r="D76" s="158"/>
      <c r="E76" s="158" t="s">
        <v>165</v>
      </c>
      <c r="F76" s="178" t="s">
        <v>168</v>
      </c>
      <c r="G76" s="158">
        <f>IFERROR(VLOOKUP(F76,Calculations!$B$89:$O$100,7,FALSE),"")</f>
        <v>4.3</v>
      </c>
      <c r="H76" s="192">
        <f>IFERROR(VLOOKUP(F76,Calculations!$B$89:$O$100,4,FALSE),"")</f>
        <v>120</v>
      </c>
      <c r="I76" s="193">
        <f>IFERROR(VLOOKUP(F76,Calculations!$B$89:$O$100,6,FALSE),"")</f>
        <v>500</v>
      </c>
      <c r="J76" s="194">
        <v>0.7</v>
      </c>
      <c r="K76" s="161">
        <f>IFERROR(J76*I76,"")</f>
        <v>350</v>
      </c>
      <c r="L76" s="158">
        <f>IFERROR(VLOOKUP(C76,Calculations!$C$49:$F$52,4,FALSE),"")</f>
        <v>2380</v>
      </c>
      <c r="M76" s="205" t="str">
        <f>IFERROR(VLOOKUP(F76,Calculations!$B$89:$O$100,5,FALSE),"")</f>
        <v>Diesel mechanically on regular fossil diesel</v>
      </c>
      <c r="N76" s="189">
        <f>IFERROR(VLOOKUP(F76,Calculations!$B$89:$O$100,10,FALSE),"")</f>
        <v>327</v>
      </c>
      <c r="O76" s="467" t="str">
        <f>IFERROR(VLOOKUP(F76,Calculations!$B$89:$O$100,11,FALSE),"")</f>
        <v>-</v>
      </c>
      <c r="P76" s="195" t="str">
        <f>IFERROR(VLOOKUP(F76,Calculations!$B$89:$O$100,12,FALSE),"")</f>
        <v>-</v>
      </c>
      <c r="Q76" s="196">
        <f>IFERROR(VLOOKUP(F76,Calculations!$B$89:$O$100,13,FALSE),"")</f>
        <v>168.732</v>
      </c>
      <c r="R76" s="167">
        <f>IFERROR((Q76/(K76*1000))*L76,"")</f>
        <v>1.1473776</v>
      </c>
      <c r="S76" s="34"/>
      <c r="T76" s="714">
        <f>SUM(R76:R82)+SUM(T57:T67)</f>
        <v>227.14641119999996</v>
      </c>
      <c r="U76" s="51"/>
      <c r="V76" s="56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56"/>
      <c r="AK76" s="56"/>
      <c r="AL76" s="56"/>
    </row>
    <row r="77" spans="1:38" ht="30" customHeight="1" x14ac:dyDescent="0.3">
      <c r="A77" s="60"/>
      <c r="B77" s="52"/>
      <c r="C77" s="171" t="s">
        <v>87</v>
      </c>
      <c r="D77" s="168"/>
      <c r="E77" s="168" t="s">
        <v>165</v>
      </c>
      <c r="F77" s="178" t="s">
        <v>169</v>
      </c>
      <c r="G77" s="168">
        <f>IFERROR(VLOOKUP(F77,Calculations!$B$89:$O$100,7,FALSE),"")</f>
        <v>5.8</v>
      </c>
      <c r="H77" s="192">
        <f>IFERROR(VLOOKUP(F77,Calculations!$B$89:$O$100,4,FALSE),"")</f>
        <v>120</v>
      </c>
      <c r="I77" s="192">
        <f>IFERROR(VLOOKUP(F77,Calculations!$B$89:$O$100,6,FALSE),"")</f>
        <v>500</v>
      </c>
      <c r="J77" s="197">
        <v>0.7</v>
      </c>
      <c r="K77" s="171">
        <f t="shared" ref="K77:K82" si="10">IFERROR(J77*I77,"")</f>
        <v>350</v>
      </c>
      <c r="L77" s="168">
        <f>IFERROR(VLOOKUP(C77,Calculations!$C$49:$F$52,4,FALSE),"")</f>
        <v>2380</v>
      </c>
      <c r="M77" s="204" t="str">
        <f>IFERROR(VLOOKUP(F77,Calculations!$B$89:$O$100,5,FALSE),"")</f>
        <v>Diesel mechanically on regular fossil diesel</v>
      </c>
      <c r="N77" s="190">
        <f>IFERROR(VLOOKUP(F77,Calculations!$B$89:$O$100,10,FALSE),"")</f>
        <v>327</v>
      </c>
      <c r="O77" s="468" t="str">
        <f>IFERROR(VLOOKUP(F77,Calculations!$B$89:$O$100,11,FALSE),"")</f>
        <v>-</v>
      </c>
      <c r="P77" s="198" t="str">
        <f>IFERROR(VLOOKUP(F77,Calculations!$B$89:$O$100,12,FALSE),"")</f>
        <v>-</v>
      </c>
      <c r="Q77" s="199">
        <f>IFERROR(VLOOKUP(F77,Calculations!$B$89:$O$100,13,FALSE),"")</f>
        <v>227.59200000000001</v>
      </c>
      <c r="R77" s="177">
        <f t="shared" ref="R77:R82" si="11">IFERROR((Q77/(K77*1000))*L77,"")</f>
        <v>1.5476256000000002</v>
      </c>
      <c r="S77" s="34"/>
      <c r="T77" s="715"/>
      <c r="U77" s="51"/>
      <c r="V77" s="56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56"/>
      <c r="AK77" s="56"/>
      <c r="AL77" s="56"/>
    </row>
    <row r="78" spans="1:38" ht="30" customHeight="1" x14ac:dyDescent="0.3">
      <c r="A78" s="60"/>
      <c r="B78" s="52"/>
      <c r="C78" s="171"/>
      <c r="D78" s="168"/>
      <c r="E78" s="168"/>
      <c r="F78" s="178"/>
      <c r="G78" s="168" t="str">
        <f>IFERROR(VLOOKUP(F78,Calculations!$B$89:$O$100,7,FALSE),"")</f>
        <v/>
      </c>
      <c r="H78" s="192" t="str">
        <f>IFERROR(VLOOKUP(F78,Calculations!$B$89:$O$100,4,FALSE),"")</f>
        <v/>
      </c>
      <c r="I78" s="192" t="str">
        <f>IFERROR(VLOOKUP(F78,Calculations!$B$89:$O$100,6,FALSE),"")</f>
        <v/>
      </c>
      <c r="J78" s="197"/>
      <c r="K78" s="171" t="str">
        <f t="shared" si="10"/>
        <v/>
      </c>
      <c r="L78" s="168" t="str">
        <f>IFERROR(VLOOKUP(C78,Calculations!$C$49:$F$52,4,FALSE),"")</f>
        <v/>
      </c>
      <c r="M78" s="204" t="str">
        <f>IFERROR(VLOOKUP(F78,Calculations!$B$89:$O$100,5,FALSE),"")</f>
        <v/>
      </c>
      <c r="N78" s="190" t="str">
        <f>IFERROR(VLOOKUP(F78,Calculations!$B$89:$O$100,10,FALSE),"")</f>
        <v/>
      </c>
      <c r="O78" s="468" t="str">
        <f>IFERROR(VLOOKUP(F78,Calculations!$B$89:$O$100,11,FALSE),"")</f>
        <v/>
      </c>
      <c r="P78" s="198" t="str">
        <f>IFERROR(VLOOKUP(F78,Calculations!$B$89:$O$100,12,FALSE),"")</f>
        <v/>
      </c>
      <c r="Q78" s="199" t="str">
        <f>IFERROR(VLOOKUP(F78,Calculations!$B$89:$O$100,13,FALSE),"")</f>
        <v/>
      </c>
      <c r="R78" s="177" t="str">
        <f t="shared" si="11"/>
        <v/>
      </c>
      <c r="S78" s="34"/>
      <c r="T78" s="715"/>
      <c r="U78" s="51"/>
      <c r="V78" s="56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56"/>
      <c r="AK78" s="56"/>
      <c r="AL78" s="56"/>
    </row>
    <row r="79" spans="1:38" ht="30" customHeight="1" x14ac:dyDescent="0.3">
      <c r="A79" s="60"/>
      <c r="B79" s="52"/>
      <c r="C79" s="171"/>
      <c r="D79" s="168"/>
      <c r="E79" s="168"/>
      <c r="F79" s="178"/>
      <c r="G79" s="168" t="str">
        <f>IFERROR(VLOOKUP(F79,Calculations!$B$89:$O$100,7,FALSE),"")</f>
        <v/>
      </c>
      <c r="H79" s="192" t="str">
        <f>IFERROR(VLOOKUP(F79,Calculations!$B$89:$O$100,4,FALSE),"")</f>
        <v/>
      </c>
      <c r="I79" s="192" t="str">
        <f>IFERROR(VLOOKUP(F79,Calculations!$B$89:$O$100,6,FALSE),"")</f>
        <v/>
      </c>
      <c r="J79" s="197"/>
      <c r="K79" s="171" t="str">
        <f t="shared" si="10"/>
        <v/>
      </c>
      <c r="L79" s="168" t="str">
        <f>IFERROR(VLOOKUP(C79,Calculations!$C$49:$F$52,4,FALSE),"")</f>
        <v/>
      </c>
      <c r="M79" s="204" t="str">
        <f>IFERROR(VLOOKUP(F79,Calculations!$B$89:$O$100,5,FALSE),"")</f>
        <v/>
      </c>
      <c r="N79" s="190" t="str">
        <f>IFERROR(VLOOKUP(F79,Calculations!$B$89:$O$100,10,FALSE),"")</f>
        <v/>
      </c>
      <c r="O79" s="468" t="str">
        <f>IFERROR(VLOOKUP(F79,Calculations!$B$89:$O$100,11,FALSE),"")</f>
        <v/>
      </c>
      <c r="P79" s="198" t="str">
        <f>IFERROR(VLOOKUP(F79,Calculations!$B$89:$O$100,12,FALSE),"")</f>
        <v/>
      </c>
      <c r="Q79" s="199" t="str">
        <f>IFERROR(VLOOKUP(F79,Calculations!$B$89:$O$100,13,FALSE),"")</f>
        <v/>
      </c>
      <c r="R79" s="177" t="str">
        <f t="shared" si="11"/>
        <v/>
      </c>
      <c r="S79" s="34"/>
      <c r="T79" s="715"/>
      <c r="U79" s="51"/>
      <c r="V79" s="56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56"/>
      <c r="AK79" s="56"/>
      <c r="AL79" s="56"/>
    </row>
    <row r="80" spans="1:38" ht="30" customHeight="1" x14ac:dyDescent="0.3">
      <c r="A80" s="60"/>
      <c r="B80" s="52"/>
      <c r="C80" s="171"/>
      <c r="D80" s="168"/>
      <c r="E80" s="168"/>
      <c r="F80" s="178"/>
      <c r="G80" s="168" t="str">
        <f>IFERROR(VLOOKUP(F80,Calculations!$B$89:$O$100,7,FALSE),"")</f>
        <v/>
      </c>
      <c r="H80" s="192" t="str">
        <f>IFERROR(VLOOKUP(F80,Calculations!$B$89:$O$100,4,FALSE),"")</f>
        <v/>
      </c>
      <c r="I80" s="192" t="str">
        <f>IFERROR(VLOOKUP(F80,Calculations!$B$89:$O$100,6,FALSE),"")</f>
        <v/>
      </c>
      <c r="J80" s="197"/>
      <c r="K80" s="171" t="str">
        <f t="shared" si="10"/>
        <v/>
      </c>
      <c r="L80" s="168" t="str">
        <f>IFERROR(VLOOKUP(C80,Calculations!$C$49:$F$52,4,FALSE),"")</f>
        <v/>
      </c>
      <c r="M80" s="204" t="str">
        <f>IFERROR(VLOOKUP(F80,Calculations!$B$89:$O$100,5,FALSE),"")</f>
        <v/>
      </c>
      <c r="N80" s="190" t="str">
        <f>IFERROR(VLOOKUP(F80,Calculations!$B$89:$O$100,10,FALSE),"")</f>
        <v/>
      </c>
      <c r="O80" s="468" t="str">
        <f>IFERROR(VLOOKUP(F80,Calculations!$B$89:$O$100,11,FALSE),"")</f>
        <v/>
      </c>
      <c r="P80" s="198" t="str">
        <f>IFERROR(VLOOKUP(F80,Calculations!$B$89:$O$100,12,FALSE),"")</f>
        <v/>
      </c>
      <c r="Q80" s="199" t="str">
        <f>IFERROR(VLOOKUP(F80,Calculations!$B$89:$O$100,13,FALSE),"")</f>
        <v/>
      </c>
      <c r="R80" s="177" t="str">
        <f t="shared" si="11"/>
        <v/>
      </c>
      <c r="S80" s="34"/>
      <c r="T80" s="715"/>
      <c r="U80" s="51"/>
      <c r="V80" s="56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56"/>
      <c r="AK80" s="56"/>
      <c r="AL80" s="56"/>
    </row>
    <row r="81" spans="1:38" ht="30" customHeight="1" x14ac:dyDescent="0.3">
      <c r="A81" s="60"/>
      <c r="B81" s="52"/>
      <c r="C81" s="171"/>
      <c r="D81" s="168"/>
      <c r="E81" s="168"/>
      <c r="F81" s="178"/>
      <c r="G81" s="168" t="str">
        <f>IFERROR(VLOOKUP(F81,Calculations!$B$89:$O$100,7,FALSE),"")</f>
        <v/>
      </c>
      <c r="H81" s="192" t="str">
        <f>IFERROR(VLOOKUP(F81,Calculations!$B$89:$O$100,4,FALSE),"")</f>
        <v/>
      </c>
      <c r="I81" s="192" t="str">
        <f>IFERROR(VLOOKUP(F81,Calculations!$B$89:$O$100,6,FALSE),"")</f>
        <v/>
      </c>
      <c r="J81" s="197"/>
      <c r="K81" s="171" t="str">
        <f t="shared" si="10"/>
        <v/>
      </c>
      <c r="L81" s="168" t="str">
        <f>IFERROR(VLOOKUP(C81,Calculations!$C$49:$F$52,4,FALSE),"")</f>
        <v/>
      </c>
      <c r="M81" s="204" t="str">
        <f>IFERROR(VLOOKUP(F81,Calculations!$B$89:$O$100,5,FALSE),"")</f>
        <v/>
      </c>
      <c r="N81" s="190" t="str">
        <f>IFERROR(VLOOKUP(F81,Calculations!$B$89:$O$100,10,FALSE),"")</f>
        <v/>
      </c>
      <c r="O81" s="468" t="str">
        <f>IFERROR(VLOOKUP(F81,Calculations!$B$89:$O$100,11,FALSE),"")</f>
        <v/>
      </c>
      <c r="P81" s="198" t="str">
        <f>IFERROR(VLOOKUP(F81,Calculations!$B$89:$O$100,12,FALSE),"")</f>
        <v/>
      </c>
      <c r="Q81" s="199" t="str">
        <f>IFERROR(VLOOKUP(F81,Calculations!$B$89:$O$100,13,FALSE),"")</f>
        <v/>
      </c>
      <c r="R81" s="177" t="str">
        <f t="shared" si="11"/>
        <v/>
      </c>
      <c r="S81" s="34"/>
      <c r="T81" s="715"/>
      <c r="U81" s="51"/>
      <c r="V81" s="56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56"/>
      <c r="AK81" s="56"/>
      <c r="AL81" s="56"/>
    </row>
    <row r="82" spans="1:38" ht="30" customHeight="1" x14ac:dyDescent="0.3">
      <c r="A82" s="60"/>
      <c r="B82" s="52"/>
      <c r="C82" s="181"/>
      <c r="D82" s="179"/>
      <c r="E82" s="179"/>
      <c r="F82" s="180"/>
      <c r="G82" s="179" t="str">
        <f>IFERROR(VLOOKUP(F82,Calculations!$B$89:$O$100,7,FALSE),"")</f>
        <v/>
      </c>
      <c r="H82" s="200" t="str">
        <f>IFERROR(VLOOKUP(F82,Calculations!$B$89:$O$100,4,FALSE),"")</f>
        <v/>
      </c>
      <c r="I82" s="200" t="str">
        <f>IFERROR(VLOOKUP(F82,Calculations!$B$89:$O$100,6,FALSE),"")</f>
        <v/>
      </c>
      <c r="J82" s="201"/>
      <c r="K82" s="181" t="str">
        <f t="shared" si="10"/>
        <v/>
      </c>
      <c r="L82" s="179" t="str">
        <f>IFERROR(VLOOKUP(C82,Calculations!$C$49:$F$52,4,FALSE),"")</f>
        <v/>
      </c>
      <c r="M82" s="206" t="str">
        <f>IFERROR(VLOOKUP(F82,Calculations!$B$89:$O$100,5,FALSE),"")</f>
        <v/>
      </c>
      <c r="N82" s="191" t="str">
        <f>IFERROR(VLOOKUP(F82,Calculations!$B$89:$O$100,10,FALSE),"")</f>
        <v/>
      </c>
      <c r="O82" s="469" t="str">
        <f>IFERROR(VLOOKUP(F82,Calculations!$B$89:$O$100,11,FALSE),"")</f>
        <v/>
      </c>
      <c r="P82" s="202" t="str">
        <f>IFERROR(VLOOKUP(F82,Calculations!$B$89:$O$100,12,FALSE),"")</f>
        <v/>
      </c>
      <c r="Q82" s="203" t="str">
        <f>IFERROR(VLOOKUP(F82,Calculations!$B$89:$O$100,13,FALSE),"")</f>
        <v/>
      </c>
      <c r="R82" s="188" t="str">
        <f t="shared" si="11"/>
        <v/>
      </c>
      <c r="S82" s="34"/>
      <c r="T82" s="716"/>
      <c r="U82" s="51"/>
      <c r="V82" s="56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56"/>
      <c r="AK82" s="56"/>
      <c r="AL82" s="56"/>
    </row>
    <row r="83" spans="1:38" ht="19.95" customHeight="1" x14ac:dyDescent="0.3">
      <c r="A83" s="60"/>
      <c r="B83" s="52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51"/>
      <c r="V83" s="56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56"/>
      <c r="AK83" s="56"/>
      <c r="AL83" s="56"/>
    </row>
    <row r="84" spans="1:38" ht="19.95" customHeight="1" x14ac:dyDescent="0.3">
      <c r="A84" s="60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5"/>
      <c r="V84" s="56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56"/>
      <c r="AK84" s="56"/>
      <c r="AL84" s="56"/>
    </row>
    <row r="85" spans="1:38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38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38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38" ht="14.7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142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38" ht="14.7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142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38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94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38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94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38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141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38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141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38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41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  <row r="95" spans="1:38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141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</row>
    <row r="96" spans="1:38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141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</row>
    <row r="97" spans="1:38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141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</row>
    <row r="98" spans="1:38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141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</row>
    <row r="99" spans="1:38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</row>
    <row r="100" spans="1:38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</row>
    <row r="101" spans="1:38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</row>
    <row r="102" spans="1:38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</row>
    <row r="103" spans="1:38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</row>
    <row r="104" spans="1:38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</row>
    <row r="105" spans="1:38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</row>
    <row r="106" spans="1:38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</row>
    <row r="107" spans="1:38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1:38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1:38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1:38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1:38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1:38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1:38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1:38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1:38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1:38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1:38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  <row r="118" spans="1:38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</row>
    <row r="119" spans="1:38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</row>
    <row r="120" spans="1:38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</row>
    <row r="121" spans="1:38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</row>
    <row r="122" spans="1:38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</row>
    <row r="123" spans="1:38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</row>
    <row r="124" spans="1:38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</row>
    <row r="125" spans="1:38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</row>
    <row r="126" spans="1:38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</row>
    <row r="127" spans="1:38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</row>
    <row r="128" spans="1:38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</row>
    <row r="129" spans="1:38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</row>
    <row r="130" spans="1:38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</row>
    <row r="131" spans="1:38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</row>
    <row r="132" spans="1:38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</row>
    <row r="133" spans="1:38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</row>
    <row r="134" spans="1:38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</row>
    <row r="135" spans="1:38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</row>
    <row r="136" spans="1:38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</row>
    <row r="137" spans="1:38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</row>
    <row r="138" spans="1:38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</row>
    <row r="139" spans="1:38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</row>
    <row r="140" spans="1:38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</row>
    <row r="141" spans="1:38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</row>
    <row r="142" spans="1:38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</row>
    <row r="143" spans="1:38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</row>
    <row r="144" spans="1:38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</row>
    <row r="145" spans="1:38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</row>
    <row r="146" spans="1:38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</row>
    <row r="147" spans="1:38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</row>
    <row r="148" spans="1:38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</row>
    <row r="149" spans="1:38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</row>
    <row r="150" spans="1:38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</row>
    <row r="151" spans="1:38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</row>
    <row r="152" spans="1:38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</row>
    <row r="153" spans="1:38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</row>
    <row r="154" spans="1:38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</row>
    <row r="155" spans="1:38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</row>
    <row r="156" spans="1:38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</row>
    <row r="157" spans="1:38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</row>
    <row r="158" spans="1:38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</row>
    <row r="159" spans="1:38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</row>
    <row r="160" spans="1:38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</row>
    <row r="161" spans="1:38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</row>
    <row r="162" spans="1:38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</row>
    <row r="163" spans="1:38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</row>
    <row r="164" spans="1:38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</row>
    <row r="165" spans="1:38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</row>
    <row r="166" spans="1:38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</row>
    <row r="167" spans="1:3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</row>
    <row r="168" spans="1:38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</row>
    <row r="169" spans="1:38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</row>
    <row r="170" spans="1:38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</row>
    <row r="171" spans="1:38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</row>
    <row r="172" spans="1:38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</row>
    <row r="173" spans="1:38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</row>
    <row r="174" spans="1:38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</row>
    <row r="175" spans="1:38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</row>
    <row r="176" spans="1:38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</row>
    <row r="177" spans="1:38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1:38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1:38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1:38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</row>
    <row r="181" spans="1:38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</row>
    <row r="182" spans="1:38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1:38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1:38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1:38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1:38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1:38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1:38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1:38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1:38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1:38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1:38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spans="1:38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</row>
    <row r="194" spans="1:38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</row>
    <row r="195" spans="1:38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</row>
    <row r="196" spans="1:38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</row>
    <row r="197" spans="1:38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</row>
    <row r="198" spans="1:38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</row>
    <row r="199" spans="1:38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</row>
    <row r="200" spans="1:38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</row>
    <row r="201" spans="1:38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</row>
    <row r="202" spans="1:38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</row>
    <row r="203" spans="1:38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</row>
    <row r="204" spans="1:38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</row>
    <row r="205" spans="1:38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</row>
    <row r="206" spans="1:38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</row>
    <row r="207" spans="1:38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</row>
    <row r="208" spans="1:38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</row>
    <row r="209" spans="1:38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</row>
    <row r="210" spans="1:38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</row>
    <row r="211" spans="1:38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</row>
    <row r="212" spans="1:38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</row>
    <row r="213" spans="1:38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</row>
    <row r="214" spans="1:38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</row>
    <row r="215" spans="1:38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</row>
    <row r="216" spans="1:38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</row>
    <row r="217" spans="1:38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</row>
    <row r="218" spans="1:38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</row>
    <row r="219" spans="1:38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</row>
    <row r="220" spans="1:38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</row>
    <row r="221" spans="1:38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</row>
    <row r="222" spans="1:38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</row>
    <row r="223" spans="1:38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</row>
    <row r="224" spans="1:38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</row>
    <row r="225" spans="1:38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</row>
    <row r="226" spans="1:38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</row>
    <row r="227" spans="1:38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</row>
    <row r="228" spans="1:38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</row>
    <row r="229" spans="1:38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</row>
    <row r="230" spans="1:38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</row>
    <row r="231" spans="1:38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</row>
    <row r="232" spans="1:38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</row>
    <row r="233" spans="1:38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</row>
    <row r="234" spans="1:38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</row>
    <row r="235" spans="1:38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</row>
    <row r="236" spans="1:38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</row>
    <row r="237" spans="1:38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</row>
    <row r="238" spans="1:38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</row>
    <row r="239" spans="1:38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</row>
    <row r="240" spans="1:38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</row>
    <row r="241" spans="1:38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</row>
    <row r="242" spans="1:38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</row>
    <row r="243" spans="1:38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</row>
    <row r="244" spans="1:38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</row>
    <row r="245" spans="1:38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</row>
    <row r="246" spans="1:38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</row>
    <row r="247" spans="1:38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</row>
    <row r="248" spans="1:38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</row>
    <row r="249" spans="1:38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</row>
    <row r="250" spans="1:38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</row>
    <row r="251" spans="1:38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</row>
    <row r="252" spans="1:38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</row>
    <row r="253" spans="1:38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</row>
    <row r="254" spans="1:38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</row>
    <row r="255" spans="1:38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</row>
    <row r="256" spans="1:38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</row>
    <row r="257" spans="1:38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</row>
    <row r="258" spans="1:38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</row>
    <row r="259" spans="1:38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</row>
    <row r="260" spans="1:38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</row>
    <row r="261" spans="1:38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</row>
    <row r="262" spans="1:38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</row>
    <row r="263" spans="1:38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</row>
    <row r="264" spans="1:38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</row>
    <row r="265" spans="1:38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</row>
    <row r="266" spans="1:38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</row>
    <row r="267" spans="1:38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</row>
    <row r="268" spans="1:38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</row>
    <row r="269" spans="1:38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</row>
    <row r="270" spans="1:38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</row>
    <row r="271" spans="1:38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</row>
    <row r="272" spans="1:38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</row>
    <row r="273" spans="1:38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</row>
    <row r="274" spans="1:38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</row>
    <row r="275" spans="1:38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</row>
    <row r="276" spans="1:38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</row>
    <row r="277" spans="1:38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</row>
    <row r="278" spans="1:38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</row>
    <row r="279" spans="1:38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</row>
    <row r="280" spans="1:38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</row>
    <row r="281" spans="1:38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</row>
    <row r="282" spans="1:38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</row>
    <row r="283" spans="1:38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</row>
    <row r="284" spans="1:38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</row>
    <row r="285" spans="1:38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</row>
    <row r="286" spans="1:38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</row>
    <row r="287" spans="1:38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</row>
    <row r="288" spans="1:38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</row>
    <row r="289" spans="1:38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</row>
    <row r="290" spans="1:38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</row>
    <row r="291" spans="1:38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</row>
    <row r="292" spans="1:38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</row>
    <row r="293" spans="1:38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</row>
    <row r="294" spans="1:38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</row>
    <row r="295" spans="1:38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</row>
    <row r="296" spans="1:38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</row>
    <row r="297" spans="1:38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</row>
    <row r="298" spans="1:38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</row>
    <row r="299" spans="1:38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</row>
    <row r="300" spans="1:38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</row>
    <row r="301" spans="1:38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</row>
    <row r="302" spans="1:38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</row>
    <row r="303" spans="1:38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</row>
    <row r="304" spans="1:38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</row>
    <row r="305" spans="1:38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</row>
    <row r="306" spans="1:38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</row>
    <row r="307" spans="1:38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</row>
    <row r="308" spans="1:38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</row>
    <row r="309" spans="1:38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</row>
    <row r="310" spans="1:38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</row>
    <row r="311" spans="1:38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</row>
    <row r="312" spans="1:38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</row>
    <row r="313" spans="1:38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</row>
    <row r="314" spans="1:38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</row>
    <row r="315" spans="1:38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</row>
    <row r="316" spans="1:38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</row>
    <row r="317" spans="1:38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</row>
    <row r="318" spans="1:38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</row>
    <row r="319" spans="1:38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</row>
    <row r="320" spans="1:38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</row>
    <row r="321" spans="1:38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</row>
    <row r="322" spans="1:38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</row>
    <row r="323" spans="1:38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</row>
    <row r="324" spans="1:38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</row>
    <row r="325" spans="1:38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</row>
    <row r="326" spans="1:38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</row>
    <row r="327" spans="1:38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</row>
    <row r="328" spans="1:38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</row>
    <row r="329" spans="1:38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</row>
    <row r="330" spans="1:38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</row>
    <row r="331" spans="1:38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</row>
    <row r="332" spans="1:38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</row>
    <row r="333" spans="1:38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</row>
    <row r="334" spans="1:38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</row>
    <row r="335" spans="1:38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</row>
    <row r="336" spans="1:38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</row>
    <row r="337" spans="1:38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</row>
    <row r="338" spans="1:38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</row>
    <row r="339" spans="1:38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</row>
    <row r="340" spans="1:38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</row>
    <row r="341" spans="1:38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</row>
    <row r="342" spans="1:38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</row>
    <row r="343" spans="1:38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</row>
    <row r="344" spans="1:38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</row>
    <row r="345" spans="1:38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</row>
    <row r="346" spans="1:38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</row>
    <row r="347" spans="1:38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</row>
    <row r="348" spans="1:38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</row>
    <row r="349" spans="1:38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</row>
  </sheetData>
  <mergeCells count="153">
    <mergeCell ref="L9:L10"/>
    <mergeCell ref="M9:M1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H9:H10"/>
    <mergeCell ref="I9:I10"/>
    <mergeCell ref="D20:D21"/>
    <mergeCell ref="D15:D16"/>
    <mergeCell ref="D23:D24"/>
    <mergeCell ref="D17:D18"/>
    <mergeCell ref="B9:B10"/>
    <mergeCell ref="C47:T49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P9:P10"/>
    <mergeCell ref="Q9:Q10"/>
    <mergeCell ref="R9:R10"/>
    <mergeCell ref="S9:S10"/>
    <mergeCell ref="T9:T10"/>
    <mergeCell ref="K9:K10"/>
    <mergeCell ref="E31:E33"/>
    <mergeCell ref="F31:F33"/>
    <mergeCell ref="C54:C56"/>
    <mergeCell ref="C73:C75"/>
    <mergeCell ref="C4:T6"/>
    <mergeCell ref="S54:S56"/>
    <mergeCell ref="S11:S13"/>
    <mergeCell ref="C7:T8"/>
    <mergeCell ref="H11:H13"/>
    <mergeCell ref="I11:I13"/>
    <mergeCell ref="J11:J13"/>
    <mergeCell ref="L11:L13"/>
    <mergeCell ref="R11:R13"/>
    <mergeCell ref="C9:C10"/>
    <mergeCell ref="K11:K13"/>
    <mergeCell ref="C31:C33"/>
    <mergeCell ref="M11:M13"/>
    <mergeCell ref="R73:R75"/>
    <mergeCell ref="Q54:Q56"/>
    <mergeCell ref="N9:N10"/>
    <mergeCell ref="O9:O10"/>
    <mergeCell ref="D9:D10"/>
    <mergeCell ref="E9:E10"/>
    <mergeCell ref="F9:F10"/>
    <mergeCell ref="G9:G10"/>
    <mergeCell ref="J9:J10"/>
    <mergeCell ref="F73:F75"/>
    <mergeCell ref="M54:M56"/>
    <mergeCell ref="N54:N56"/>
    <mergeCell ref="J54:J56"/>
    <mergeCell ref="L54:L56"/>
    <mergeCell ref="K54:K56"/>
    <mergeCell ref="M31:M33"/>
    <mergeCell ref="H73:H75"/>
    <mergeCell ref="G73:G75"/>
    <mergeCell ref="N73:N75"/>
    <mergeCell ref="N71:N72"/>
    <mergeCell ref="I71:I72"/>
    <mergeCell ref="J71:J72"/>
    <mergeCell ref="K71:K72"/>
    <mergeCell ref="L71:L72"/>
    <mergeCell ref="M71:M72"/>
    <mergeCell ref="D31:D33"/>
    <mergeCell ref="G31:G33"/>
    <mergeCell ref="L31:L33"/>
    <mergeCell ref="Q31:Q33"/>
    <mergeCell ref="S73:S75"/>
    <mergeCell ref="M73:M75"/>
    <mergeCell ref="J73:J75"/>
    <mergeCell ref="D71:D72"/>
    <mergeCell ref="E71:E72"/>
    <mergeCell ref="F71:F72"/>
    <mergeCell ref="G71:G72"/>
    <mergeCell ref="H71:H72"/>
    <mergeCell ref="S52:S53"/>
    <mergeCell ref="E54:E56"/>
    <mergeCell ref="D54:D56"/>
    <mergeCell ref="F54:F56"/>
    <mergeCell ref="H54:H56"/>
    <mergeCell ref="I54:I56"/>
    <mergeCell ref="H31:H33"/>
    <mergeCell ref="I31:I33"/>
    <mergeCell ref="J31:J33"/>
    <mergeCell ref="N31:N33"/>
    <mergeCell ref="E73:E75"/>
    <mergeCell ref="D73:D75"/>
    <mergeCell ref="P11:P13"/>
    <mergeCell ref="K31:K33"/>
    <mergeCell ref="N11:N13"/>
    <mergeCell ref="O11:O13"/>
    <mergeCell ref="L29:L30"/>
    <mergeCell ref="M29:M30"/>
    <mergeCell ref="N29:N30"/>
    <mergeCell ref="T73:T75"/>
    <mergeCell ref="T76:T82"/>
    <mergeCell ref="T31:T33"/>
    <mergeCell ref="T34:T42"/>
    <mergeCell ref="T52:T53"/>
    <mergeCell ref="T54:T56"/>
    <mergeCell ref="O29:O30"/>
    <mergeCell ref="P29:P30"/>
    <mergeCell ref="O71:O72"/>
    <mergeCell ref="P71:P72"/>
    <mergeCell ref="Q71:Q72"/>
    <mergeCell ref="R71:R72"/>
    <mergeCell ref="R54:R56"/>
    <mergeCell ref="P31:P33"/>
    <mergeCell ref="O31:O33"/>
    <mergeCell ref="O54:O56"/>
    <mergeCell ref="P54:P56"/>
    <mergeCell ref="O73:O75"/>
    <mergeCell ref="P73:P75"/>
    <mergeCell ref="I73:I75"/>
    <mergeCell ref="Q73:Q75"/>
    <mergeCell ref="K73:K75"/>
    <mergeCell ref="R90:R91"/>
    <mergeCell ref="L73:L75"/>
    <mergeCell ref="Q11:Q13"/>
    <mergeCell ref="C69:R70"/>
    <mergeCell ref="C27:R28"/>
    <mergeCell ref="G54:G56"/>
    <mergeCell ref="Q52:Q53"/>
    <mergeCell ref="R52:R53"/>
    <mergeCell ref="Q29:Q30"/>
    <mergeCell ref="R29:R30"/>
    <mergeCell ref="C71:C72"/>
    <mergeCell ref="C50:T51"/>
    <mergeCell ref="R31:R33"/>
    <mergeCell ref="T11:T13"/>
    <mergeCell ref="C11:C13"/>
    <mergeCell ref="D11:D13"/>
    <mergeCell ref="E11:E13"/>
    <mergeCell ref="F11:F13"/>
    <mergeCell ref="G11:G13"/>
  </mergeCells>
  <dataValidations count="1">
    <dataValidation type="list" allowBlank="1" showInputMessage="1" showErrorMessage="1" sqref="C43:C44" xr:uid="{61446314-3859-4046-B6A2-B737DF495BB9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D10BDC-E3AB-4EE8-BE03-6966FCCAE8D2}">
          <x14:formula1>
            <xm:f>Calculations!$B$89:$B$100</xm:f>
          </x14:formula1>
          <xm:sqref>F76:F82 F34:F46</xm:sqref>
        </x14:dataValidation>
        <x14:dataValidation type="list" allowBlank="1" showInputMessage="1" showErrorMessage="1" xr:uid="{B8FF6A76-C151-40FE-86A6-056C074094D5}">
          <x14:formula1>
            <xm:f>Calculations!$C$43:$C$48</xm:f>
          </x14:formula1>
          <xm:sqref>C14:C25 C34:C42</xm:sqref>
        </x14:dataValidation>
        <x14:dataValidation type="list" allowBlank="1" showInputMessage="1" showErrorMessage="1" xr:uid="{A07D658F-62E2-47F4-B54B-8F3BFBE00CC0}">
          <x14:formula1>
            <xm:f>Calculations!$C$49:$C$52</xm:f>
          </x14:formula1>
          <xm:sqref>C57:C67 C76:C82</xm:sqref>
        </x14:dataValidation>
        <x14:dataValidation type="list" allowBlank="1" showInputMessage="1" showErrorMessage="1" xr:uid="{73449F61-0C6C-284E-A963-0FCEE38CA979}">
          <x14:formula1>
            <xm:f>Calculations!$B$61:$B$65</xm:f>
          </x14:formula1>
          <xm:sqref>F57:F67 F14:F25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CBC7-770E-CE42-9BD9-2C045044326D}">
  <sheetPr codeName="Ark9">
    <tabColor theme="9" tint="0.39997558519241921"/>
  </sheetPr>
  <dimension ref="A1:AT495"/>
  <sheetViews>
    <sheetView topLeftCell="I1" zoomScale="40" zoomScaleNormal="40" workbookViewId="0">
      <selection activeCell="AA24" sqref="AA24"/>
    </sheetView>
  </sheetViews>
  <sheetFormatPr baseColWidth="10" defaultColWidth="11.44140625" defaultRowHeight="14.4" x14ac:dyDescent="0.3"/>
  <cols>
    <col min="2" max="2" width="7.21875" style="60" customWidth="1"/>
    <col min="3" max="3" width="11.44140625" style="60" customWidth="1"/>
    <col min="4" max="4" width="11.44140625" style="60"/>
    <col min="5" max="5" width="12.77734375" style="60" customWidth="1"/>
    <col min="6" max="6" width="4.44140625" customWidth="1"/>
    <col min="7" max="7" width="55.77734375" customWidth="1"/>
    <col min="8" max="11" width="30.44140625" customWidth="1"/>
    <col min="12" max="12" width="13.77734375" customWidth="1"/>
    <col min="13" max="14" width="11.21875" customWidth="1"/>
    <col min="15" max="15" width="7.21875" customWidth="1"/>
    <col min="16" max="18" width="11.44140625" customWidth="1"/>
    <col min="19" max="19" width="4.44140625" customWidth="1"/>
    <col min="20" max="20" width="67.77734375" bestFit="1" customWidth="1"/>
    <col min="21" max="24" width="30.44140625" customWidth="1"/>
    <col min="25" max="25" width="13.77734375" customWidth="1"/>
    <col min="26" max="26" width="26.44140625" customWidth="1"/>
    <col min="27" max="27" width="18.21875" customWidth="1"/>
    <col min="28" max="28" width="18" customWidth="1"/>
    <col min="29" max="29" width="12.21875" customWidth="1"/>
    <col min="30" max="30" width="13.44140625" customWidth="1"/>
    <col min="32" max="32" width="11.44140625" customWidth="1"/>
    <col min="34" max="34" width="11.44140625" customWidth="1"/>
    <col min="35" max="35" width="17.44140625" customWidth="1"/>
    <col min="36" max="36" width="10.44140625" customWidth="1"/>
    <col min="39" max="46" width="11.44140625" style="60"/>
  </cols>
  <sheetData>
    <row r="1" spans="1:38" s="60" customFormat="1" x14ac:dyDescent="0.3">
      <c r="S1" s="263"/>
      <c r="T1" s="263"/>
    </row>
    <row r="2" spans="1:38" s="60" customFormat="1" x14ac:dyDescent="0.3">
      <c r="S2" s="263"/>
      <c r="T2" s="263"/>
    </row>
    <row r="3" spans="1:38" x14ac:dyDescent="0.3">
      <c r="F3" s="56"/>
      <c r="G3" s="56"/>
      <c r="H3" s="56"/>
      <c r="I3" s="56"/>
      <c r="J3" s="56"/>
      <c r="K3" s="56"/>
      <c r="L3" s="56"/>
      <c r="M3" s="60"/>
      <c r="N3" s="60"/>
      <c r="O3" s="60"/>
      <c r="P3" s="60"/>
      <c r="Q3" s="60"/>
      <c r="R3" s="60"/>
      <c r="S3" s="56"/>
      <c r="T3" s="56"/>
      <c r="U3" s="56"/>
      <c r="V3" s="56"/>
      <c r="W3" s="56"/>
      <c r="X3" s="56"/>
      <c r="Y3" s="56"/>
      <c r="Z3" s="60"/>
      <c r="AA3" s="60"/>
      <c r="AB3" s="60"/>
      <c r="AC3" s="60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25.8" x14ac:dyDescent="0.3">
      <c r="A4" s="68"/>
      <c r="B4" s="81"/>
      <c r="C4" s="81"/>
      <c r="D4" s="81"/>
      <c r="E4" s="81"/>
      <c r="F4" s="81"/>
      <c r="G4" s="236"/>
      <c r="H4" s="236"/>
      <c r="I4" s="236"/>
      <c r="J4" s="236"/>
      <c r="K4" s="236"/>
      <c r="L4" s="243"/>
      <c r="M4" s="258"/>
      <c r="N4" s="287"/>
      <c r="O4" s="247"/>
      <c r="P4" s="247"/>
      <c r="Q4" s="247"/>
      <c r="R4" s="247"/>
      <c r="S4" s="126"/>
      <c r="T4" s="247"/>
      <c r="U4" s="247"/>
      <c r="V4" s="247"/>
      <c r="W4" s="247"/>
      <c r="X4" s="247"/>
      <c r="Y4" s="248"/>
      <c r="Z4" s="285"/>
      <c r="AA4" s="141"/>
      <c r="AB4" s="60"/>
      <c r="AC4" s="60"/>
      <c r="AD4" s="56"/>
      <c r="AE4" s="56"/>
      <c r="AF4" s="56"/>
      <c r="AG4" s="56"/>
      <c r="AH4" s="56"/>
      <c r="AI4" s="56"/>
      <c r="AJ4" s="56"/>
      <c r="AK4" s="56"/>
      <c r="AL4" s="56"/>
    </row>
    <row r="5" spans="1:38" ht="25.8" x14ac:dyDescent="0.3">
      <c r="A5" s="39"/>
      <c r="B5" s="33"/>
      <c r="C5" s="33"/>
      <c r="D5" s="33"/>
      <c r="E5" s="33"/>
      <c r="F5" s="33"/>
      <c r="G5" s="237"/>
      <c r="H5" s="749" t="s">
        <v>170</v>
      </c>
      <c r="I5" s="749"/>
      <c r="J5" s="749"/>
      <c r="K5" s="749"/>
      <c r="L5" s="244"/>
      <c r="M5" s="258"/>
      <c r="N5" s="288"/>
      <c r="O5" s="249"/>
      <c r="P5" s="249"/>
      <c r="Q5" s="249"/>
      <c r="R5" s="249"/>
      <c r="S5" s="34"/>
      <c r="T5" s="249"/>
      <c r="U5" s="754" t="s">
        <v>170</v>
      </c>
      <c r="V5" s="754"/>
      <c r="W5" s="754"/>
      <c r="X5" s="754"/>
      <c r="Y5" s="250"/>
      <c r="Z5" s="285"/>
      <c r="AA5" s="141"/>
      <c r="AB5" s="60"/>
      <c r="AC5" s="60"/>
      <c r="AD5" s="56"/>
      <c r="AE5" s="56"/>
      <c r="AF5" s="56"/>
      <c r="AG5" s="56"/>
      <c r="AH5" s="56"/>
      <c r="AI5" s="56"/>
      <c r="AJ5" s="56"/>
      <c r="AK5" s="56"/>
      <c r="AL5" s="56"/>
    </row>
    <row r="6" spans="1:38" ht="19.95" customHeight="1" x14ac:dyDescent="0.3">
      <c r="A6" s="39"/>
      <c r="B6" s="765" t="s">
        <v>26</v>
      </c>
      <c r="C6" s="765"/>
      <c r="D6" s="765"/>
      <c r="E6" s="765"/>
      <c r="F6" s="33"/>
      <c r="G6" s="762" t="s">
        <v>24</v>
      </c>
      <c r="H6" s="764">
        <v>1</v>
      </c>
      <c r="I6" s="764">
        <v>2</v>
      </c>
      <c r="J6" s="764">
        <v>3</v>
      </c>
      <c r="K6" s="764">
        <v>4</v>
      </c>
      <c r="L6" s="244"/>
      <c r="M6" s="258"/>
      <c r="N6" s="288"/>
      <c r="O6" s="765" t="s">
        <v>26</v>
      </c>
      <c r="P6" s="765"/>
      <c r="Q6" s="765"/>
      <c r="R6" s="765"/>
      <c r="S6" s="249"/>
      <c r="T6" s="760" t="s">
        <v>25</v>
      </c>
      <c r="U6" s="755">
        <v>1</v>
      </c>
      <c r="V6" s="755">
        <v>2</v>
      </c>
      <c r="W6" s="755">
        <v>3</v>
      </c>
      <c r="X6" s="755">
        <v>4</v>
      </c>
      <c r="Y6" s="255"/>
      <c r="Z6" s="285"/>
      <c r="AA6" s="141"/>
      <c r="AB6" s="60"/>
      <c r="AC6" s="60"/>
      <c r="AD6" s="56"/>
      <c r="AE6" s="56"/>
      <c r="AF6" s="56"/>
      <c r="AG6" s="56"/>
      <c r="AH6" s="56"/>
      <c r="AI6" s="56"/>
      <c r="AJ6" s="56"/>
      <c r="AK6" s="56"/>
      <c r="AL6" s="56"/>
    </row>
    <row r="7" spans="1:38" ht="19.95" customHeight="1" x14ac:dyDescent="0.3">
      <c r="A7" s="39"/>
      <c r="B7" s="765"/>
      <c r="C7" s="765"/>
      <c r="D7" s="765"/>
      <c r="E7" s="765"/>
      <c r="F7" s="33"/>
      <c r="G7" s="763"/>
      <c r="H7" s="764"/>
      <c r="I7" s="764"/>
      <c r="J7" s="764"/>
      <c r="K7" s="764"/>
      <c r="L7" s="245"/>
      <c r="M7" s="259"/>
      <c r="N7" s="289"/>
      <c r="O7" s="765"/>
      <c r="P7" s="765"/>
      <c r="Q7" s="765"/>
      <c r="R7" s="765"/>
      <c r="S7" s="254"/>
      <c r="T7" s="761"/>
      <c r="U7" s="755"/>
      <c r="V7" s="755"/>
      <c r="W7" s="755"/>
      <c r="X7" s="755"/>
      <c r="Y7" s="256"/>
      <c r="Z7" s="286"/>
      <c r="AA7" s="141"/>
      <c r="AB7" s="60"/>
      <c r="AC7" s="60"/>
      <c r="AD7" s="56"/>
      <c r="AE7" s="56"/>
      <c r="AF7" s="56"/>
      <c r="AG7" s="56"/>
      <c r="AH7" s="56"/>
      <c r="AI7" s="56"/>
      <c r="AJ7" s="56"/>
      <c r="AK7" s="56"/>
      <c r="AL7" s="56"/>
    </row>
    <row r="8" spans="1:38" ht="19.95" customHeight="1" x14ac:dyDescent="0.3">
      <c r="A8" s="39"/>
      <c r="B8" s="499">
        <v>1</v>
      </c>
      <c r="C8" s="766" t="s">
        <v>171</v>
      </c>
      <c r="D8" s="766"/>
      <c r="E8" s="766"/>
      <c r="F8" s="33"/>
      <c r="G8" s="239" t="s">
        <v>38</v>
      </c>
      <c r="H8" s="492" t="s">
        <v>50</v>
      </c>
      <c r="I8" s="492" t="s">
        <v>50</v>
      </c>
      <c r="J8" s="492"/>
      <c r="K8" s="492"/>
      <c r="L8" s="47"/>
      <c r="M8" s="60"/>
      <c r="N8" s="52"/>
      <c r="O8" s="499">
        <v>1</v>
      </c>
      <c r="P8" s="766" t="s">
        <v>171</v>
      </c>
      <c r="Q8" s="766"/>
      <c r="R8" s="766"/>
      <c r="S8" s="34"/>
      <c r="T8" s="252" t="s">
        <v>38</v>
      </c>
      <c r="U8" s="492" t="s">
        <v>87</v>
      </c>
      <c r="V8" s="492" t="s">
        <v>87</v>
      </c>
      <c r="W8" s="492"/>
      <c r="X8" s="492"/>
      <c r="Y8" s="51"/>
      <c r="Z8" s="60"/>
      <c r="AA8" s="60"/>
      <c r="AB8" s="60"/>
      <c r="AC8" s="60"/>
      <c r="AD8" s="56"/>
      <c r="AE8" s="56"/>
      <c r="AF8" s="56"/>
      <c r="AG8" s="56"/>
      <c r="AH8" s="56"/>
      <c r="AI8" s="56"/>
      <c r="AJ8" s="56"/>
      <c r="AK8" s="56"/>
      <c r="AL8" s="56"/>
    </row>
    <row r="9" spans="1:38" ht="19.95" customHeight="1" x14ac:dyDescent="0.3">
      <c r="A9" s="39"/>
      <c r="B9" s="499"/>
      <c r="C9" s="765"/>
      <c r="D9" s="765"/>
      <c r="E9" s="765"/>
      <c r="F9" s="33"/>
      <c r="G9" s="239" t="s">
        <v>172</v>
      </c>
      <c r="H9" s="553">
        <f>IF(H8='Electric engine'!$C$2,'Electric engine'!$C$7,"")</f>
        <v>1500</v>
      </c>
      <c r="I9" s="553">
        <f>IF(I8='Electric engine'!$C$2,'Electric engine'!$C$7,"")</f>
        <v>1500</v>
      </c>
      <c r="J9" s="553" t="str">
        <f>IF(J8='Electric engine'!$C$2,'Electric engine'!$C$7,"")</f>
        <v/>
      </c>
      <c r="K9" s="553" t="str">
        <f>IF(K8='Electric engine'!$C$2,'Electric engine'!$C$7,"")</f>
        <v/>
      </c>
      <c r="L9" s="47"/>
      <c r="M9" s="56"/>
      <c r="N9" s="52"/>
      <c r="O9" s="499">
        <v>2</v>
      </c>
      <c r="P9" s="766" t="s">
        <v>173</v>
      </c>
      <c r="Q9" s="766"/>
      <c r="R9" s="766"/>
      <c r="S9" s="34"/>
      <c r="T9" s="253" t="s">
        <v>172</v>
      </c>
      <c r="U9" s="492">
        <v>1500</v>
      </c>
      <c r="V9" s="492">
        <v>1500</v>
      </c>
      <c r="W9" s="492"/>
      <c r="X9" s="492"/>
      <c r="Y9" s="51"/>
      <c r="Z9" s="60"/>
      <c r="AA9" s="60"/>
      <c r="AB9" s="60"/>
      <c r="AC9" s="60"/>
      <c r="AD9" s="56"/>
      <c r="AE9" s="56"/>
      <c r="AF9" s="56"/>
      <c r="AG9" s="56"/>
      <c r="AH9" s="56"/>
      <c r="AI9" s="56"/>
      <c r="AJ9" s="56"/>
      <c r="AK9" s="56"/>
      <c r="AL9" s="56"/>
    </row>
    <row r="10" spans="1:38" ht="19.95" customHeight="1" x14ac:dyDescent="0.3">
      <c r="A10" s="39"/>
      <c r="B10" s="499"/>
      <c r="C10" s="765"/>
      <c r="D10" s="765"/>
      <c r="E10" s="765"/>
      <c r="F10" s="33"/>
      <c r="G10" s="239" t="s">
        <v>174</v>
      </c>
      <c r="H10" s="492">
        <f>IF(H8='Electric engine'!$C$2,'Electric engine'!$C$6,"")</f>
        <v>375</v>
      </c>
      <c r="I10" s="492">
        <f>IF(I8='Electric engine'!$C$2,'Electric engine'!$C$6,"")</f>
        <v>375</v>
      </c>
      <c r="J10" s="492" t="str">
        <f>IF(J8='Electric engine'!$C$2,'Electric engine'!$C$6,"")</f>
        <v/>
      </c>
      <c r="K10" s="492" t="str">
        <f>IF(K8='Electric engine'!$C$2,'Electric engine'!$C$6,"")</f>
        <v/>
      </c>
      <c r="L10" s="47"/>
      <c r="M10" s="56"/>
      <c r="N10" s="52"/>
      <c r="O10" s="499"/>
      <c r="P10" s="766"/>
      <c r="Q10" s="766"/>
      <c r="R10" s="766"/>
      <c r="S10" s="34"/>
      <c r="T10" s="253" t="s">
        <v>174</v>
      </c>
      <c r="U10" s="481">
        <f>IFERROR(VLOOKUP(U9,'Diesel engine'!$D$57:$E$68,2,FALSE),"")</f>
        <v>350</v>
      </c>
      <c r="V10" s="481">
        <f>IFERROR(VLOOKUP(V9,'Diesel engine'!$D$57:$E$68,2,FALSE),"")</f>
        <v>350</v>
      </c>
      <c r="W10" s="481" t="str">
        <f>IFERROR(VLOOKUP(W9,'Diesel engine'!$D$57:$E$68,2,FALSE),"")</f>
        <v/>
      </c>
      <c r="X10" s="481" t="str">
        <f>IFERROR(VLOOKUP(X9,'Diesel engine'!$D$57:$E$68,2,FALSE),"")</f>
        <v/>
      </c>
      <c r="Y10" s="51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ht="19.95" customHeight="1" x14ac:dyDescent="0.3">
      <c r="A11" s="39"/>
      <c r="B11" s="499">
        <v>2</v>
      </c>
      <c r="C11" s="766" t="s">
        <v>175</v>
      </c>
      <c r="D11" s="766"/>
      <c r="E11" s="766"/>
      <c r="F11" s="33"/>
      <c r="G11" s="239" t="s">
        <v>176</v>
      </c>
      <c r="H11" s="492">
        <v>2</v>
      </c>
      <c r="I11" s="492">
        <v>2</v>
      </c>
      <c r="J11" s="492"/>
      <c r="K11" s="492"/>
      <c r="L11" s="47"/>
      <c r="M11" s="56"/>
      <c r="N11" s="52"/>
      <c r="O11" s="499">
        <v>3</v>
      </c>
      <c r="P11" s="766" t="s">
        <v>177</v>
      </c>
      <c r="Q11" s="766"/>
      <c r="R11" s="766"/>
      <c r="S11" s="34"/>
      <c r="T11" s="253" t="s">
        <v>176</v>
      </c>
      <c r="U11" s="492">
        <v>2</v>
      </c>
      <c r="V11" s="492">
        <v>2</v>
      </c>
      <c r="W11" s="492"/>
      <c r="X11" s="492"/>
      <c r="Y11" s="51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19.95" customHeight="1" x14ac:dyDescent="0.3">
      <c r="A12" s="39"/>
      <c r="B12" s="499"/>
      <c r="C12" s="765"/>
      <c r="D12" s="765"/>
      <c r="E12" s="765"/>
      <c r="F12" s="33"/>
      <c r="G12" s="239" t="s">
        <v>178</v>
      </c>
      <c r="H12" s="492">
        <f>IFERROR(H11*H10,"")</f>
        <v>750</v>
      </c>
      <c r="I12" s="492">
        <f t="shared" ref="I12:K12" si="0">IFERROR(I11*I10,"")</f>
        <v>750</v>
      </c>
      <c r="J12" s="492" t="str">
        <f t="shared" si="0"/>
        <v/>
      </c>
      <c r="K12" s="492" t="str">
        <f t="shared" si="0"/>
        <v/>
      </c>
      <c r="L12" s="47"/>
      <c r="M12" s="56"/>
      <c r="N12" s="52"/>
      <c r="O12" s="499"/>
      <c r="P12" s="766"/>
      <c r="Q12" s="766"/>
      <c r="R12" s="766"/>
      <c r="S12" s="34"/>
      <c r="T12" s="253" t="s">
        <v>178</v>
      </c>
      <c r="U12" s="492">
        <f>IFERROR(U11*U10,"")</f>
        <v>700</v>
      </c>
      <c r="V12" s="492">
        <f t="shared" ref="V12:X12" si="1">IFERROR(V11*V10,"")</f>
        <v>700</v>
      </c>
      <c r="W12" s="492" t="str">
        <f t="shared" si="1"/>
        <v/>
      </c>
      <c r="X12" s="492" t="str">
        <f t="shared" si="1"/>
        <v/>
      </c>
      <c r="Y12" s="51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19.95" customHeight="1" x14ac:dyDescent="0.3">
      <c r="A13" s="39"/>
      <c r="B13" s="499"/>
      <c r="C13" s="765"/>
      <c r="D13" s="765"/>
      <c r="E13" s="765"/>
      <c r="F13" s="33"/>
      <c r="G13" s="239" t="s">
        <v>179</v>
      </c>
      <c r="H13" s="553">
        <f>IF(AND(H8='Electric engine'!$C$2,Operation!H9='Electric engine'!$C$7),'Electric engine'!$C$8,"")</f>
        <v>18</v>
      </c>
      <c r="I13" s="553">
        <f>IF(AND(I8='Electric engine'!$C$2,Operation!I9='Electric engine'!$C$7),'Electric engine'!$C$8,"")</f>
        <v>18</v>
      </c>
      <c r="J13" s="553" t="str">
        <f>IF(AND(J8='Electric engine'!$C$2,Operation!J9='Electric engine'!$C$7),'Electric engine'!$C$8,"")</f>
        <v/>
      </c>
      <c r="K13" s="553" t="str">
        <f>IF(AND(K8='Electric engine'!$C$2,Operation!K9='Electric engine'!$C$7),'Electric engine'!$C$8,"")</f>
        <v/>
      </c>
      <c r="L13" s="47"/>
      <c r="M13" s="56"/>
      <c r="N13" s="52"/>
      <c r="O13" s="499"/>
      <c r="P13" s="766"/>
      <c r="Q13" s="766"/>
      <c r="R13" s="766"/>
      <c r="S13" s="34"/>
      <c r="T13" s="253" t="s">
        <v>179</v>
      </c>
      <c r="U13" s="492">
        <f>IFERROR(VLOOKUP(U9,'Diesel engine'!$B$72:$C$74,2,FALSE),"")</f>
        <v>18</v>
      </c>
      <c r="V13" s="492">
        <f>IFERROR(VLOOKUP(V9,'Diesel engine'!$B$72:$C$74,2,FALSE),"")</f>
        <v>18</v>
      </c>
      <c r="W13" s="492" t="str">
        <f>IFERROR(VLOOKUP(W9,'Diesel engine'!$B$72:$C$74,2,FALSE),"")</f>
        <v/>
      </c>
      <c r="X13" s="492" t="str">
        <f>IFERROR(VLOOKUP(X9,'Diesel engine'!$B$72:$C$74,2,FALSE),"")</f>
        <v/>
      </c>
      <c r="Y13" s="51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9.95" customHeight="1" x14ac:dyDescent="0.3">
      <c r="A14" s="39"/>
      <c r="B14" s="499"/>
      <c r="C14" s="765"/>
      <c r="D14" s="765"/>
      <c r="E14" s="765"/>
      <c r="F14" s="33"/>
      <c r="G14" s="239" t="s">
        <v>180</v>
      </c>
      <c r="H14" s="496">
        <f>IF(H8='Electric engine'!$C$2,'Electric engine'!$D$43,"")</f>
        <v>1110967.5</v>
      </c>
      <c r="I14" s="496">
        <f>IF(I8='Electric engine'!$C$2,'Electric engine'!$D$43,"")</f>
        <v>1110967.5</v>
      </c>
      <c r="J14" s="496" t="str">
        <f>IF(J8='Electric engine'!$C$2,'Electric engine'!$D$43,"")</f>
        <v/>
      </c>
      <c r="K14" s="496" t="str">
        <f>IF(K8='Electric engine'!$C$2,'Electric engine'!$D$43,"")</f>
        <v/>
      </c>
      <c r="L14" s="47"/>
      <c r="M14" s="56"/>
      <c r="N14" s="52"/>
      <c r="O14" s="499">
        <v>4</v>
      </c>
      <c r="P14" s="766" t="s">
        <v>181</v>
      </c>
      <c r="Q14" s="766"/>
      <c r="R14" s="766"/>
      <c r="S14" s="34"/>
      <c r="T14" s="253" t="s">
        <v>182</v>
      </c>
      <c r="U14" s="480">
        <v>0.75</v>
      </c>
      <c r="V14" s="480">
        <v>0.75</v>
      </c>
      <c r="W14" s="480"/>
      <c r="X14" s="480"/>
      <c r="Y14" s="51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19.95" customHeight="1" x14ac:dyDescent="0.3">
      <c r="A15" s="39"/>
      <c r="B15" s="499"/>
      <c r="C15" s="765"/>
      <c r="D15" s="765"/>
      <c r="E15" s="765"/>
      <c r="F15" s="33"/>
      <c r="G15" s="239" t="s">
        <v>183</v>
      </c>
      <c r="H15" s="496">
        <f>IF(H8='Electric engine'!$C$2,'Electric engine'!$C$10*'Electric engine'!$C$11,"")</f>
        <v>75000</v>
      </c>
      <c r="I15" s="496">
        <f>IF(I8='Electric engine'!$C$2,'Electric engine'!$C$10*'Electric engine'!$C$11,"")</f>
        <v>75000</v>
      </c>
      <c r="J15" s="496" t="str">
        <f>IF(J8='Electric engine'!$C$2,'Electric engine'!$C$10*'Electric engine'!$C$11,"")</f>
        <v/>
      </c>
      <c r="K15" s="496" t="str">
        <f>IF(K8='Electric engine'!$C$2,'Electric engine'!$C$10*'Electric engine'!$C$11,"")</f>
        <v/>
      </c>
      <c r="L15" s="47"/>
      <c r="M15" s="56"/>
      <c r="N15" s="52"/>
      <c r="O15" s="499"/>
      <c r="P15" s="766"/>
      <c r="Q15" s="766"/>
      <c r="R15" s="766"/>
      <c r="S15" s="34"/>
      <c r="T15" s="253" t="s">
        <v>184</v>
      </c>
      <c r="U15" s="492">
        <f>IF(AND(U9='Diesel engine'!$B$72,U14='Diesel engine'!$G$57),'Diesel engine'!$I$57,IF(AND(U9='Diesel engine'!$B$72,U14='Diesel engine'!$G$58),'Diesel engine'!$I$58,IF(AND(Operation!U9='Diesel engine'!$B$72,Operation!U14='Diesel engine'!$G$59),'Diesel engine'!$I$59,IF(AND(U9='Diesel engine'!$B$72,U14='Diesel engine'!$G$60),'Diesel engine'!$I$60,IF(AND(U9='Diesel engine'!$B$73,U14='Diesel engine'!$G$61),'Diesel engine'!$I$61,IF(AND(U9='Diesel engine'!$B$73,U14='Diesel engine'!$G$62),'Diesel engine'!$I$62,IF(AND(Operation!U9='Diesel engine'!$B$73,Operation!U14='Diesel engine'!$G$63),'Diesel engine'!$I$63,IF(AND(U9='Diesel engine'!$B$73,U14='Diesel engine'!$G$64),'Diesel engine'!$I$64,IF(AND(U9='Diesel engine'!$B$74,U14='Diesel engine'!$G$65),'Diesel engine'!$I$65,IF(AND(U9='Diesel engine'!$B$74,U14='Diesel engine'!$G$66),'Diesel engine'!$I$66,IF(AND(Operation!U9='Diesel engine'!$B$74,Operation!U14='Diesel engine'!$G$67),'Diesel engine'!$I$67,IF(AND(U9='Diesel engine'!$B$74,U14='Diesel engine'!$G$68),'Diesel engine'!$I$68,""))))))))))))</f>
        <v>196</v>
      </c>
      <c r="V15" s="492">
        <f>IF(AND(V9='Diesel engine'!$B$72,V14='Diesel engine'!$G$57),'Diesel engine'!$I$57,IF(AND(V9='Diesel engine'!$B$72,V14='Diesel engine'!$G$58),'Diesel engine'!$I$58,IF(AND(Operation!V9='Diesel engine'!$B$72,Operation!V14='Diesel engine'!$G$59),'Diesel engine'!$I$59,IF(AND(V9='Diesel engine'!$B$72,V14='Diesel engine'!$G$60),'Diesel engine'!$I$60,IF(AND(V9='Diesel engine'!$B$73,V14='Diesel engine'!$G$61),'Diesel engine'!$I$61,IF(AND(V9='Diesel engine'!$B$73,V14='Diesel engine'!$G$62),'Diesel engine'!$I$62,IF(AND(Operation!V9='Diesel engine'!$B$73,Operation!V14='Diesel engine'!$G$63),'Diesel engine'!$I$63,IF(AND(V9='Diesel engine'!$B$73,V14='Diesel engine'!$G$64),'Diesel engine'!$I$64,IF(AND(V9='Diesel engine'!$B$74,V14='Diesel engine'!$G$65),'Diesel engine'!$I$65,IF(AND(V9='Diesel engine'!$B$74,V14='Diesel engine'!$G$66),'Diesel engine'!$I$66,IF(AND(Operation!V9='Diesel engine'!$B$74,Operation!V14='Diesel engine'!$G$67),'Diesel engine'!$I$67,IF(AND(V9='Diesel engine'!$B$74,V14='Diesel engine'!$G$68),'Diesel engine'!$I$68,""))))))))))))</f>
        <v>196</v>
      </c>
      <c r="W15" s="492" t="str">
        <f>IF(AND(W9='Diesel engine'!$B$72,W14='Diesel engine'!$G$57),'Diesel engine'!$I$57,IF(AND(W9='Diesel engine'!$B$72,W14='Diesel engine'!$G$58),'Diesel engine'!$I$58,IF(AND(Operation!W9='Diesel engine'!$B$72,Operation!W14='Diesel engine'!$G$59),'Diesel engine'!$I$59,IF(AND(W9='Diesel engine'!$B$72,W14='Diesel engine'!$G$60),'Diesel engine'!$I$60,IF(AND(W9='Diesel engine'!$B$73,W14='Diesel engine'!$G$61),'Diesel engine'!$I$61,IF(AND(W9='Diesel engine'!$B$73,W14='Diesel engine'!$G$62),'Diesel engine'!$I$62,IF(AND(Operation!W9='Diesel engine'!$B$73,Operation!W14='Diesel engine'!$G$63),'Diesel engine'!$I$63,IF(AND(W9='Diesel engine'!$B$73,W14='Diesel engine'!$G$64),'Diesel engine'!$I$64,IF(AND(W9='Diesel engine'!$B$74,W14='Diesel engine'!$G$65),'Diesel engine'!$I$65,IF(AND(W9='Diesel engine'!$B$74,W14='Diesel engine'!$G$66),'Diesel engine'!$I$66,IF(AND(Operation!W9='Diesel engine'!$B$74,Operation!W14='Diesel engine'!$G$67),'Diesel engine'!$I$67,IF(AND(W9='Diesel engine'!$B$74,W14='Diesel engine'!$G$68),'Diesel engine'!$I$68,""))))))))))))</f>
        <v/>
      </c>
      <c r="X15" s="492" t="str">
        <f>IF(AND(X9='Diesel engine'!$B$72,X14='Diesel engine'!$G$57),'Diesel engine'!$I$57,IF(AND(X9='Diesel engine'!$B$72,X14='Diesel engine'!$G$58),'Diesel engine'!$I$58,IF(AND(Operation!X9='Diesel engine'!$B$72,Operation!X14='Diesel engine'!$G$59),'Diesel engine'!$I$59,IF(AND(X9='Diesel engine'!$B$72,X14='Diesel engine'!$G$60),'Diesel engine'!$I$60,IF(AND(X9='Diesel engine'!$B$73,X14='Diesel engine'!$G$61),'Diesel engine'!$I$61,IF(AND(X9='Diesel engine'!$B$73,X14='Diesel engine'!$G$62),'Diesel engine'!$I$62,IF(AND(Operation!X9='Diesel engine'!$B$73,Operation!X14='Diesel engine'!$G$63),'Diesel engine'!$I$63,IF(AND(X9='Diesel engine'!$B$73,X14='Diesel engine'!$G$64),'Diesel engine'!$I$64,IF(AND(X9='Diesel engine'!$B$74,X14='Diesel engine'!$G$65),'Diesel engine'!$I$65,IF(AND(X9='Diesel engine'!$B$74,X14='Diesel engine'!$G$66),'Diesel engine'!$I$66,IF(AND(Operation!X9='Diesel engine'!$B$74,Operation!X14='Diesel engine'!$G$67),'Diesel engine'!$I$67,IF(AND(X9='Diesel engine'!$B$74,X14='Diesel engine'!$G$68),'Diesel engine'!$I$68,""))))))))))))</f>
        <v/>
      </c>
      <c r="Y15" s="51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19.95" customHeight="1" x14ac:dyDescent="0.3">
      <c r="A16" s="39"/>
      <c r="B16" s="499">
        <v>3</v>
      </c>
      <c r="C16" s="766" t="s">
        <v>185</v>
      </c>
      <c r="D16" s="766"/>
      <c r="E16" s="766"/>
      <c r="F16" s="33"/>
      <c r="G16" s="239" t="s">
        <v>186</v>
      </c>
      <c r="H16" s="492" t="s">
        <v>187</v>
      </c>
      <c r="I16" s="492" t="s">
        <v>187</v>
      </c>
      <c r="J16" s="492"/>
      <c r="K16" s="492"/>
      <c r="L16" s="47"/>
      <c r="M16" s="56"/>
      <c r="N16" s="52"/>
      <c r="O16" s="499"/>
      <c r="P16" s="766"/>
      <c r="Q16" s="766"/>
      <c r="R16" s="766"/>
      <c r="S16" s="34"/>
      <c r="T16" s="253" t="s">
        <v>188</v>
      </c>
      <c r="U16" s="492" t="str">
        <f>IF(AND(U9='Diesel engine'!$B$72,U14='Diesel engine'!$G$57),'Diesel engine'!$J$57,IF(AND(U9='Diesel engine'!$B$72,U14='Diesel engine'!$G$58),'Diesel engine'!$J$58,IF(AND(Operation!U9='Diesel engine'!$B$72,Operation!U14='Diesel engine'!$G$59),'Diesel engine'!$J$59,IF(AND(U9='Diesel engine'!$B$72,U14='Diesel engine'!$G$60),'Diesel engine'!$J$60,IF(AND(U9='Diesel engine'!$B$73,U14='Diesel engine'!$G$61),'Diesel engine'!$J$61,IF(AND(U9='Diesel engine'!$B$73,U14='Diesel engine'!$G$62),'Diesel engine'!$J$62,IF(AND(Operation!U9='Diesel engine'!$B$73,Operation!U14='Diesel engine'!$G$63),'Diesel engine'!$J$63,IF(AND(U9='Diesel engine'!$B$73,U14='Diesel engine'!$G$64),'Diesel engine'!$J$64,IF(AND(U9='Diesel engine'!$B$74,U14='Diesel engine'!$G$65),'Diesel engine'!$J$65,IF(AND(U9='Diesel engine'!$B$74,U14='Diesel engine'!$G$66),'Diesel engine'!$J$66,IF(AND(Operation!U9='Diesel engine'!$B$74,Operation!U14='Diesel engine'!$G$67),'Diesel engine'!$J$67,IF(AND(U9='Diesel engine'!$B$74,U14='Diesel engine'!$G$68),'Diesel engine'!$J$68,""))))))))))))</f>
        <v>-</v>
      </c>
      <c r="V16" s="492" t="str">
        <f>IF(AND(V9='Diesel engine'!$B$72,V14='Diesel engine'!$G$57),'Diesel engine'!$J$57,IF(AND(V9='Diesel engine'!$B$72,V14='Diesel engine'!$G$58),'Diesel engine'!$J$58,IF(AND(Operation!V9='Diesel engine'!$B$72,Operation!V14='Diesel engine'!$G$59),'Diesel engine'!$J$59,IF(AND(V9='Diesel engine'!$B$72,V14='Diesel engine'!$G$60),'Diesel engine'!$J$60,IF(AND(V9='Diesel engine'!$B$73,V14='Diesel engine'!$G$61),'Diesel engine'!$J$61,IF(AND(V9='Diesel engine'!$B$73,V14='Diesel engine'!$G$62),'Diesel engine'!$J$62,IF(AND(Operation!V9='Diesel engine'!$B$73,Operation!V14='Diesel engine'!$G$63),'Diesel engine'!$J$63,IF(AND(V9='Diesel engine'!$B$73,V14='Diesel engine'!$G$64),'Diesel engine'!$J$64,IF(AND(V9='Diesel engine'!$B$74,V14='Diesel engine'!$G$65),'Diesel engine'!$J$65,IF(AND(V9='Diesel engine'!$B$74,V14='Diesel engine'!$G$66),'Diesel engine'!$J$66,IF(AND(Operation!V9='Diesel engine'!$B$74,Operation!V14='Diesel engine'!$G$67),'Diesel engine'!$J$67,IF(AND(V9='Diesel engine'!$B$74,V14='Diesel engine'!$G$68),'Diesel engine'!$J$68,""))))))))))))</f>
        <v>-</v>
      </c>
      <c r="W16" s="492" t="str">
        <f>IF(AND(W9='Diesel engine'!$B$72,W14='Diesel engine'!$G$57),'Diesel engine'!$J$57,IF(AND(W9='Diesel engine'!$B$72,W14='Diesel engine'!$G$58),'Diesel engine'!$J$58,IF(AND(Operation!W9='Diesel engine'!$B$72,Operation!W14='Diesel engine'!$G$59),'Diesel engine'!$J$59,IF(AND(W9='Diesel engine'!$B$72,W14='Diesel engine'!$G$60),'Diesel engine'!$J$60,IF(AND(W9='Diesel engine'!$B$73,W14='Diesel engine'!$G$61),'Diesel engine'!$J$61,IF(AND(W9='Diesel engine'!$B$73,W14='Diesel engine'!$G$62),'Diesel engine'!$J$62,IF(AND(Operation!W9='Diesel engine'!$B$73,Operation!W14='Diesel engine'!$G$63),'Diesel engine'!$J$63,IF(AND(W9='Diesel engine'!$B$73,W14='Diesel engine'!$G$64),'Diesel engine'!$J$64,IF(AND(W9='Diesel engine'!$B$74,W14='Diesel engine'!$G$65),'Diesel engine'!$J$65,IF(AND(W9='Diesel engine'!$B$74,W14='Diesel engine'!$G$66),'Diesel engine'!$J$66,IF(AND(Operation!W9='Diesel engine'!$B$74,Operation!W14='Diesel engine'!$G$67),'Diesel engine'!$J$67,IF(AND(W9='Diesel engine'!$B$74,W14='Diesel engine'!$G$68),'Diesel engine'!$J$68,""))))))))))))</f>
        <v/>
      </c>
      <c r="X16" s="492" t="str">
        <f>IF(AND(X9='Diesel engine'!$B$72,X14='Diesel engine'!$G$57),'Diesel engine'!$J$57,IF(AND(X9='Diesel engine'!$B$72,X14='Diesel engine'!$G$58),'Diesel engine'!$J$58,IF(AND(Operation!X9='Diesel engine'!$B$72,Operation!X14='Diesel engine'!$G$59),'Diesel engine'!$J$59,IF(AND(X9='Diesel engine'!$B$72,X14='Diesel engine'!$G$60),'Diesel engine'!$J$60,IF(AND(X9='Diesel engine'!$B$73,X14='Diesel engine'!$G$61),'Diesel engine'!$J$61,IF(AND(X9='Diesel engine'!$B$73,X14='Diesel engine'!$G$62),'Diesel engine'!$J$62,IF(AND(Operation!X9='Diesel engine'!$B$73,Operation!X14='Diesel engine'!$G$63),'Diesel engine'!$J$63,IF(AND(X9='Diesel engine'!$B$73,X14='Diesel engine'!$G$64),'Diesel engine'!$J$64,IF(AND(X9='Diesel engine'!$B$74,X14='Diesel engine'!$G$65),'Diesel engine'!$J$65,IF(AND(X9='Diesel engine'!$B$74,X14='Diesel engine'!$G$66),'Diesel engine'!$J$66,IF(AND(Operation!X9='Diesel engine'!$B$74,Operation!X14='Diesel engine'!$G$67),'Diesel engine'!$J$67,IF(AND(X9='Diesel engine'!$B$74,X14='Diesel engine'!$G$68),'Diesel engine'!$J$68,""))))))))))))</f>
        <v/>
      </c>
      <c r="Y16" s="51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19.95" customHeight="1" x14ac:dyDescent="0.3">
      <c r="A17" s="39"/>
      <c r="B17" s="499"/>
      <c r="C17" s="765"/>
      <c r="D17" s="765"/>
      <c r="E17" s="765"/>
      <c r="F17" s="33"/>
      <c r="G17" s="239" t="s">
        <v>189</v>
      </c>
      <c r="H17" s="492">
        <f>IFERROR(VLOOKUP(H16,Calculations!$B$130:$E$153,4,FALSE),"")</f>
        <v>1.7000000000000001E-2</v>
      </c>
      <c r="I17" s="492">
        <f>IFERROR(VLOOKUP(I16,Calculations!$B$130:$E$153,4,FALSE),"")</f>
        <v>1.7000000000000001E-2</v>
      </c>
      <c r="J17" s="492" t="str">
        <f>IFERROR(VLOOKUP(J16,Calculations!$B$130:$E$153,4,FALSE),"")</f>
        <v/>
      </c>
      <c r="K17" s="492" t="str">
        <f>IFERROR(VLOOKUP(K16,Calculations!$B$130:$E$153,4,FALSE),"")</f>
        <v/>
      </c>
      <c r="L17" s="47"/>
      <c r="M17" s="56"/>
      <c r="N17" s="52"/>
      <c r="O17" s="499"/>
      <c r="P17" s="766"/>
      <c r="Q17" s="766"/>
      <c r="R17" s="766"/>
      <c r="S17" s="34"/>
      <c r="T17" s="253" t="s">
        <v>114</v>
      </c>
      <c r="U17" s="492" t="str">
        <f>IFERROR(VLOOKUP(U8,'Diesel engine'!$B$57:$M$68,10,FALSE),"")</f>
        <v>Diesel</v>
      </c>
      <c r="V17" s="492" t="str">
        <f>IFERROR(VLOOKUP(V8,'Diesel engine'!$B$57:$M$68,10,FALSE),"")</f>
        <v>Diesel</v>
      </c>
      <c r="W17" s="492" t="str">
        <f>IFERROR(VLOOKUP(W8,'Diesel engine'!$B$57:$M$68,10,FALSE),"")</f>
        <v/>
      </c>
      <c r="X17" s="492" t="str">
        <f>IFERROR(VLOOKUP(X8,'Diesel engine'!$B$57:$M$68,10,FALSE),"")</f>
        <v/>
      </c>
      <c r="Y17" s="51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19.95" customHeight="1" x14ac:dyDescent="0.3">
      <c r="A18" s="39"/>
      <c r="B18" s="499"/>
      <c r="C18" s="765"/>
      <c r="D18" s="765"/>
      <c r="E18" s="765"/>
      <c r="F18" s="33"/>
      <c r="G18" s="239" t="s">
        <v>190</v>
      </c>
      <c r="H18" s="496">
        <f>IFERROR(H17*H14,"")</f>
        <v>18886.447500000002</v>
      </c>
      <c r="I18" s="496">
        <f t="shared" ref="I18:K18" si="2">IFERROR(I17*I14,"")</f>
        <v>18886.447500000002</v>
      </c>
      <c r="J18" s="496" t="str">
        <f t="shared" si="2"/>
        <v/>
      </c>
      <c r="K18" s="496" t="str">
        <f t="shared" si="2"/>
        <v/>
      </c>
      <c r="L18" s="47"/>
      <c r="M18" s="56"/>
      <c r="N18" s="52"/>
      <c r="O18" s="499"/>
      <c r="P18" s="766"/>
      <c r="Q18" s="766"/>
      <c r="R18" s="766"/>
      <c r="S18" s="34"/>
      <c r="T18" s="253" t="s">
        <v>191</v>
      </c>
      <c r="U18" s="492">
        <f>IFERROR(VLOOKUP(U17,'Diesel engine'!$K$57:$M$68,2,FALSE),"")</f>
        <v>0.84</v>
      </c>
      <c r="V18" s="492">
        <f>IFERROR(VLOOKUP(V17,'Diesel engine'!$K$57:$M$68,2,FALSE),"")</f>
        <v>0.84</v>
      </c>
      <c r="W18" s="492" t="str">
        <f>IFERROR(VLOOKUP(W17,'Diesel engine'!$K$57:$M$68,2,FALSE),"")</f>
        <v/>
      </c>
      <c r="X18" s="492" t="str">
        <f>IFERROR(VLOOKUP(X17,'Diesel engine'!$K$57:$M$68,2,FALSE),"")</f>
        <v/>
      </c>
      <c r="Y18" s="51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9.95" customHeight="1" x14ac:dyDescent="0.3">
      <c r="A19" s="39"/>
      <c r="B19" s="499"/>
      <c r="C19" s="765"/>
      <c r="D19" s="765"/>
      <c r="E19" s="765"/>
      <c r="F19" s="33"/>
      <c r="G19" s="239" t="s">
        <v>192</v>
      </c>
      <c r="H19" s="240">
        <f>IFERROR(H18/H15,"")</f>
        <v>0.25181930000000002</v>
      </c>
      <c r="I19" s="240">
        <f t="shared" ref="I19:K19" si="3">IFERROR(I18/I15,"")</f>
        <v>0.25181930000000002</v>
      </c>
      <c r="J19" s="240" t="str">
        <f t="shared" si="3"/>
        <v/>
      </c>
      <c r="K19" s="240" t="str">
        <f t="shared" si="3"/>
        <v/>
      </c>
      <c r="L19" s="47"/>
      <c r="M19" s="56"/>
      <c r="N19" s="52"/>
      <c r="O19" s="499"/>
      <c r="P19" s="766"/>
      <c r="Q19" s="766"/>
      <c r="R19" s="766"/>
      <c r="S19" s="34"/>
      <c r="T19" s="253" t="s">
        <v>115</v>
      </c>
      <c r="U19" s="492">
        <f>IFERROR(VLOOKUP(U17,'Diesel engine'!$K$57:$M$68,3,FALSE),"")</f>
        <v>2.6</v>
      </c>
      <c r="V19" s="492">
        <f>IFERROR(VLOOKUP(V17,'Diesel engine'!$K$57:$M$68,3,FALSE),"")</f>
        <v>2.6</v>
      </c>
      <c r="W19" s="492" t="str">
        <f>IFERROR(VLOOKUP(W17,'Diesel engine'!$K$57:$M$68,3,FALSE),"")</f>
        <v/>
      </c>
      <c r="X19" s="492" t="str">
        <f>IFERROR(VLOOKUP(X17,'Diesel engine'!$K$57:$M$68,3,FALSE),"")</f>
        <v/>
      </c>
      <c r="Y19" s="51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40.200000000000003" customHeight="1" x14ac:dyDescent="0.3">
      <c r="A20" s="39"/>
      <c r="B20" s="499">
        <v>4</v>
      </c>
      <c r="C20" s="766" t="s">
        <v>193</v>
      </c>
      <c r="D20" s="766"/>
      <c r="E20" s="766"/>
      <c r="F20" s="33"/>
      <c r="G20" s="239" t="s">
        <v>194</v>
      </c>
      <c r="H20" s="493" t="s">
        <v>195</v>
      </c>
      <c r="I20" s="493" t="s">
        <v>195</v>
      </c>
      <c r="J20" s="493"/>
      <c r="K20" s="493"/>
      <c r="L20" s="47"/>
      <c r="M20" s="56"/>
      <c r="N20" s="52"/>
      <c r="O20" s="499">
        <v>5</v>
      </c>
      <c r="P20" s="766" t="s">
        <v>193</v>
      </c>
      <c r="Q20" s="766"/>
      <c r="R20" s="766"/>
      <c r="S20" s="34"/>
      <c r="T20" s="251" t="s">
        <v>194</v>
      </c>
      <c r="U20" s="493" t="s">
        <v>195</v>
      </c>
      <c r="V20" s="493" t="s">
        <v>195</v>
      </c>
      <c r="W20" s="493"/>
      <c r="X20" s="493"/>
      <c r="Y20" s="51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9.95" customHeight="1" x14ac:dyDescent="0.3">
      <c r="A21" s="39"/>
      <c r="B21" s="499"/>
      <c r="C21" s="765"/>
      <c r="D21" s="765"/>
      <c r="E21" s="765"/>
      <c r="F21" s="33"/>
      <c r="G21" s="239" t="s">
        <v>104</v>
      </c>
      <c r="H21" s="492">
        <f>IFERROR(VLOOKUP(H20,Calculations!$B$114:$C$118,2,FALSE),"")</f>
        <v>11.840000000000002</v>
      </c>
      <c r="I21" s="492">
        <f>IFERROR(VLOOKUP(I20,Calculations!$B$114:$C$118,2,FALSE),"")</f>
        <v>11.840000000000002</v>
      </c>
      <c r="J21" s="492" t="str">
        <f>IFERROR(VLOOKUP(J20,Calculations!$B$114:$C$118,2,FALSE),"")</f>
        <v/>
      </c>
      <c r="K21" s="492" t="str">
        <f>IFERROR(VLOOKUP(K20,Calculations!$B$114:$C$118,2,FALSE),"")</f>
        <v/>
      </c>
      <c r="L21" s="47"/>
      <c r="M21" s="56"/>
      <c r="N21" s="52"/>
      <c r="O21" s="499"/>
      <c r="P21" s="766"/>
      <c r="Q21" s="766"/>
      <c r="R21" s="766"/>
      <c r="S21" s="34"/>
      <c r="T21" s="251" t="s">
        <v>104</v>
      </c>
      <c r="U21" s="492">
        <f>IFERROR(VLOOKUP(U20,Calculations!$B$114:$C$118,2,FALSE),"")</f>
        <v>11.840000000000002</v>
      </c>
      <c r="V21" s="492">
        <f>IFERROR(VLOOKUP(V20,Calculations!$B$114:$C$118,2,FALSE),"")</f>
        <v>11.840000000000002</v>
      </c>
      <c r="W21" s="492" t="str">
        <f>IFERROR(VLOOKUP(W20,Calculations!$B$114:$C$118,2,FALSE),"")</f>
        <v/>
      </c>
      <c r="X21" s="492" t="str">
        <f>IFERROR(VLOOKUP(X20,Calculations!$B$114:$C$118,2,FALSE),"")</f>
        <v/>
      </c>
      <c r="Y21" s="51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9.95" customHeight="1" x14ac:dyDescent="0.3">
      <c r="A22" s="39"/>
      <c r="B22" s="499"/>
      <c r="C22" s="765"/>
      <c r="D22" s="765"/>
      <c r="E22" s="765"/>
      <c r="F22" s="33"/>
      <c r="G22" s="239" t="s">
        <v>492</v>
      </c>
      <c r="H22" s="240">
        <f>IFERROR(H21/(H13*1.85),"")</f>
        <v>0.35555555555555557</v>
      </c>
      <c r="I22" s="240">
        <f>IFERROR(I21/(I13*1.85),"")</f>
        <v>0.35555555555555557</v>
      </c>
      <c r="J22" s="240" t="str">
        <f>IFERROR(J21/(J13*1.85),"")</f>
        <v/>
      </c>
      <c r="K22" s="240" t="str">
        <f>IFERROR(K21/(K13*1.85),"")</f>
        <v/>
      </c>
      <c r="L22" s="47"/>
      <c r="M22" s="56"/>
      <c r="N22" s="52"/>
      <c r="O22" s="499"/>
      <c r="P22" s="766"/>
      <c r="Q22" s="766"/>
      <c r="R22" s="766"/>
      <c r="S22" s="34"/>
      <c r="T22" s="251" t="s">
        <v>492</v>
      </c>
      <c r="U22" s="240">
        <f>IFERROR(U21/(U13*1.85),"")</f>
        <v>0.35555555555555557</v>
      </c>
      <c r="V22" s="240">
        <f>IFERROR(V21/(V13*1.85),"")</f>
        <v>0.35555555555555557</v>
      </c>
      <c r="W22" s="240" t="str">
        <f>IFERROR(W21/(W13*1.85),"")</f>
        <v/>
      </c>
      <c r="X22" s="240" t="str">
        <f>IFERROR(X21/(X13*1.85),"")</f>
        <v/>
      </c>
      <c r="Y22" s="51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9.95" customHeight="1" x14ac:dyDescent="0.3">
      <c r="A23" s="39"/>
      <c r="B23" s="499"/>
      <c r="C23" s="765"/>
      <c r="D23" s="765"/>
      <c r="E23" s="765"/>
      <c r="F23" s="33"/>
      <c r="G23" s="239" t="s">
        <v>196</v>
      </c>
      <c r="H23" s="240">
        <f>IFERROR(H22*H19,"")</f>
        <v>8.9535751111111117E-2</v>
      </c>
      <c r="I23" s="240">
        <f>IFERROR(I22*I19,"")</f>
        <v>8.9535751111111117E-2</v>
      </c>
      <c r="J23" s="240" t="str">
        <f>IFERROR(J22*J19,"")</f>
        <v/>
      </c>
      <c r="K23" s="240" t="str">
        <f>IFERROR(K22*K19,"")</f>
        <v/>
      </c>
      <c r="L23" s="47"/>
      <c r="M23" s="56"/>
      <c r="N23" s="52"/>
      <c r="O23" s="499"/>
      <c r="P23" s="766"/>
      <c r="Q23" s="766"/>
      <c r="R23" s="766"/>
      <c r="S23" s="34"/>
      <c r="T23" s="251" t="s">
        <v>196</v>
      </c>
      <c r="U23" s="240">
        <f>IFERROR(IF(OR(U16='Diesel engine'!$J$60,Operation!U16='Diesel engine'!$J$64,Operation!U16='Diesel engine'!$J$68),Operation!U16*U11*U22*U19,((((U15*U12*U22)/1000)/U18)*U19)),"")</f>
        <v>150.99259259259262</v>
      </c>
      <c r="V23" s="240">
        <f>IFERROR(IF(OR(V16='Diesel engine'!$J$60,Operation!V16='Diesel engine'!$J$64,Operation!V16='Diesel engine'!$J$68),Operation!V16*V22*V19,((((V15*V10*V22)/1000)/V18)*V19)),"")</f>
        <v>75.496296296296308</v>
      </c>
      <c r="W23" s="240" t="str">
        <f>IFERROR(IF(OR(W16='Diesel engine'!$J$60,Operation!W16='Diesel engine'!$J$64,Operation!W16='Diesel engine'!$J$68),Operation!W16*W22*W19,((((W15*W10*W22)/1000)/W18)*W19)),"")</f>
        <v/>
      </c>
      <c r="X23" s="240" t="str">
        <f>IFERROR(IF(OR(X16='Diesel engine'!$J$60,Operation!X16='Diesel engine'!$J$64,Operation!X16='Diesel engine'!$J$68),Operation!X16*X22*X19,((((X15*X10*X22)/1000)/X18)*X19)),"")</f>
        <v/>
      </c>
      <c r="Y23" s="51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ht="19.95" customHeight="1" x14ac:dyDescent="0.3">
      <c r="A24" s="39"/>
      <c r="B24" s="499">
        <v>5</v>
      </c>
      <c r="C24" s="766" t="s">
        <v>197</v>
      </c>
      <c r="D24" s="766"/>
      <c r="E24" s="766"/>
      <c r="F24" s="33"/>
      <c r="G24" s="239" t="s">
        <v>198</v>
      </c>
      <c r="H24" s="241" t="s">
        <v>199</v>
      </c>
      <c r="I24" s="241" t="s">
        <v>200</v>
      </c>
      <c r="J24" s="241"/>
      <c r="K24" s="241"/>
      <c r="L24" s="47"/>
      <c r="M24" s="56"/>
      <c r="N24" s="52"/>
      <c r="O24" s="499">
        <v>6</v>
      </c>
      <c r="P24" s="766" t="s">
        <v>197</v>
      </c>
      <c r="Q24" s="766"/>
      <c r="R24" s="766"/>
      <c r="S24" s="34"/>
      <c r="T24" s="251" t="s">
        <v>198</v>
      </c>
      <c r="U24" s="241" t="s">
        <v>199</v>
      </c>
      <c r="V24" s="241" t="s">
        <v>200</v>
      </c>
      <c r="W24" s="241"/>
      <c r="X24" s="241"/>
      <c r="Y24" s="51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19.95" customHeight="1" x14ac:dyDescent="0.3">
      <c r="A25" s="39"/>
      <c r="B25" s="499"/>
      <c r="C25" s="765"/>
      <c r="D25" s="765"/>
      <c r="E25" s="765"/>
      <c r="F25" s="33"/>
      <c r="G25" s="239" t="s">
        <v>201</v>
      </c>
      <c r="H25" s="492">
        <f>IFERROR(VLOOKUP(H24,Calculations!$B$124:$G$125,2,FALSE),"")</f>
        <v>3</v>
      </c>
      <c r="I25" s="492">
        <f>IFERROR(VLOOKUP(I24,Calculations!$B$124:$G$125,2,FALSE),"")</f>
        <v>0</v>
      </c>
      <c r="J25" s="492" t="str">
        <f>IFERROR(VLOOKUP(J24,Calculations!$B$124:$G$125,2,FALSE),"")</f>
        <v/>
      </c>
      <c r="K25" s="492" t="str">
        <f>IFERROR(VLOOKUP(K24,Calculations!$B$124:$G$125,2,FALSE),"")</f>
        <v/>
      </c>
      <c r="L25" s="47"/>
      <c r="M25" s="56"/>
      <c r="N25" s="52"/>
      <c r="O25" s="499"/>
      <c r="P25" s="766"/>
      <c r="Q25" s="766"/>
      <c r="R25" s="766"/>
      <c r="S25" s="34"/>
      <c r="T25" s="251" t="s">
        <v>201</v>
      </c>
      <c r="U25" s="492">
        <f>IFERROR(VLOOKUP(U24,Calculations!$B$124:$G$125,2,FALSE),"")</f>
        <v>3</v>
      </c>
      <c r="V25" s="492">
        <f>IFERROR(VLOOKUP(V24,Calculations!$B$124:$G$125,2,FALSE),"")</f>
        <v>0</v>
      </c>
      <c r="W25" s="492" t="str">
        <f>IFERROR(VLOOKUP(W24,Calculations!$B$124:$G$125,2,FALSE),"")</f>
        <v/>
      </c>
      <c r="X25" s="492" t="str">
        <f>IFERROR(VLOOKUP(X24,Calculations!$B$124:$G$125,2,FALSE),"")</f>
        <v/>
      </c>
      <c r="Y25" s="51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9.95" customHeight="1" x14ac:dyDescent="0.3">
      <c r="A26" s="39"/>
      <c r="B26" s="499"/>
      <c r="C26" s="765"/>
      <c r="D26" s="765"/>
      <c r="E26" s="765"/>
      <c r="F26" s="33"/>
      <c r="G26" s="239" t="s">
        <v>202</v>
      </c>
      <c r="H26" s="492">
        <f>IFERROR(VLOOKUP(H24,Calculations!$B$124:$G$125,3,FALSE),"")</f>
        <v>5</v>
      </c>
      <c r="I26" s="492">
        <f>IFERROR(VLOOKUP(I24,Calculations!$B$124:$G$125,3,FALSE),"")</f>
        <v>5</v>
      </c>
      <c r="J26" s="492" t="str">
        <f>IFERROR(VLOOKUP(J24,Calculations!$B$124:$G$125,3,FALSE),"")</f>
        <v/>
      </c>
      <c r="K26" s="492" t="str">
        <f>IFERROR(VLOOKUP(K24,Calculations!$B$124:$G$125,3,FALSE),"")</f>
        <v/>
      </c>
      <c r="L26" s="47"/>
      <c r="M26" s="56"/>
      <c r="N26" s="52"/>
      <c r="O26" s="499"/>
      <c r="P26" s="766"/>
      <c r="Q26" s="766"/>
      <c r="R26" s="766"/>
      <c r="S26" s="34"/>
      <c r="T26" s="251" t="s">
        <v>202</v>
      </c>
      <c r="U26" s="492">
        <f>IFERROR(VLOOKUP(U24,Calculations!$B$124:$G$125,3,FALSE),"")</f>
        <v>5</v>
      </c>
      <c r="V26" s="492">
        <f>IFERROR(VLOOKUP(V24,Calculations!$B$124:$G$125,3,FALSE),"")</f>
        <v>5</v>
      </c>
      <c r="W26" s="492" t="str">
        <f>IFERROR(VLOOKUP(W24,Calculations!$B$124:$G$125,3,FALSE),"")</f>
        <v/>
      </c>
      <c r="X26" s="492" t="str">
        <f>IFERROR(VLOOKUP(X24,Calculations!$B$124:$G$125,3,FALSE),"")</f>
        <v/>
      </c>
      <c r="Y26" s="51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4.950000000000003" customHeight="1" x14ac:dyDescent="0.3">
      <c r="A27" s="39"/>
      <c r="B27" s="499">
        <v>6</v>
      </c>
      <c r="C27" s="767" t="s">
        <v>203</v>
      </c>
      <c r="D27" s="767"/>
      <c r="E27" s="766"/>
      <c r="F27" s="246">
        <f>SUM(H27:K27)</f>
        <v>52</v>
      </c>
      <c r="G27" s="239" t="s">
        <v>204</v>
      </c>
      <c r="H27" s="492">
        <v>26</v>
      </c>
      <c r="I27" s="492">
        <v>26</v>
      </c>
      <c r="J27" s="492"/>
      <c r="K27" s="492"/>
      <c r="L27" s="47"/>
      <c r="M27" s="56"/>
      <c r="N27" s="52"/>
      <c r="O27" s="499">
        <v>7</v>
      </c>
      <c r="P27" s="767" t="s">
        <v>203</v>
      </c>
      <c r="Q27" s="767"/>
      <c r="R27" s="766"/>
      <c r="S27" s="260">
        <f>SUM(U27:X27)</f>
        <v>52</v>
      </c>
      <c r="T27" s="251" t="s">
        <v>204</v>
      </c>
      <c r="U27" s="492">
        <v>26</v>
      </c>
      <c r="V27" s="492">
        <v>26</v>
      </c>
      <c r="W27" s="492"/>
      <c r="X27" s="492"/>
      <c r="Y27" s="51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9.95" customHeight="1" x14ac:dyDescent="0.3">
      <c r="A28" s="39"/>
      <c r="B28" s="499">
        <v>7</v>
      </c>
      <c r="C28" s="767" t="s">
        <v>205</v>
      </c>
      <c r="D28" s="767"/>
      <c r="E28" s="767"/>
      <c r="F28" s="33"/>
      <c r="G28" s="239" t="s">
        <v>206</v>
      </c>
      <c r="H28" s="492"/>
      <c r="I28" s="492"/>
      <c r="J28" s="492"/>
      <c r="K28" s="492"/>
      <c r="L28" s="47"/>
      <c r="M28" s="56"/>
      <c r="N28" s="52"/>
      <c r="O28" s="499">
        <v>8</v>
      </c>
      <c r="P28" s="766" t="s">
        <v>205</v>
      </c>
      <c r="Q28" s="766"/>
      <c r="R28" s="766"/>
      <c r="S28" s="34"/>
      <c r="T28" s="251" t="s">
        <v>206</v>
      </c>
      <c r="U28" s="492"/>
      <c r="V28" s="492"/>
      <c r="W28" s="492"/>
      <c r="X28" s="492"/>
      <c r="Y28" s="51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ht="19.95" customHeight="1" x14ac:dyDescent="0.3">
      <c r="A29" s="39"/>
      <c r="B29" s="290"/>
      <c r="C29" s="768"/>
      <c r="D29" s="768"/>
      <c r="E29" s="768"/>
      <c r="F29" s="33"/>
      <c r="G29" s="239" t="s">
        <v>207</v>
      </c>
      <c r="H29" s="492">
        <f>IFERROR((H25*H26*H27)+H28,"")</f>
        <v>390</v>
      </c>
      <c r="I29" s="492">
        <f>IFERROR((I25*I26*I27)+I28,"")</f>
        <v>0</v>
      </c>
      <c r="J29" s="492" t="str">
        <f>IFERROR((J25*J26*J27)+J28,"")</f>
        <v/>
      </c>
      <c r="K29" s="492" t="str">
        <f>IFERROR((K25*K26*K27)+K28,"")</f>
        <v/>
      </c>
      <c r="L29" s="47"/>
      <c r="M29" s="56"/>
      <c r="N29" s="52"/>
      <c r="O29" s="290"/>
      <c r="P29" s="766"/>
      <c r="Q29" s="766"/>
      <c r="R29" s="766"/>
      <c r="S29" s="34"/>
      <c r="T29" s="251" t="s">
        <v>207</v>
      </c>
      <c r="U29" s="492">
        <f>IFERROR((U25*U26*U27)+U28,"")</f>
        <v>390</v>
      </c>
      <c r="V29" s="492">
        <f>IFERROR((V25*V26*V27)+V28,"")</f>
        <v>0</v>
      </c>
      <c r="W29" s="492" t="str">
        <f>IFERROR((W25*W26*W27)+W28,"")</f>
        <v/>
      </c>
      <c r="X29" s="492" t="str">
        <f>IFERROR((X25*X26*X27)+X28,"")</f>
        <v/>
      </c>
      <c r="Y29" s="51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ht="19.95" customHeight="1" x14ac:dyDescent="0.3">
      <c r="A30" s="39"/>
      <c r="B30" s="290"/>
      <c r="C30" s="768"/>
      <c r="D30" s="768"/>
      <c r="E30" s="768"/>
      <c r="F30" s="33"/>
      <c r="G30" s="239" t="s">
        <v>208</v>
      </c>
      <c r="H30" s="240">
        <f>IFERROR(H23*H29,"")</f>
        <v>34.918942933333334</v>
      </c>
      <c r="I30" s="240">
        <f>IFERROR(I23*I29,"")</f>
        <v>0</v>
      </c>
      <c r="J30" s="240" t="str">
        <f>IFERROR(J23*J29,"")</f>
        <v/>
      </c>
      <c r="K30" s="240" t="str">
        <f>IFERROR(K23*K29,"")</f>
        <v/>
      </c>
      <c r="L30" s="47"/>
      <c r="M30" s="56"/>
      <c r="N30" s="52"/>
      <c r="O30" s="290"/>
      <c r="P30" s="766"/>
      <c r="Q30" s="766"/>
      <c r="R30" s="766"/>
      <c r="S30" s="34"/>
      <c r="T30" s="251" t="s">
        <v>208</v>
      </c>
      <c r="U30" s="235">
        <f>IFERROR(U23*U29,"")</f>
        <v>58887.111111111117</v>
      </c>
      <c r="V30" s="235">
        <f>IFERROR(V23*V29,"")</f>
        <v>0</v>
      </c>
      <c r="W30" s="235" t="str">
        <f>IFERROR(W23*W29,"")</f>
        <v/>
      </c>
      <c r="X30" s="235" t="str">
        <f>IFERROR(X23*X29,"")</f>
        <v/>
      </c>
      <c r="Y30" s="51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9.95" customHeight="1" x14ac:dyDescent="0.3">
      <c r="A31" s="39"/>
      <c r="B31" s="33"/>
      <c r="C31" s="33"/>
      <c r="D31" s="33"/>
      <c r="E31" s="33"/>
      <c r="F31" s="33"/>
      <c r="G31" s="242"/>
      <c r="H31" s="238"/>
      <c r="I31" s="238"/>
      <c r="J31" s="238"/>
      <c r="K31" s="238"/>
      <c r="L31" s="47"/>
      <c r="M31" s="56"/>
      <c r="N31" s="52"/>
      <c r="O31" s="34"/>
      <c r="P31" s="34"/>
      <c r="Q31" s="34"/>
      <c r="R31" s="34"/>
      <c r="S31" s="34"/>
      <c r="T31" s="257"/>
      <c r="U31" s="34"/>
      <c r="V31" s="34"/>
      <c r="W31" s="34"/>
      <c r="X31" s="34"/>
      <c r="Y31" s="51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ht="19.95" customHeight="1" x14ac:dyDescent="0.3">
      <c r="A32" s="39"/>
      <c r="B32" s="33"/>
      <c r="C32" s="33"/>
      <c r="D32" s="33"/>
      <c r="E32" s="33"/>
      <c r="F32" s="33"/>
      <c r="G32" s="750" t="s">
        <v>209</v>
      </c>
      <c r="H32" s="751"/>
      <c r="I32" s="238"/>
      <c r="J32" s="238"/>
      <c r="K32" s="238"/>
      <c r="L32" s="47"/>
      <c r="M32" s="56"/>
      <c r="N32" s="52"/>
      <c r="O32" s="34"/>
      <c r="P32" s="34"/>
      <c r="Q32" s="34"/>
      <c r="R32" s="34"/>
      <c r="S32" s="34"/>
      <c r="T32" s="756" t="s">
        <v>209</v>
      </c>
      <c r="U32" s="757"/>
      <c r="V32" s="34"/>
      <c r="W32" s="34"/>
      <c r="X32" s="34"/>
      <c r="Y32" s="51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19.95" customHeight="1" x14ac:dyDescent="0.3">
      <c r="A33" s="39"/>
      <c r="B33" s="33"/>
      <c r="C33" s="33"/>
      <c r="D33" s="33"/>
      <c r="E33" s="33"/>
      <c r="F33" s="33"/>
      <c r="G33" s="752"/>
      <c r="H33" s="753"/>
      <c r="I33" s="238"/>
      <c r="J33" s="238"/>
      <c r="K33" s="238"/>
      <c r="L33" s="47"/>
      <c r="M33" s="56"/>
      <c r="N33" s="52"/>
      <c r="O33" s="34"/>
      <c r="P33" s="34"/>
      <c r="Q33" s="34"/>
      <c r="R33" s="34"/>
      <c r="S33" s="34"/>
      <c r="T33" s="758"/>
      <c r="U33" s="759"/>
      <c r="V33" s="34"/>
      <c r="W33" s="34"/>
      <c r="X33" s="34"/>
      <c r="Y33" s="51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19.95" customHeight="1" x14ac:dyDescent="0.3">
      <c r="A34" s="39"/>
      <c r="B34" s="33"/>
      <c r="C34" s="33"/>
      <c r="D34" s="33"/>
      <c r="E34" s="33"/>
      <c r="F34" s="33"/>
      <c r="G34" s="239" t="s">
        <v>210</v>
      </c>
      <c r="H34" s="240">
        <f>IFERROR(SUM(H30:K30),"")</f>
        <v>34.918942933333334</v>
      </c>
      <c r="I34" s="238"/>
      <c r="J34" s="238"/>
      <c r="K34" s="238"/>
      <c r="L34" s="47"/>
      <c r="M34" s="56"/>
      <c r="N34" s="52"/>
      <c r="O34" s="34"/>
      <c r="P34" s="34"/>
      <c r="Q34" s="34"/>
      <c r="R34" s="34"/>
      <c r="S34" s="34"/>
      <c r="T34" s="251" t="s">
        <v>210</v>
      </c>
      <c r="U34" s="261">
        <f>IFERROR(SUM(U30:X30),"")</f>
        <v>58887.111111111117</v>
      </c>
      <c r="V34" s="34"/>
      <c r="W34" s="34"/>
      <c r="X34" s="34"/>
      <c r="Y34" s="51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9.95" customHeight="1" x14ac:dyDescent="0.3">
      <c r="A35" s="39"/>
      <c r="B35" s="33"/>
      <c r="C35" s="33"/>
      <c r="D35" s="33"/>
      <c r="E35" s="33"/>
      <c r="F35" s="33"/>
      <c r="G35" s="239" t="s">
        <v>211</v>
      </c>
      <c r="H35" s="240">
        <f>IFERROR(H34*5,"")</f>
        <v>174.59471466666668</v>
      </c>
      <c r="I35" s="238"/>
      <c r="J35" s="238"/>
      <c r="K35" s="238"/>
      <c r="L35" s="47"/>
      <c r="M35" s="56"/>
      <c r="N35" s="52"/>
      <c r="O35" s="34"/>
      <c r="P35" s="34"/>
      <c r="Q35" s="34"/>
      <c r="R35" s="34"/>
      <c r="S35" s="34"/>
      <c r="T35" s="251" t="s">
        <v>211</v>
      </c>
      <c r="U35" s="261">
        <f>IFERROR(U34*5,"")</f>
        <v>294435.55555555556</v>
      </c>
      <c r="V35" s="34"/>
      <c r="W35" s="34"/>
      <c r="X35" s="34"/>
      <c r="Y35" s="51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9.95" customHeight="1" x14ac:dyDescent="0.3">
      <c r="A36" s="39"/>
      <c r="B36" s="33"/>
      <c r="C36" s="33"/>
      <c r="D36" s="33"/>
      <c r="E36" s="33"/>
      <c r="F36" s="33"/>
      <c r="G36" s="239" t="s">
        <v>212</v>
      </c>
      <c r="H36" s="240">
        <f>IFERROR(H34*10,"")</f>
        <v>349.18942933333335</v>
      </c>
      <c r="I36" s="238"/>
      <c r="J36" s="238"/>
      <c r="K36" s="238"/>
      <c r="L36" s="47"/>
      <c r="M36" s="56"/>
      <c r="N36" s="52"/>
      <c r="O36" s="34"/>
      <c r="P36" s="34"/>
      <c r="Q36" s="34"/>
      <c r="R36" s="34"/>
      <c r="S36" s="34"/>
      <c r="T36" s="251" t="s">
        <v>212</v>
      </c>
      <c r="U36" s="261">
        <f>IFERROR(U34*10,"")</f>
        <v>588871.11111111112</v>
      </c>
      <c r="V36" s="34"/>
      <c r="W36" s="34"/>
      <c r="X36" s="34"/>
      <c r="Y36" s="51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9.95" customHeight="1" x14ac:dyDescent="0.3">
      <c r="A37" s="39"/>
      <c r="B37" s="33"/>
      <c r="C37" s="33"/>
      <c r="D37" s="33"/>
      <c r="E37" s="33"/>
      <c r="F37" s="33"/>
      <c r="G37" s="239" t="s">
        <v>213</v>
      </c>
      <c r="H37" s="240">
        <f>IFERROR(H34*15,"")</f>
        <v>523.78414399999997</v>
      </c>
      <c r="I37" s="238"/>
      <c r="J37" s="238"/>
      <c r="K37" s="238"/>
      <c r="L37" s="47"/>
      <c r="M37" s="56"/>
      <c r="N37" s="52"/>
      <c r="O37" s="34"/>
      <c r="P37" s="34"/>
      <c r="Q37" s="34"/>
      <c r="R37" s="34"/>
      <c r="S37" s="34"/>
      <c r="T37" s="251" t="s">
        <v>213</v>
      </c>
      <c r="U37" s="261">
        <f>IFERROR(U34*15,"")</f>
        <v>883306.66666666674</v>
      </c>
      <c r="V37" s="34"/>
      <c r="W37" s="34"/>
      <c r="X37" s="34"/>
      <c r="Y37" s="51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9.95" customHeight="1" x14ac:dyDescent="0.3">
      <c r="A38" s="39"/>
      <c r="B38" s="33"/>
      <c r="C38" s="33"/>
      <c r="D38" s="33"/>
      <c r="E38" s="33"/>
      <c r="F38" s="33"/>
      <c r="G38" s="239" t="s">
        <v>214</v>
      </c>
      <c r="H38" s="240">
        <f>IFERROR(H34*20,"")</f>
        <v>698.3788586666667</v>
      </c>
      <c r="I38" s="238"/>
      <c r="J38" s="238"/>
      <c r="K38" s="238"/>
      <c r="L38" s="47"/>
      <c r="M38" s="56"/>
      <c r="N38" s="52"/>
      <c r="O38" s="34"/>
      <c r="P38" s="34"/>
      <c r="Q38" s="34"/>
      <c r="R38" s="34"/>
      <c r="S38" s="34"/>
      <c r="T38" s="251" t="s">
        <v>214</v>
      </c>
      <c r="U38" s="261">
        <f>IFERROR(U34*20,"")</f>
        <v>1177742.2222222222</v>
      </c>
      <c r="V38" s="34"/>
      <c r="W38" s="34"/>
      <c r="X38" s="34"/>
      <c r="Y38" s="51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9.95" customHeight="1" x14ac:dyDescent="0.3">
      <c r="A39" s="39"/>
      <c r="B39" s="33"/>
      <c r="C39" s="33"/>
      <c r="D39" s="33"/>
      <c r="E39" s="33"/>
      <c r="F39" s="33"/>
      <c r="G39" s="238"/>
      <c r="H39" s="238"/>
      <c r="I39" s="238"/>
      <c r="J39" s="238"/>
      <c r="K39" s="238"/>
      <c r="L39" s="47"/>
      <c r="M39" s="56"/>
      <c r="N39" s="52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51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9.95" customHeight="1" x14ac:dyDescent="0.3">
      <c r="A40" s="3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47"/>
      <c r="M40" s="56"/>
      <c r="N40" s="5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51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9.95" customHeight="1" x14ac:dyDescent="0.3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80"/>
      <c r="M41" s="56"/>
      <c r="N41" s="53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s="60" customFormat="1" x14ac:dyDescent="0.3"/>
    <row r="43" spans="1:38" s="60" customFormat="1" x14ac:dyDescent="0.3"/>
    <row r="44" spans="1:38" s="60" customFormat="1" x14ac:dyDescent="0.3"/>
    <row r="45" spans="1:38" s="60" customFormat="1" x14ac:dyDescent="0.3"/>
    <row r="46" spans="1:38" s="60" customFormat="1" x14ac:dyDescent="0.3"/>
    <row r="47" spans="1:38" s="60" customFormat="1" x14ac:dyDescent="0.3"/>
    <row r="48" spans="1:38" s="60" customFormat="1" x14ac:dyDescent="0.3"/>
    <row r="49" s="60" customFormat="1" x14ac:dyDescent="0.3"/>
    <row r="50" s="60" customFormat="1" x14ac:dyDescent="0.3"/>
    <row r="51" s="60" customFormat="1" x14ac:dyDescent="0.3"/>
    <row r="52" s="60" customFormat="1" x14ac:dyDescent="0.3"/>
    <row r="53" s="60" customFormat="1" x14ac:dyDescent="0.3"/>
    <row r="54" s="60" customFormat="1" x14ac:dyDescent="0.3"/>
    <row r="55" s="60" customFormat="1" x14ac:dyDescent="0.3"/>
    <row r="56" s="60" customFormat="1" x14ac:dyDescent="0.3"/>
    <row r="57" s="60" customFormat="1" x14ac:dyDescent="0.3"/>
    <row r="58" s="60" customFormat="1" x14ac:dyDescent="0.3"/>
    <row r="59" s="60" customFormat="1" x14ac:dyDescent="0.3"/>
    <row r="60" s="60" customFormat="1" x14ac:dyDescent="0.3"/>
    <row r="61" s="60" customFormat="1" x14ac:dyDescent="0.3"/>
    <row r="62" s="60" customFormat="1" x14ac:dyDescent="0.3"/>
    <row r="63" s="60" customFormat="1" x14ac:dyDescent="0.3"/>
    <row r="64" s="60" customFormat="1" x14ac:dyDescent="0.3"/>
    <row r="65" s="60" customFormat="1" x14ac:dyDescent="0.3"/>
    <row r="66" s="60" customFormat="1" x14ac:dyDescent="0.3"/>
    <row r="67" s="60" customFormat="1" x14ac:dyDescent="0.3"/>
    <row r="68" s="60" customFormat="1" x14ac:dyDescent="0.3"/>
    <row r="69" s="60" customFormat="1" x14ac:dyDescent="0.3"/>
    <row r="70" s="60" customFormat="1" x14ac:dyDescent="0.3"/>
    <row r="71" s="60" customFormat="1" x14ac:dyDescent="0.3"/>
    <row r="72" s="60" customFormat="1" x14ac:dyDescent="0.3"/>
    <row r="73" s="60" customFormat="1" x14ac:dyDescent="0.3"/>
    <row r="74" s="60" customFormat="1" x14ac:dyDescent="0.3"/>
    <row r="75" s="60" customFormat="1" x14ac:dyDescent="0.3"/>
    <row r="76" s="60" customFormat="1" x14ac:dyDescent="0.3"/>
    <row r="77" s="60" customFormat="1" x14ac:dyDescent="0.3"/>
    <row r="78" s="60" customFormat="1" x14ac:dyDescent="0.3"/>
    <row r="79" s="60" customFormat="1" x14ac:dyDescent="0.3"/>
    <row r="80" s="60" customFormat="1" x14ac:dyDescent="0.3"/>
    <row r="81" s="60" customFormat="1" x14ac:dyDescent="0.3"/>
    <row r="82" s="60" customFormat="1" x14ac:dyDescent="0.3"/>
    <row r="83" s="60" customFormat="1" x14ac:dyDescent="0.3"/>
    <row r="84" s="60" customFormat="1" x14ac:dyDescent="0.3"/>
    <row r="85" s="60" customFormat="1" x14ac:dyDescent="0.3"/>
    <row r="86" s="60" customFormat="1" x14ac:dyDescent="0.3"/>
    <row r="87" s="60" customFormat="1" x14ac:dyDescent="0.3"/>
    <row r="88" s="60" customFormat="1" x14ac:dyDescent="0.3"/>
    <row r="89" s="60" customFormat="1" x14ac:dyDescent="0.3"/>
    <row r="90" s="60" customFormat="1" x14ac:dyDescent="0.3"/>
    <row r="91" s="60" customFormat="1" x14ac:dyDescent="0.3"/>
    <row r="92" s="60" customFormat="1" x14ac:dyDescent="0.3"/>
    <row r="93" s="60" customFormat="1" x14ac:dyDescent="0.3"/>
    <row r="94" s="60" customFormat="1" x14ac:dyDescent="0.3"/>
    <row r="95" s="60" customFormat="1" x14ac:dyDescent="0.3"/>
    <row r="96" s="60" customFormat="1" x14ac:dyDescent="0.3"/>
    <row r="97" s="60" customFormat="1" x14ac:dyDescent="0.3"/>
    <row r="98" s="60" customFormat="1" x14ac:dyDescent="0.3"/>
    <row r="99" s="60" customFormat="1" x14ac:dyDescent="0.3"/>
    <row r="100" s="60" customFormat="1" x14ac:dyDescent="0.3"/>
    <row r="101" s="60" customFormat="1" x14ac:dyDescent="0.3"/>
    <row r="102" s="60" customFormat="1" x14ac:dyDescent="0.3"/>
    <row r="103" s="60" customFormat="1" x14ac:dyDescent="0.3"/>
    <row r="104" s="60" customFormat="1" x14ac:dyDescent="0.3"/>
    <row r="105" s="60" customFormat="1" x14ac:dyDescent="0.3"/>
    <row r="106" s="60" customFormat="1" x14ac:dyDescent="0.3"/>
    <row r="107" s="60" customFormat="1" x14ac:dyDescent="0.3"/>
    <row r="108" s="60" customFormat="1" x14ac:dyDescent="0.3"/>
    <row r="109" s="60" customFormat="1" x14ac:dyDescent="0.3"/>
    <row r="110" s="60" customFormat="1" x14ac:dyDescent="0.3"/>
    <row r="111" s="60" customFormat="1" x14ac:dyDescent="0.3"/>
    <row r="112" s="60" customFormat="1" x14ac:dyDescent="0.3"/>
    <row r="113" s="60" customFormat="1" x14ac:dyDescent="0.3"/>
    <row r="114" s="60" customFormat="1" x14ac:dyDescent="0.3"/>
    <row r="115" s="60" customFormat="1" x14ac:dyDescent="0.3"/>
    <row r="116" s="60" customFormat="1" x14ac:dyDescent="0.3"/>
    <row r="117" s="60" customFormat="1" x14ac:dyDescent="0.3"/>
    <row r="118" s="60" customFormat="1" x14ac:dyDescent="0.3"/>
    <row r="119" s="60" customFormat="1" x14ac:dyDescent="0.3"/>
    <row r="120" s="60" customFormat="1" x14ac:dyDescent="0.3"/>
    <row r="121" s="60" customFormat="1" x14ac:dyDescent="0.3"/>
    <row r="122" s="60" customFormat="1" x14ac:dyDescent="0.3"/>
    <row r="123" s="60" customFormat="1" x14ac:dyDescent="0.3"/>
    <row r="124" s="60" customFormat="1" x14ac:dyDescent="0.3"/>
    <row r="125" s="60" customFormat="1" x14ac:dyDescent="0.3"/>
    <row r="126" s="60" customFormat="1" x14ac:dyDescent="0.3"/>
    <row r="127" s="60" customFormat="1" x14ac:dyDescent="0.3"/>
    <row r="128" s="60" customFormat="1" x14ac:dyDescent="0.3"/>
    <row r="129" s="60" customFormat="1" x14ac:dyDescent="0.3"/>
    <row r="130" s="60" customFormat="1" x14ac:dyDescent="0.3"/>
    <row r="131" s="60" customFormat="1" x14ac:dyDescent="0.3"/>
    <row r="132" s="60" customFormat="1" x14ac:dyDescent="0.3"/>
    <row r="133" s="60" customFormat="1" x14ac:dyDescent="0.3"/>
    <row r="134" s="60" customFormat="1" x14ac:dyDescent="0.3"/>
    <row r="135" s="60" customFormat="1" x14ac:dyDescent="0.3"/>
    <row r="136" s="60" customFormat="1" x14ac:dyDescent="0.3"/>
    <row r="137" s="60" customFormat="1" x14ac:dyDescent="0.3"/>
    <row r="138" s="60" customFormat="1" x14ac:dyDescent="0.3"/>
    <row r="139" s="60" customFormat="1" x14ac:dyDescent="0.3"/>
    <row r="140" s="60" customFormat="1" x14ac:dyDescent="0.3"/>
    <row r="141" s="60" customFormat="1" x14ac:dyDescent="0.3"/>
    <row r="142" s="60" customFormat="1" x14ac:dyDescent="0.3"/>
    <row r="143" s="60" customFormat="1" x14ac:dyDescent="0.3"/>
    <row r="144" s="60" customFormat="1" x14ac:dyDescent="0.3"/>
    <row r="145" s="60" customFormat="1" x14ac:dyDescent="0.3"/>
    <row r="146" s="60" customFormat="1" x14ac:dyDescent="0.3"/>
    <row r="147" s="60" customFormat="1" x14ac:dyDescent="0.3"/>
    <row r="148" s="60" customFormat="1" x14ac:dyDescent="0.3"/>
    <row r="149" s="60" customFormat="1" x14ac:dyDescent="0.3"/>
    <row r="150" s="60" customFormat="1" x14ac:dyDescent="0.3"/>
    <row r="151" s="60" customFormat="1" x14ac:dyDescent="0.3"/>
    <row r="152" s="60" customFormat="1" x14ac:dyDescent="0.3"/>
    <row r="153" s="60" customFormat="1" x14ac:dyDescent="0.3"/>
    <row r="154" s="60" customFormat="1" x14ac:dyDescent="0.3"/>
    <row r="155" s="60" customFormat="1" x14ac:dyDescent="0.3"/>
    <row r="156" s="60" customFormat="1" x14ac:dyDescent="0.3"/>
    <row r="157" s="60" customFormat="1" x14ac:dyDescent="0.3"/>
    <row r="158" s="60" customFormat="1" x14ac:dyDescent="0.3"/>
    <row r="159" s="60" customFormat="1" x14ac:dyDescent="0.3"/>
    <row r="160" s="60" customFormat="1" x14ac:dyDescent="0.3"/>
    <row r="161" s="60" customFormat="1" x14ac:dyDescent="0.3"/>
    <row r="162" s="60" customFormat="1" x14ac:dyDescent="0.3"/>
    <row r="163" s="60" customFormat="1" x14ac:dyDescent="0.3"/>
    <row r="164" s="60" customFormat="1" x14ac:dyDescent="0.3"/>
    <row r="165" s="60" customFormat="1" x14ac:dyDescent="0.3"/>
    <row r="166" s="60" customFormat="1" x14ac:dyDescent="0.3"/>
    <row r="167" s="60" customFormat="1" x14ac:dyDescent="0.3"/>
    <row r="168" s="60" customFormat="1" x14ac:dyDescent="0.3"/>
    <row r="169" s="60" customFormat="1" x14ac:dyDescent="0.3"/>
    <row r="170" s="60" customFormat="1" x14ac:dyDescent="0.3"/>
    <row r="171" s="60" customFormat="1" x14ac:dyDescent="0.3"/>
    <row r="172" s="60" customFormat="1" x14ac:dyDescent="0.3"/>
    <row r="173" s="60" customFormat="1" x14ac:dyDescent="0.3"/>
    <row r="174" s="60" customFormat="1" x14ac:dyDescent="0.3"/>
    <row r="175" s="60" customFormat="1" x14ac:dyDescent="0.3"/>
    <row r="176" s="60" customFormat="1" x14ac:dyDescent="0.3"/>
    <row r="177" s="60" customFormat="1" x14ac:dyDescent="0.3"/>
    <row r="178" s="60" customFormat="1" x14ac:dyDescent="0.3"/>
    <row r="179" s="60" customFormat="1" x14ac:dyDescent="0.3"/>
    <row r="180" s="60" customFormat="1" x14ac:dyDescent="0.3"/>
    <row r="181" s="60" customFormat="1" x14ac:dyDescent="0.3"/>
    <row r="182" s="60" customFormat="1" x14ac:dyDescent="0.3"/>
    <row r="183" s="60" customFormat="1" x14ac:dyDescent="0.3"/>
    <row r="184" s="60" customFormat="1" x14ac:dyDescent="0.3"/>
    <row r="185" s="60" customFormat="1" x14ac:dyDescent="0.3"/>
    <row r="186" s="60" customFormat="1" x14ac:dyDescent="0.3"/>
    <row r="187" s="60" customFormat="1" x14ac:dyDescent="0.3"/>
    <row r="188" s="60" customFormat="1" x14ac:dyDescent="0.3"/>
    <row r="189" s="60" customFormat="1" x14ac:dyDescent="0.3"/>
    <row r="190" s="60" customFormat="1" x14ac:dyDescent="0.3"/>
    <row r="191" s="60" customFormat="1" x14ac:dyDescent="0.3"/>
    <row r="192" s="60" customFormat="1" x14ac:dyDescent="0.3"/>
    <row r="193" s="60" customFormat="1" x14ac:dyDescent="0.3"/>
    <row r="194" s="60" customFormat="1" x14ac:dyDescent="0.3"/>
    <row r="195" s="60" customFormat="1" x14ac:dyDescent="0.3"/>
    <row r="196" s="60" customFormat="1" x14ac:dyDescent="0.3"/>
    <row r="197" s="60" customFormat="1" x14ac:dyDescent="0.3"/>
    <row r="198" s="60" customFormat="1" x14ac:dyDescent="0.3"/>
    <row r="199" s="60" customFormat="1" x14ac:dyDescent="0.3"/>
    <row r="200" s="60" customFormat="1" x14ac:dyDescent="0.3"/>
    <row r="201" s="60" customFormat="1" x14ac:dyDescent="0.3"/>
    <row r="202" s="60" customFormat="1" x14ac:dyDescent="0.3"/>
    <row r="203" s="60" customFormat="1" x14ac:dyDescent="0.3"/>
    <row r="204" s="60" customFormat="1" x14ac:dyDescent="0.3"/>
    <row r="205" s="60" customFormat="1" x14ac:dyDescent="0.3"/>
    <row r="206" s="60" customFormat="1" x14ac:dyDescent="0.3"/>
    <row r="207" s="60" customFormat="1" x14ac:dyDescent="0.3"/>
    <row r="208" s="60" customFormat="1" x14ac:dyDescent="0.3"/>
    <row r="209" s="60" customFormat="1" x14ac:dyDescent="0.3"/>
    <row r="210" s="60" customFormat="1" x14ac:dyDescent="0.3"/>
    <row r="211" s="60" customFormat="1" x14ac:dyDescent="0.3"/>
    <row r="212" s="60" customFormat="1" x14ac:dyDescent="0.3"/>
    <row r="213" s="60" customFormat="1" x14ac:dyDescent="0.3"/>
    <row r="214" s="60" customFormat="1" x14ac:dyDescent="0.3"/>
    <row r="215" s="60" customFormat="1" x14ac:dyDescent="0.3"/>
    <row r="216" s="60" customFormat="1" x14ac:dyDescent="0.3"/>
    <row r="217" s="60" customFormat="1" x14ac:dyDescent="0.3"/>
    <row r="218" s="60" customFormat="1" x14ac:dyDescent="0.3"/>
    <row r="219" s="60" customFormat="1" x14ac:dyDescent="0.3"/>
    <row r="220" s="60" customFormat="1" x14ac:dyDescent="0.3"/>
    <row r="221" s="60" customFormat="1" x14ac:dyDescent="0.3"/>
    <row r="222" s="60" customFormat="1" x14ac:dyDescent="0.3"/>
    <row r="223" s="60" customFormat="1" x14ac:dyDescent="0.3"/>
    <row r="224" s="60" customFormat="1" x14ac:dyDescent="0.3"/>
    <row r="225" s="60" customFormat="1" x14ac:dyDescent="0.3"/>
    <row r="226" s="60" customFormat="1" x14ac:dyDescent="0.3"/>
    <row r="227" s="60" customFormat="1" x14ac:dyDescent="0.3"/>
    <row r="228" s="60" customFormat="1" x14ac:dyDescent="0.3"/>
    <row r="229" s="60" customFormat="1" x14ac:dyDescent="0.3"/>
    <row r="230" s="60" customFormat="1" x14ac:dyDescent="0.3"/>
    <row r="231" s="60" customFormat="1" x14ac:dyDescent="0.3"/>
    <row r="232" s="60" customFormat="1" x14ac:dyDescent="0.3"/>
    <row r="233" s="60" customFormat="1" x14ac:dyDescent="0.3"/>
    <row r="234" s="60" customFormat="1" x14ac:dyDescent="0.3"/>
    <row r="235" s="60" customFormat="1" x14ac:dyDescent="0.3"/>
    <row r="236" s="60" customFormat="1" x14ac:dyDescent="0.3"/>
    <row r="237" s="60" customFormat="1" x14ac:dyDescent="0.3"/>
    <row r="238" s="60" customFormat="1" x14ac:dyDescent="0.3"/>
    <row r="239" s="60" customFormat="1" x14ac:dyDescent="0.3"/>
    <row r="240" s="60" customFormat="1" x14ac:dyDescent="0.3"/>
    <row r="241" s="60" customFormat="1" x14ac:dyDescent="0.3"/>
    <row r="242" s="60" customFormat="1" x14ac:dyDescent="0.3"/>
    <row r="243" s="60" customFormat="1" x14ac:dyDescent="0.3"/>
    <row r="244" s="60" customFormat="1" x14ac:dyDescent="0.3"/>
    <row r="245" s="60" customFormat="1" x14ac:dyDescent="0.3"/>
    <row r="246" s="60" customFormat="1" x14ac:dyDescent="0.3"/>
    <row r="247" s="60" customFormat="1" x14ac:dyDescent="0.3"/>
    <row r="248" s="60" customFormat="1" x14ac:dyDescent="0.3"/>
    <row r="249" s="60" customFormat="1" x14ac:dyDescent="0.3"/>
    <row r="250" s="60" customFormat="1" x14ac:dyDescent="0.3"/>
    <row r="251" s="60" customFormat="1" x14ac:dyDescent="0.3"/>
    <row r="252" s="60" customFormat="1" x14ac:dyDescent="0.3"/>
    <row r="253" s="60" customFormat="1" x14ac:dyDescent="0.3"/>
    <row r="254" s="60" customFormat="1" x14ac:dyDescent="0.3"/>
    <row r="255" s="60" customFormat="1" x14ac:dyDescent="0.3"/>
    <row r="256" s="60" customFormat="1" x14ac:dyDescent="0.3"/>
    <row r="257" s="60" customFormat="1" x14ac:dyDescent="0.3"/>
    <row r="258" s="60" customFormat="1" x14ac:dyDescent="0.3"/>
    <row r="259" s="60" customFormat="1" x14ac:dyDescent="0.3"/>
    <row r="260" s="60" customFormat="1" x14ac:dyDescent="0.3"/>
    <row r="261" s="60" customFormat="1" x14ac:dyDescent="0.3"/>
    <row r="262" s="60" customFormat="1" x14ac:dyDescent="0.3"/>
    <row r="263" s="60" customFormat="1" x14ac:dyDescent="0.3"/>
    <row r="264" s="60" customFormat="1" x14ac:dyDescent="0.3"/>
    <row r="265" s="60" customFormat="1" x14ac:dyDescent="0.3"/>
    <row r="266" s="60" customFormat="1" x14ac:dyDescent="0.3"/>
    <row r="267" s="60" customFormat="1" x14ac:dyDescent="0.3"/>
    <row r="268" s="60" customFormat="1" x14ac:dyDescent="0.3"/>
    <row r="269" s="60" customFormat="1" x14ac:dyDescent="0.3"/>
    <row r="270" s="60" customFormat="1" x14ac:dyDescent="0.3"/>
    <row r="271" s="60" customFormat="1" x14ac:dyDescent="0.3"/>
    <row r="272" s="60" customFormat="1" x14ac:dyDescent="0.3"/>
    <row r="273" s="60" customFormat="1" x14ac:dyDescent="0.3"/>
    <row r="274" s="60" customFormat="1" x14ac:dyDescent="0.3"/>
    <row r="275" s="60" customFormat="1" x14ac:dyDescent="0.3"/>
    <row r="276" s="60" customFormat="1" x14ac:dyDescent="0.3"/>
    <row r="277" s="60" customFormat="1" x14ac:dyDescent="0.3"/>
    <row r="278" s="60" customFormat="1" x14ac:dyDescent="0.3"/>
    <row r="279" s="60" customFormat="1" x14ac:dyDescent="0.3"/>
    <row r="280" s="60" customFormat="1" x14ac:dyDescent="0.3"/>
    <row r="281" s="60" customFormat="1" x14ac:dyDescent="0.3"/>
    <row r="282" s="60" customFormat="1" x14ac:dyDescent="0.3"/>
    <row r="283" s="60" customFormat="1" x14ac:dyDescent="0.3"/>
    <row r="284" s="60" customFormat="1" x14ac:dyDescent="0.3"/>
    <row r="285" s="60" customFormat="1" x14ac:dyDescent="0.3"/>
    <row r="286" s="60" customFormat="1" x14ac:dyDescent="0.3"/>
    <row r="287" s="60" customFormat="1" x14ac:dyDescent="0.3"/>
    <row r="288" s="60" customFormat="1" x14ac:dyDescent="0.3"/>
    <row r="289" s="60" customFormat="1" x14ac:dyDescent="0.3"/>
    <row r="290" s="60" customFormat="1" x14ac:dyDescent="0.3"/>
    <row r="291" s="60" customFormat="1" x14ac:dyDescent="0.3"/>
    <row r="292" s="60" customFormat="1" x14ac:dyDescent="0.3"/>
    <row r="293" s="60" customFormat="1" x14ac:dyDescent="0.3"/>
    <row r="294" s="60" customFormat="1" x14ac:dyDescent="0.3"/>
    <row r="295" s="60" customFormat="1" x14ac:dyDescent="0.3"/>
    <row r="296" s="60" customFormat="1" x14ac:dyDescent="0.3"/>
    <row r="297" s="60" customFormat="1" x14ac:dyDescent="0.3"/>
    <row r="298" s="60" customFormat="1" x14ac:dyDescent="0.3"/>
    <row r="299" s="60" customFormat="1" x14ac:dyDescent="0.3"/>
    <row r="300" s="60" customFormat="1" x14ac:dyDescent="0.3"/>
    <row r="301" s="60" customFormat="1" x14ac:dyDescent="0.3"/>
    <row r="302" s="60" customFormat="1" x14ac:dyDescent="0.3"/>
    <row r="303" s="60" customFormat="1" x14ac:dyDescent="0.3"/>
    <row r="304" s="60" customFormat="1" x14ac:dyDescent="0.3"/>
    <row r="305" s="60" customFormat="1" x14ac:dyDescent="0.3"/>
    <row r="306" s="60" customFormat="1" x14ac:dyDescent="0.3"/>
    <row r="307" s="60" customFormat="1" x14ac:dyDescent="0.3"/>
    <row r="308" s="60" customFormat="1" x14ac:dyDescent="0.3"/>
    <row r="309" s="60" customFormat="1" x14ac:dyDescent="0.3"/>
    <row r="310" s="60" customFormat="1" x14ac:dyDescent="0.3"/>
    <row r="311" s="60" customFormat="1" x14ac:dyDescent="0.3"/>
    <row r="312" s="60" customFormat="1" x14ac:dyDescent="0.3"/>
    <row r="313" s="60" customFormat="1" x14ac:dyDescent="0.3"/>
    <row r="314" s="60" customFormat="1" x14ac:dyDescent="0.3"/>
    <row r="315" s="60" customFormat="1" x14ac:dyDescent="0.3"/>
    <row r="316" s="60" customFormat="1" x14ac:dyDescent="0.3"/>
    <row r="317" s="60" customFormat="1" x14ac:dyDescent="0.3"/>
    <row r="318" s="60" customFormat="1" x14ac:dyDescent="0.3"/>
    <row r="319" s="60" customFormat="1" x14ac:dyDescent="0.3"/>
    <row r="320" s="60" customFormat="1" x14ac:dyDescent="0.3"/>
    <row r="321" s="60" customFormat="1" x14ac:dyDescent="0.3"/>
    <row r="322" s="60" customFormat="1" x14ac:dyDescent="0.3"/>
    <row r="323" s="60" customFormat="1" x14ac:dyDescent="0.3"/>
    <row r="324" s="60" customFormat="1" x14ac:dyDescent="0.3"/>
    <row r="325" s="60" customFormat="1" x14ac:dyDescent="0.3"/>
    <row r="326" s="60" customFormat="1" x14ac:dyDescent="0.3"/>
    <row r="327" s="60" customFormat="1" x14ac:dyDescent="0.3"/>
    <row r="328" s="60" customFormat="1" x14ac:dyDescent="0.3"/>
    <row r="329" s="60" customFormat="1" x14ac:dyDescent="0.3"/>
    <row r="330" s="60" customFormat="1" x14ac:dyDescent="0.3"/>
    <row r="331" s="60" customFormat="1" x14ac:dyDescent="0.3"/>
    <row r="332" s="60" customFormat="1" x14ac:dyDescent="0.3"/>
    <row r="333" s="60" customFormat="1" x14ac:dyDescent="0.3"/>
    <row r="334" s="60" customFormat="1" x14ac:dyDescent="0.3"/>
    <row r="335" s="60" customFormat="1" x14ac:dyDescent="0.3"/>
    <row r="336" s="60" customFormat="1" x14ac:dyDescent="0.3"/>
    <row r="337" s="60" customFormat="1" x14ac:dyDescent="0.3"/>
    <row r="338" s="60" customFormat="1" x14ac:dyDescent="0.3"/>
    <row r="339" s="60" customFormat="1" x14ac:dyDescent="0.3"/>
    <row r="340" s="60" customFormat="1" x14ac:dyDescent="0.3"/>
    <row r="341" s="60" customFormat="1" x14ac:dyDescent="0.3"/>
    <row r="342" s="60" customFormat="1" x14ac:dyDescent="0.3"/>
    <row r="343" s="60" customFormat="1" x14ac:dyDescent="0.3"/>
    <row r="344" s="60" customFormat="1" x14ac:dyDescent="0.3"/>
    <row r="345" s="60" customFormat="1" x14ac:dyDescent="0.3"/>
    <row r="346" s="60" customFormat="1" x14ac:dyDescent="0.3"/>
    <row r="347" s="60" customFormat="1" x14ac:dyDescent="0.3"/>
    <row r="348" s="60" customFormat="1" x14ac:dyDescent="0.3"/>
    <row r="349" s="60" customFormat="1" x14ac:dyDescent="0.3"/>
    <row r="350" s="60" customFormat="1" x14ac:dyDescent="0.3"/>
    <row r="351" s="60" customFormat="1" x14ac:dyDescent="0.3"/>
    <row r="352" s="60" customFormat="1" x14ac:dyDescent="0.3"/>
    <row r="353" s="60" customFormat="1" x14ac:dyDescent="0.3"/>
    <row r="354" s="60" customFormat="1" x14ac:dyDescent="0.3"/>
    <row r="355" s="60" customFormat="1" x14ac:dyDescent="0.3"/>
    <row r="356" s="60" customFormat="1" x14ac:dyDescent="0.3"/>
    <row r="357" s="60" customFormat="1" x14ac:dyDescent="0.3"/>
    <row r="358" s="60" customFormat="1" x14ac:dyDescent="0.3"/>
    <row r="359" s="60" customFormat="1" x14ac:dyDescent="0.3"/>
    <row r="360" s="60" customFormat="1" x14ac:dyDescent="0.3"/>
    <row r="361" s="60" customFormat="1" x14ac:dyDescent="0.3"/>
    <row r="362" s="60" customFormat="1" x14ac:dyDescent="0.3"/>
    <row r="363" s="60" customFormat="1" x14ac:dyDescent="0.3"/>
    <row r="364" s="60" customFormat="1" x14ac:dyDescent="0.3"/>
    <row r="365" s="60" customFormat="1" x14ac:dyDescent="0.3"/>
    <row r="366" s="60" customFormat="1" x14ac:dyDescent="0.3"/>
    <row r="367" s="60" customFormat="1" x14ac:dyDescent="0.3"/>
    <row r="368" s="60" customFormat="1" x14ac:dyDescent="0.3"/>
    <row r="369" s="60" customFormat="1" x14ac:dyDescent="0.3"/>
    <row r="370" s="60" customFormat="1" x14ac:dyDescent="0.3"/>
    <row r="371" s="60" customFormat="1" x14ac:dyDescent="0.3"/>
    <row r="372" s="60" customFormat="1" x14ac:dyDescent="0.3"/>
    <row r="373" s="60" customFormat="1" x14ac:dyDescent="0.3"/>
    <row r="374" s="60" customFormat="1" x14ac:dyDescent="0.3"/>
    <row r="375" s="60" customFormat="1" x14ac:dyDescent="0.3"/>
    <row r="376" s="60" customFormat="1" x14ac:dyDescent="0.3"/>
    <row r="377" s="60" customFormat="1" x14ac:dyDescent="0.3"/>
    <row r="378" s="60" customFormat="1" x14ac:dyDescent="0.3"/>
    <row r="379" s="60" customFormat="1" x14ac:dyDescent="0.3"/>
    <row r="380" s="60" customFormat="1" x14ac:dyDescent="0.3"/>
    <row r="381" s="60" customFormat="1" x14ac:dyDescent="0.3"/>
    <row r="382" s="60" customFormat="1" x14ac:dyDescent="0.3"/>
    <row r="383" s="60" customFormat="1" x14ac:dyDescent="0.3"/>
    <row r="384" s="60" customFormat="1" x14ac:dyDescent="0.3"/>
    <row r="385" s="60" customFormat="1" x14ac:dyDescent="0.3"/>
    <row r="386" s="60" customFormat="1" x14ac:dyDescent="0.3"/>
    <row r="387" s="60" customFormat="1" x14ac:dyDescent="0.3"/>
    <row r="388" s="60" customFormat="1" x14ac:dyDescent="0.3"/>
    <row r="389" s="60" customFormat="1" x14ac:dyDescent="0.3"/>
    <row r="390" s="60" customFormat="1" x14ac:dyDescent="0.3"/>
    <row r="391" s="60" customFormat="1" x14ac:dyDescent="0.3"/>
    <row r="392" s="60" customFormat="1" x14ac:dyDescent="0.3"/>
    <row r="393" s="60" customFormat="1" x14ac:dyDescent="0.3"/>
    <row r="394" s="60" customFormat="1" x14ac:dyDescent="0.3"/>
    <row r="395" s="60" customFormat="1" x14ac:dyDescent="0.3"/>
    <row r="396" s="60" customFormat="1" x14ac:dyDescent="0.3"/>
    <row r="397" s="60" customFormat="1" x14ac:dyDescent="0.3"/>
    <row r="398" s="60" customFormat="1" x14ac:dyDescent="0.3"/>
    <row r="399" s="60" customFormat="1" x14ac:dyDescent="0.3"/>
    <row r="400" s="60" customFormat="1" x14ac:dyDescent="0.3"/>
    <row r="401" s="60" customFormat="1" x14ac:dyDescent="0.3"/>
    <row r="402" s="60" customFormat="1" x14ac:dyDescent="0.3"/>
    <row r="403" s="60" customFormat="1" x14ac:dyDescent="0.3"/>
    <row r="404" s="60" customFormat="1" x14ac:dyDescent="0.3"/>
    <row r="405" s="60" customFormat="1" x14ac:dyDescent="0.3"/>
    <row r="406" s="60" customFormat="1" x14ac:dyDescent="0.3"/>
    <row r="407" s="60" customFormat="1" x14ac:dyDescent="0.3"/>
    <row r="408" s="60" customFormat="1" x14ac:dyDescent="0.3"/>
    <row r="409" s="60" customFormat="1" x14ac:dyDescent="0.3"/>
    <row r="410" s="60" customFormat="1" x14ac:dyDescent="0.3"/>
    <row r="411" s="60" customFormat="1" x14ac:dyDescent="0.3"/>
    <row r="412" s="60" customFormat="1" x14ac:dyDescent="0.3"/>
    <row r="413" s="60" customFormat="1" x14ac:dyDescent="0.3"/>
    <row r="414" s="60" customFormat="1" x14ac:dyDescent="0.3"/>
    <row r="415" s="60" customFormat="1" x14ac:dyDescent="0.3"/>
    <row r="416" s="60" customFormat="1" x14ac:dyDescent="0.3"/>
    <row r="417" s="60" customFormat="1" x14ac:dyDescent="0.3"/>
    <row r="418" s="60" customFormat="1" x14ac:dyDescent="0.3"/>
    <row r="419" s="60" customFormat="1" x14ac:dyDescent="0.3"/>
    <row r="420" s="60" customFormat="1" x14ac:dyDescent="0.3"/>
    <row r="421" s="60" customFormat="1" x14ac:dyDescent="0.3"/>
    <row r="422" s="60" customFormat="1" x14ac:dyDescent="0.3"/>
    <row r="423" s="60" customFormat="1" x14ac:dyDescent="0.3"/>
    <row r="424" s="60" customFormat="1" x14ac:dyDescent="0.3"/>
    <row r="425" s="60" customFormat="1" x14ac:dyDescent="0.3"/>
    <row r="426" s="60" customFormat="1" x14ac:dyDescent="0.3"/>
    <row r="427" s="60" customFormat="1" x14ac:dyDescent="0.3"/>
    <row r="428" s="60" customFormat="1" x14ac:dyDescent="0.3"/>
    <row r="429" s="60" customFormat="1" x14ac:dyDescent="0.3"/>
    <row r="430" s="60" customFormat="1" x14ac:dyDescent="0.3"/>
    <row r="431" s="60" customFormat="1" x14ac:dyDescent="0.3"/>
    <row r="432" s="60" customFormat="1" x14ac:dyDescent="0.3"/>
    <row r="433" s="60" customFormat="1" x14ac:dyDescent="0.3"/>
    <row r="434" s="60" customFormat="1" x14ac:dyDescent="0.3"/>
    <row r="435" s="60" customFormat="1" x14ac:dyDescent="0.3"/>
    <row r="436" s="60" customFormat="1" x14ac:dyDescent="0.3"/>
    <row r="437" s="60" customFormat="1" x14ac:dyDescent="0.3"/>
    <row r="438" s="60" customFormat="1" x14ac:dyDescent="0.3"/>
    <row r="439" s="60" customFormat="1" x14ac:dyDescent="0.3"/>
    <row r="440" s="60" customFormat="1" x14ac:dyDescent="0.3"/>
    <row r="441" s="60" customFormat="1" x14ac:dyDescent="0.3"/>
    <row r="442" s="60" customFormat="1" x14ac:dyDescent="0.3"/>
    <row r="443" s="60" customFormat="1" x14ac:dyDescent="0.3"/>
    <row r="444" s="60" customFormat="1" x14ac:dyDescent="0.3"/>
    <row r="445" s="60" customFormat="1" x14ac:dyDescent="0.3"/>
    <row r="446" s="60" customFormat="1" x14ac:dyDescent="0.3"/>
    <row r="447" s="60" customFormat="1" x14ac:dyDescent="0.3"/>
    <row r="448" s="60" customFormat="1" x14ac:dyDescent="0.3"/>
    <row r="449" s="60" customFormat="1" x14ac:dyDescent="0.3"/>
    <row r="450" s="60" customFormat="1" x14ac:dyDescent="0.3"/>
    <row r="451" s="60" customFormat="1" x14ac:dyDescent="0.3"/>
    <row r="452" s="60" customFormat="1" x14ac:dyDescent="0.3"/>
    <row r="453" s="60" customFormat="1" x14ac:dyDescent="0.3"/>
    <row r="454" s="60" customFormat="1" x14ac:dyDescent="0.3"/>
    <row r="455" s="60" customFormat="1" x14ac:dyDescent="0.3"/>
    <row r="456" s="60" customFormat="1" x14ac:dyDescent="0.3"/>
    <row r="457" s="60" customFormat="1" x14ac:dyDescent="0.3"/>
    <row r="458" s="60" customFormat="1" x14ac:dyDescent="0.3"/>
    <row r="459" s="60" customFormat="1" x14ac:dyDescent="0.3"/>
    <row r="460" s="60" customFormat="1" x14ac:dyDescent="0.3"/>
    <row r="461" s="60" customFormat="1" x14ac:dyDescent="0.3"/>
    <row r="462" s="60" customFormat="1" x14ac:dyDescent="0.3"/>
    <row r="463" s="60" customFormat="1" x14ac:dyDescent="0.3"/>
    <row r="464" s="60" customFormat="1" x14ac:dyDescent="0.3"/>
    <row r="465" s="60" customFormat="1" x14ac:dyDescent="0.3"/>
    <row r="466" s="60" customFormat="1" x14ac:dyDescent="0.3"/>
    <row r="467" s="60" customFormat="1" x14ac:dyDescent="0.3"/>
    <row r="468" s="60" customFormat="1" x14ac:dyDescent="0.3"/>
    <row r="469" s="60" customFormat="1" x14ac:dyDescent="0.3"/>
    <row r="470" s="60" customFormat="1" x14ac:dyDescent="0.3"/>
    <row r="471" s="60" customFormat="1" x14ac:dyDescent="0.3"/>
    <row r="472" s="60" customFormat="1" x14ac:dyDescent="0.3"/>
    <row r="473" s="60" customFormat="1" x14ac:dyDescent="0.3"/>
    <row r="474" s="60" customFormat="1" x14ac:dyDescent="0.3"/>
    <row r="475" s="60" customFormat="1" x14ac:dyDescent="0.3"/>
    <row r="476" s="60" customFormat="1" x14ac:dyDescent="0.3"/>
    <row r="477" s="60" customFormat="1" x14ac:dyDescent="0.3"/>
    <row r="478" s="60" customFormat="1" x14ac:dyDescent="0.3"/>
    <row r="479" s="60" customFormat="1" x14ac:dyDescent="0.3"/>
    <row r="480" s="60" customFormat="1" x14ac:dyDescent="0.3"/>
    <row r="481" s="60" customFormat="1" x14ac:dyDescent="0.3"/>
    <row r="482" s="60" customFormat="1" x14ac:dyDescent="0.3"/>
    <row r="483" s="60" customFormat="1" x14ac:dyDescent="0.3"/>
    <row r="484" s="60" customFormat="1" x14ac:dyDescent="0.3"/>
    <row r="485" s="60" customFormat="1" x14ac:dyDescent="0.3"/>
    <row r="486" s="60" customFormat="1" x14ac:dyDescent="0.3"/>
    <row r="487" s="60" customFormat="1" x14ac:dyDescent="0.3"/>
    <row r="488" s="60" customFormat="1" x14ac:dyDescent="0.3"/>
    <row r="489" s="60" customFormat="1" x14ac:dyDescent="0.3"/>
    <row r="490" s="60" customFormat="1" x14ac:dyDescent="0.3"/>
    <row r="491" s="60" customFormat="1" x14ac:dyDescent="0.3"/>
    <row r="492" s="60" customFormat="1" x14ac:dyDescent="0.3"/>
    <row r="493" s="60" customFormat="1" x14ac:dyDescent="0.3"/>
    <row r="494" s="60" customFormat="1" x14ac:dyDescent="0.3"/>
    <row r="495" s="60" customFormat="1" x14ac:dyDescent="0.3"/>
  </sheetData>
  <mergeCells count="64">
    <mergeCell ref="C26:E26"/>
    <mergeCell ref="C29:E29"/>
    <mergeCell ref="C30:E30"/>
    <mergeCell ref="P8:R8"/>
    <mergeCell ref="P9:R9"/>
    <mergeCell ref="P10:R10"/>
    <mergeCell ref="P13:R13"/>
    <mergeCell ref="P14:R14"/>
    <mergeCell ref="P15:R15"/>
    <mergeCell ref="P16:R16"/>
    <mergeCell ref="C24:E24"/>
    <mergeCell ref="C27:E27"/>
    <mergeCell ref="C28:E28"/>
    <mergeCell ref="C15:E15"/>
    <mergeCell ref="C17:E17"/>
    <mergeCell ref="C18:E18"/>
    <mergeCell ref="C21:E21"/>
    <mergeCell ref="C22:E22"/>
    <mergeCell ref="C23:E23"/>
    <mergeCell ref="C25:E25"/>
    <mergeCell ref="C6:E7"/>
    <mergeCell ref="C9:E9"/>
    <mergeCell ref="C10:E10"/>
    <mergeCell ref="C13:E13"/>
    <mergeCell ref="C14:E14"/>
    <mergeCell ref="C12:E12"/>
    <mergeCell ref="C11:E11"/>
    <mergeCell ref="B6:B7"/>
    <mergeCell ref="C8:E8"/>
    <mergeCell ref="C16:E16"/>
    <mergeCell ref="C20:E20"/>
    <mergeCell ref="P17:R17"/>
    <mergeCell ref="P18:R18"/>
    <mergeCell ref="P19:R19"/>
    <mergeCell ref="P20:R20"/>
    <mergeCell ref="C19:E19"/>
    <mergeCell ref="P11:R11"/>
    <mergeCell ref="P12:R12"/>
    <mergeCell ref="P21:R21"/>
    <mergeCell ref="P22:R22"/>
    <mergeCell ref="P25:R25"/>
    <mergeCell ref="P26:R26"/>
    <mergeCell ref="P27:R27"/>
    <mergeCell ref="P28:R28"/>
    <mergeCell ref="P29:R29"/>
    <mergeCell ref="P30:R30"/>
    <mergeCell ref="P23:R23"/>
    <mergeCell ref="P24:R24"/>
    <mergeCell ref="H5:K5"/>
    <mergeCell ref="G32:H33"/>
    <mergeCell ref="U5:X5"/>
    <mergeCell ref="U6:U7"/>
    <mergeCell ref="V6:V7"/>
    <mergeCell ref="W6:W7"/>
    <mergeCell ref="X6:X7"/>
    <mergeCell ref="T32:U33"/>
    <mergeCell ref="T6:T7"/>
    <mergeCell ref="G6:G7"/>
    <mergeCell ref="H6:H7"/>
    <mergeCell ref="I6:I7"/>
    <mergeCell ref="J6:J7"/>
    <mergeCell ref="K6:K7"/>
    <mergeCell ref="O6:O7"/>
    <mergeCell ref="P6:R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7FBF087-39AD-4CA3-B153-50DED26F8BCB}">
            <x14:iconSet iconSet="3Symbols" showValue="0" custom="1">
              <x14:cfvo type="percent">
                <xm:f>0</xm:f>
              </x14:cfvo>
              <x14:cfvo type="num">
                <xm:f>52</xm:f>
              </x14:cfvo>
              <x14:cfvo type="num" gte="0">
                <xm:f>52</xm:f>
              </x14:cfvo>
              <x14:cfIcon iconSet="NoIcons" iconId="0"/>
              <x14:cfIcon iconSet="NoIcons" iconId="0"/>
              <x14:cfIcon iconSet="3Symbols" iconId="0"/>
            </x14:iconSet>
          </x14:cfRule>
          <xm:sqref>F27</xm:sqref>
        </x14:conditionalFormatting>
        <x14:conditionalFormatting xmlns:xm="http://schemas.microsoft.com/office/excel/2006/main">
          <x14:cfRule type="iconSet" priority="1" id="{2E0D0DEC-1999-4867-983E-055587EB3CD2}">
            <x14:iconSet iconSet="3Symbols" showValue="0" custom="1">
              <x14:cfvo type="percent">
                <xm:f>0</xm:f>
              </x14:cfvo>
              <x14:cfvo type="num">
                <xm:f>52</xm:f>
              </x14:cfvo>
              <x14:cfvo type="num" gte="0">
                <xm:f>52</xm:f>
              </x14:cfvo>
              <x14:cfIcon iconSet="NoIcons" iconId="0"/>
              <x14:cfIcon iconSet="NoIcons" iconId="0"/>
              <x14:cfIcon iconSet="3Symbols" iconId="0"/>
            </x14:iconSet>
          </x14:cfRule>
          <xm:sqref>S27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9ED498F-1903-4411-BC88-7B20B21ED665}">
          <x14:formula1>
            <xm:f>Calculations!$B$130:$B$154</xm:f>
          </x14:formula1>
          <xm:sqref>H16:K16</xm:sqref>
        </x14:dataValidation>
        <x14:dataValidation type="list" allowBlank="1" showInputMessage="1" showErrorMessage="1" xr:uid="{8AB95859-D992-46D0-9FD7-5AC02AC00088}">
          <x14:formula1>
            <xm:f>'Diesel engine'!$B$72:$B$75</xm:f>
          </x14:formula1>
          <xm:sqref>U9:X9</xm:sqref>
        </x14:dataValidation>
        <x14:dataValidation type="list" allowBlank="1" showInputMessage="1" showErrorMessage="1" xr:uid="{E1A3F24E-399C-4B3E-B0D4-462AECAFD336}">
          <x14:formula1>
            <xm:f>'Diesel engine'!$C$2:$C$3</xm:f>
          </x14:formula1>
          <xm:sqref>U8:X8</xm:sqref>
        </x14:dataValidation>
        <x14:dataValidation type="list" allowBlank="1" showInputMessage="1" showErrorMessage="1" xr:uid="{DBD9CB13-D698-4C7B-9151-1F50D2D7BCF3}">
          <x14:formula1>
            <xm:f>'Electric engine'!$C$2:$C$3</xm:f>
          </x14:formula1>
          <xm:sqref>H8:K8</xm:sqref>
        </x14:dataValidation>
        <x14:dataValidation type="list" allowBlank="1" showInputMessage="1" showErrorMessage="1" xr:uid="{D1FBF5E7-EE51-4413-91AB-707E3095529D}">
          <x14:formula1>
            <xm:f>'Diesel engine'!$G$65:$G$69</xm:f>
          </x14:formula1>
          <xm:sqref>U14:X14</xm:sqref>
        </x14:dataValidation>
        <x14:dataValidation type="list" allowBlank="1" showInputMessage="1" showErrorMessage="1" xr:uid="{94EA6CC5-656E-4E28-B4A5-C3900D4325BA}">
          <x14:formula1>
            <xm:f>Calculations!$B$124:$B$126</xm:f>
          </x14:formula1>
          <xm:sqref>H24:K24 U24:X24</xm:sqref>
        </x14:dataValidation>
        <x14:dataValidation type="list" allowBlank="1" showInputMessage="1" showErrorMessage="1" xr:uid="{8B1EC1CF-99FB-4EFC-BE69-E0A5BEC1FABA}">
          <x14:formula1>
            <xm:f>Calculations!$B$114:$B$118</xm:f>
          </x14:formula1>
          <xm:sqref>H20:K20 U20:X20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91DC-57DE-46E6-A3C3-A7283FF2700E}">
  <sheetPr codeName="Ark8"/>
  <dimension ref="A1:DS246"/>
  <sheetViews>
    <sheetView zoomScale="60" zoomScaleNormal="60" workbookViewId="0">
      <selection activeCell="L104" sqref="L104"/>
    </sheetView>
  </sheetViews>
  <sheetFormatPr baseColWidth="10" defaultColWidth="11.44140625" defaultRowHeight="14.4" x14ac:dyDescent="0.3"/>
  <cols>
    <col min="2" max="2" width="43.21875" customWidth="1"/>
    <col min="3" max="3" width="34" customWidth="1"/>
    <col min="4" max="4" width="14.44140625" customWidth="1"/>
    <col min="5" max="5" width="21" bestFit="1" customWidth="1"/>
    <col min="6" max="6" width="39.44140625" customWidth="1"/>
    <col min="7" max="7" width="23.44140625" customWidth="1"/>
    <col min="8" max="8" width="22.77734375" customWidth="1"/>
    <col min="9" max="9" width="19.21875" customWidth="1"/>
    <col min="10" max="10" width="21.44140625" customWidth="1"/>
    <col min="11" max="11" width="23" bestFit="1" customWidth="1"/>
    <col min="12" max="12" width="14.44140625" customWidth="1"/>
    <col min="13" max="13" width="12.44140625" customWidth="1"/>
    <col min="14" max="14" width="20.44140625" customWidth="1"/>
    <col min="17" max="123" width="11.44140625" style="60"/>
  </cols>
  <sheetData>
    <row r="1" spans="1:16" ht="19.95" customHeight="1" thickBot="1" x14ac:dyDescent="0.35">
      <c r="A1" s="335"/>
      <c r="B1" s="781" t="s">
        <v>215</v>
      </c>
      <c r="C1" s="782"/>
      <c r="D1" s="783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/>
    </row>
    <row r="2" spans="1:16" x14ac:dyDescent="0.3">
      <c r="A2" s="336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32"/>
    </row>
    <row r="3" spans="1:16" x14ac:dyDescent="0.3">
      <c r="A3" s="336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32"/>
    </row>
    <row r="4" spans="1:16" ht="19.95" customHeight="1" x14ac:dyDescent="0.3">
      <c r="A4" s="336"/>
      <c r="B4" s="793" t="s">
        <v>216</v>
      </c>
      <c r="C4" s="794"/>
      <c r="D4" s="794"/>
      <c r="E4" s="794"/>
      <c r="F4" s="794"/>
      <c r="G4" s="794"/>
      <c r="H4" s="794"/>
      <c r="I4" s="795"/>
      <c r="J4" s="321"/>
      <c r="K4" s="321"/>
      <c r="L4" s="321"/>
      <c r="M4" s="321"/>
      <c r="N4" s="320"/>
      <c r="O4" s="320"/>
      <c r="P4" s="332"/>
    </row>
    <row r="5" spans="1:16" ht="19.95" customHeight="1" x14ac:dyDescent="0.3">
      <c r="A5" s="336"/>
      <c r="B5" s="796"/>
      <c r="C5" s="797"/>
      <c r="D5" s="797"/>
      <c r="E5" s="797"/>
      <c r="F5" s="797"/>
      <c r="G5" s="797"/>
      <c r="H5" s="797"/>
      <c r="I5" s="798"/>
      <c r="J5" s="321"/>
      <c r="K5" s="321"/>
      <c r="L5" s="321"/>
      <c r="M5" s="321"/>
      <c r="N5" s="320"/>
      <c r="O5" s="320"/>
      <c r="P5" s="332"/>
    </row>
    <row r="6" spans="1:16" ht="14.7" customHeight="1" x14ac:dyDescent="0.3">
      <c r="A6" s="336"/>
      <c r="B6" s="807" t="s">
        <v>217</v>
      </c>
      <c r="C6" s="809" t="s">
        <v>218</v>
      </c>
      <c r="D6" s="811" t="s">
        <v>219</v>
      </c>
      <c r="E6" s="799" t="s">
        <v>220</v>
      </c>
      <c r="F6" s="805" t="s">
        <v>221</v>
      </c>
      <c r="G6" s="805" t="s">
        <v>222</v>
      </c>
      <c r="H6" s="801" t="s">
        <v>223</v>
      </c>
      <c r="I6" s="803" t="s">
        <v>224</v>
      </c>
      <c r="J6" s="321"/>
      <c r="K6" s="821" t="s">
        <v>41</v>
      </c>
      <c r="L6" s="321"/>
      <c r="M6" s="321"/>
      <c r="N6" s="321"/>
      <c r="O6" s="357"/>
      <c r="P6" s="332"/>
    </row>
    <row r="7" spans="1:16" ht="14.7" customHeight="1" x14ac:dyDescent="0.3">
      <c r="A7" s="336"/>
      <c r="B7" s="808"/>
      <c r="C7" s="810"/>
      <c r="D7" s="812"/>
      <c r="E7" s="800"/>
      <c r="F7" s="806"/>
      <c r="G7" s="806"/>
      <c r="H7" s="802"/>
      <c r="I7" s="804"/>
      <c r="J7" s="321"/>
      <c r="K7" s="804"/>
      <c r="L7" s="321"/>
      <c r="M7" s="321"/>
      <c r="N7" s="321"/>
      <c r="O7" s="358"/>
      <c r="P7" s="332"/>
    </row>
    <row r="8" spans="1:16" ht="14.7" customHeight="1" x14ac:dyDescent="0.3">
      <c r="A8" s="336"/>
      <c r="B8" s="31" t="s">
        <v>225</v>
      </c>
      <c r="C8" s="343" t="s">
        <v>226</v>
      </c>
      <c r="D8" s="344">
        <v>269</v>
      </c>
      <c r="E8" s="344">
        <f>D8/1000</f>
        <v>0.26900000000000002</v>
      </c>
      <c r="F8" s="344">
        <v>3042</v>
      </c>
      <c r="G8" s="345">
        <f t="shared" ref="G8:G15" si="0">F8/1000</f>
        <v>3.0419999999999998</v>
      </c>
      <c r="H8" s="312" t="s">
        <v>62</v>
      </c>
      <c r="I8" s="312" t="s">
        <v>62</v>
      </c>
      <c r="J8" s="321"/>
      <c r="K8" s="11" t="s">
        <v>52</v>
      </c>
      <c r="L8" s="321"/>
      <c r="M8" s="321"/>
      <c r="N8" s="321"/>
      <c r="O8" s="321"/>
      <c r="P8" s="332"/>
    </row>
    <row r="9" spans="1:16" x14ac:dyDescent="0.3">
      <c r="A9" s="336"/>
      <c r="B9" s="413" t="s">
        <v>227</v>
      </c>
      <c r="C9" s="414" t="s">
        <v>228</v>
      </c>
      <c r="D9" s="415">
        <v>678</v>
      </c>
      <c r="E9" s="416">
        <f t="shared" ref="E9:E29" si="1">D9/1000</f>
        <v>0.67800000000000005</v>
      </c>
      <c r="F9" s="417">
        <v>1330</v>
      </c>
      <c r="G9" s="418">
        <f t="shared" si="0"/>
        <v>1.33</v>
      </c>
      <c r="H9" s="419" t="s">
        <v>62</v>
      </c>
      <c r="I9" s="419" t="s">
        <v>62</v>
      </c>
      <c r="J9" s="321"/>
      <c r="K9" s="11" t="s">
        <v>57</v>
      </c>
      <c r="L9" s="321"/>
      <c r="M9" s="321"/>
      <c r="N9" s="321"/>
      <c r="O9" s="321"/>
      <c r="P9" s="332"/>
    </row>
    <row r="10" spans="1:16" ht="14.7" customHeight="1" x14ac:dyDescent="0.3">
      <c r="A10" s="336"/>
      <c r="B10" s="29" t="s">
        <v>229</v>
      </c>
      <c r="C10" s="346" t="s">
        <v>230</v>
      </c>
      <c r="D10" s="347">
        <v>75</v>
      </c>
      <c r="E10" s="344">
        <f t="shared" si="1"/>
        <v>7.4999999999999997E-2</v>
      </c>
      <c r="F10" s="348">
        <v>1443</v>
      </c>
      <c r="G10" s="345">
        <f t="shared" si="0"/>
        <v>1.4430000000000001</v>
      </c>
      <c r="H10" s="312" t="s">
        <v>62</v>
      </c>
      <c r="I10" s="312" t="s">
        <v>62</v>
      </c>
      <c r="J10" s="321"/>
      <c r="K10" s="11" t="s">
        <v>58</v>
      </c>
      <c r="L10" s="321"/>
      <c r="M10" s="321"/>
      <c r="N10" s="321"/>
      <c r="O10" s="321"/>
      <c r="P10" s="332"/>
    </row>
    <row r="11" spans="1:16" x14ac:dyDescent="0.3">
      <c r="A11" s="336"/>
      <c r="B11" s="413" t="s">
        <v>231</v>
      </c>
      <c r="C11" s="414" t="s">
        <v>230</v>
      </c>
      <c r="D11" s="415">
        <v>137</v>
      </c>
      <c r="E11" s="416">
        <f t="shared" si="1"/>
        <v>0.13700000000000001</v>
      </c>
      <c r="F11" s="417">
        <v>1227</v>
      </c>
      <c r="G11" s="418">
        <f t="shared" si="0"/>
        <v>1.2270000000000001</v>
      </c>
      <c r="H11" s="419" t="s">
        <v>62</v>
      </c>
      <c r="I11" s="419" t="s">
        <v>62</v>
      </c>
      <c r="J11" s="321"/>
      <c r="K11" s="9" t="s">
        <v>61</v>
      </c>
      <c r="L11" s="321"/>
      <c r="M11" s="321"/>
      <c r="N11" s="321"/>
      <c r="O11" s="321"/>
      <c r="P11" s="332"/>
    </row>
    <row r="12" spans="1:16" x14ac:dyDescent="0.3">
      <c r="A12" s="336"/>
      <c r="B12" s="29" t="s">
        <v>232</v>
      </c>
      <c r="C12" s="346" t="s">
        <v>228</v>
      </c>
      <c r="D12" s="347">
        <v>556</v>
      </c>
      <c r="E12" s="344">
        <f t="shared" si="1"/>
        <v>0.55600000000000005</v>
      </c>
      <c r="F12" s="348">
        <v>1840</v>
      </c>
      <c r="G12" s="345">
        <f t="shared" si="0"/>
        <v>1.84</v>
      </c>
      <c r="H12" s="312" t="s">
        <v>62</v>
      </c>
      <c r="I12" s="312" t="s">
        <v>62</v>
      </c>
      <c r="J12" s="321"/>
      <c r="K12" s="321"/>
      <c r="L12" s="321"/>
      <c r="M12" s="321"/>
      <c r="N12" s="321"/>
      <c r="O12" s="321"/>
      <c r="P12" s="332"/>
    </row>
    <row r="13" spans="1:16" x14ac:dyDescent="0.3">
      <c r="A13" s="336"/>
      <c r="B13" s="413" t="s">
        <v>53</v>
      </c>
      <c r="C13" s="414" t="s">
        <v>233</v>
      </c>
      <c r="D13" s="415">
        <v>238</v>
      </c>
      <c r="E13" s="416">
        <f t="shared" si="1"/>
        <v>0.23799999999999999</v>
      </c>
      <c r="F13" s="417">
        <v>1209</v>
      </c>
      <c r="G13" s="418">
        <f t="shared" si="0"/>
        <v>1.2090000000000001</v>
      </c>
      <c r="H13" s="555">
        <v>4.07</v>
      </c>
      <c r="I13" s="419" t="s">
        <v>62</v>
      </c>
      <c r="J13" s="359"/>
      <c r="K13" s="321"/>
      <c r="L13" s="321"/>
      <c r="M13" s="321"/>
      <c r="N13" s="321"/>
      <c r="O13" s="321"/>
      <c r="P13" s="332"/>
    </row>
    <row r="14" spans="1:16" x14ac:dyDescent="0.3">
      <c r="A14" s="336"/>
      <c r="B14" s="29" t="s">
        <v>234</v>
      </c>
      <c r="C14" s="346" t="s">
        <v>235</v>
      </c>
      <c r="D14" s="347">
        <v>49</v>
      </c>
      <c r="E14" s="344">
        <f t="shared" si="1"/>
        <v>4.9000000000000002E-2</v>
      </c>
      <c r="F14" s="348">
        <v>1221</v>
      </c>
      <c r="G14" s="345">
        <f t="shared" si="0"/>
        <v>1.2210000000000001</v>
      </c>
      <c r="H14" s="312" t="s">
        <v>62</v>
      </c>
      <c r="I14" s="312" t="s">
        <v>62</v>
      </c>
      <c r="J14" s="321"/>
      <c r="K14" s="360" t="s">
        <v>236</v>
      </c>
      <c r="L14" s="321"/>
      <c r="M14" s="321"/>
      <c r="N14" s="321"/>
      <c r="O14" s="321"/>
      <c r="P14" s="332"/>
    </row>
    <row r="15" spans="1:16" x14ac:dyDescent="0.3">
      <c r="A15" s="336"/>
      <c r="B15" s="413" t="s">
        <v>237</v>
      </c>
      <c r="C15" s="414" t="s">
        <v>238</v>
      </c>
      <c r="D15" s="415">
        <v>331</v>
      </c>
      <c r="E15" s="416">
        <f t="shared" si="1"/>
        <v>0.33100000000000002</v>
      </c>
      <c r="F15" s="417">
        <v>581</v>
      </c>
      <c r="G15" s="418">
        <f t="shared" si="0"/>
        <v>0.58099999999999996</v>
      </c>
      <c r="H15" s="419" t="s">
        <v>62</v>
      </c>
      <c r="I15" s="419" t="s">
        <v>62</v>
      </c>
      <c r="J15" s="321"/>
      <c r="K15" s="1" t="s">
        <v>87</v>
      </c>
      <c r="L15" s="321"/>
      <c r="M15" s="321"/>
      <c r="N15" s="321"/>
      <c r="O15" s="321"/>
      <c r="P15" s="332"/>
    </row>
    <row r="16" spans="1:16" x14ac:dyDescent="0.3">
      <c r="A16" s="336"/>
      <c r="B16" s="29" t="s">
        <v>239</v>
      </c>
      <c r="C16" s="346" t="s">
        <v>228</v>
      </c>
      <c r="D16" s="347">
        <v>684</v>
      </c>
      <c r="E16" s="344">
        <f t="shared" si="1"/>
        <v>0.68400000000000005</v>
      </c>
      <c r="F16" s="348" t="s">
        <v>62</v>
      </c>
      <c r="G16" s="349" t="s">
        <v>62</v>
      </c>
      <c r="H16" s="312" t="s">
        <v>62</v>
      </c>
      <c r="I16" s="312" t="s">
        <v>62</v>
      </c>
      <c r="J16" s="321"/>
      <c r="K16" s="1" t="s">
        <v>50</v>
      </c>
      <c r="L16" s="321"/>
      <c r="M16" s="321"/>
      <c r="N16" s="321"/>
      <c r="O16" s="321"/>
      <c r="P16" s="332"/>
    </row>
    <row r="17" spans="1:16" x14ac:dyDescent="0.3">
      <c r="A17" s="336"/>
      <c r="B17" s="413" t="s">
        <v>240</v>
      </c>
      <c r="C17" s="414" t="s">
        <v>228</v>
      </c>
      <c r="D17" s="415">
        <v>804</v>
      </c>
      <c r="E17" s="416">
        <f t="shared" si="1"/>
        <v>0.80400000000000005</v>
      </c>
      <c r="F17" s="417">
        <v>1656</v>
      </c>
      <c r="G17" s="418">
        <f>F17/1000</f>
        <v>1.6559999999999999</v>
      </c>
      <c r="H17" s="419" t="s">
        <v>62</v>
      </c>
      <c r="I17" s="419" t="s">
        <v>62</v>
      </c>
      <c r="J17" s="321"/>
      <c r="K17" s="321"/>
      <c r="L17" s="321"/>
      <c r="M17" s="321"/>
      <c r="N17" s="321"/>
      <c r="O17" s="321"/>
      <c r="P17" s="332"/>
    </row>
    <row r="18" spans="1:16" x14ac:dyDescent="0.3">
      <c r="A18" s="336"/>
      <c r="B18" s="29" t="s">
        <v>241</v>
      </c>
      <c r="C18" s="346" t="s">
        <v>226</v>
      </c>
      <c r="D18" s="347">
        <v>272</v>
      </c>
      <c r="E18" s="344">
        <f t="shared" si="1"/>
        <v>0.27200000000000002</v>
      </c>
      <c r="F18" s="348">
        <v>803</v>
      </c>
      <c r="G18" s="345">
        <f>F18/1000</f>
        <v>0.80300000000000005</v>
      </c>
      <c r="H18" s="312" t="s">
        <v>62</v>
      </c>
      <c r="I18" s="312" t="s">
        <v>62</v>
      </c>
      <c r="J18" s="321"/>
      <c r="K18" s="321"/>
      <c r="L18" s="321"/>
      <c r="M18" s="321"/>
      <c r="N18" s="321"/>
      <c r="O18" s="321"/>
      <c r="P18" s="332"/>
    </row>
    <row r="19" spans="1:16" x14ac:dyDescent="0.3">
      <c r="A19" s="336"/>
      <c r="B19" s="413" t="s">
        <v>242</v>
      </c>
      <c r="C19" s="414" t="s">
        <v>226</v>
      </c>
      <c r="D19" s="415">
        <v>470</v>
      </c>
      <c r="E19" s="416">
        <f t="shared" si="1"/>
        <v>0.47</v>
      </c>
      <c r="F19" s="417">
        <v>1784</v>
      </c>
      <c r="G19" s="418">
        <f>F19/1000</f>
        <v>1.784</v>
      </c>
      <c r="H19" s="419" t="s">
        <v>62</v>
      </c>
      <c r="I19" s="419" t="s">
        <v>62</v>
      </c>
      <c r="J19" s="321"/>
      <c r="K19" s="321"/>
      <c r="L19" s="321"/>
      <c r="M19" s="321"/>
      <c r="N19" s="321"/>
      <c r="O19" s="321"/>
      <c r="P19" s="332"/>
    </row>
    <row r="20" spans="1:16" x14ac:dyDescent="0.3">
      <c r="A20" s="336"/>
      <c r="B20" s="29" t="s">
        <v>187</v>
      </c>
      <c r="C20" s="346" t="s">
        <v>238</v>
      </c>
      <c r="D20" s="347">
        <v>17</v>
      </c>
      <c r="E20" s="344">
        <f t="shared" si="1"/>
        <v>1.7000000000000001E-2</v>
      </c>
      <c r="F20" s="348" t="s">
        <v>62</v>
      </c>
      <c r="G20" s="371" t="s">
        <v>62</v>
      </c>
      <c r="H20" s="312" t="s">
        <v>62</v>
      </c>
      <c r="I20" s="312" t="s">
        <v>62</v>
      </c>
      <c r="J20" s="321"/>
      <c r="K20" s="321"/>
      <c r="L20" s="321"/>
      <c r="M20" s="321"/>
      <c r="N20" s="321"/>
      <c r="O20" s="321"/>
      <c r="P20" s="332"/>
    </row>
    <row r="21" spans="1:16" x14ac:dyDescent="0.3">
      <c r="A21" s="336"/>
      <c r="B21" s="413" t="s">
        <v>243</v>
      </c>
      <c r="C21" s="414" t="s">
        <v>226</v>
      </c>
      <c r="D21" s="415">
        <v>439</v>
      </c>
      <c r="E21" s="416">
        <f t="shared" si="1"/>
        <v>0.439</v>
      </c>
      <c r="F21" s="417" t="s">
        <v>62</v>
      </c>
      <c r="G21" s="420" t="s">
        <v>62</v>
      </c>
      <c r="H21" s="419" t="s">
        <v>62</v>
      </c>
      <c r="I21" s="419" t="s">
        <v>62</v>
      </c>
      <c r="J21" s="321"/>
      <c r="K21" s="321"/>
      <c r="L21" s="321"/>
      <c r="M21" s="321"/>
      <c r="N21" s="321"/>
      <c r="O21" s="321"/>
      <c r="P21" s="332"/>
    </row>
    <row r="22" spans="1:16" x14ac:dyDescent="0.3">
      <c r="A22" s="336"/>
      <c r="B22" s="29" t="s">
        <v>244</v>
      </c>
      <c r="C22" s="346" t="s">
        <v>226</v>
      </c>
      <c r="D22" s="347">
        <v>314</v>
      </c>
      <c r="E22" s="344">
        <f t="shared" si="1"/>
        <v>0.314</v>
      </c>
      <c r="F22" s="348">
        <v>2244</v>
      </c>
      <c r="G22" s="345">
        <f>F22/1000</f>
        <v>2.2440000000000002</v>
      </c>
      <c r="H22" s="312" t="s">
        <v>62</v>
      </c>
      <c r="I22" s="312" t="s">
        <v>62</v>
      </c>
      <c r="J22" s="321"/>
      <c r="K22" s="321"/>
      <c r="L22" s="321"/>
      <c r="M22" s="321"/>
      <c r="N22" s="321"/>
      <c r="O22" s="321"/>
      <c r="P22" s="332"/>
    </row>
    <row r="23" spans="1:16" x14ac:dyDescent="0.3">
      <c r="A23" s="336"/>
      <c r="B23" s="413" t="s">
        <v>245</v>
      </c>
      <c r="C23" s="414" t="s">
        <v>226</v>
      </c>
      <c r="D23" s="415">
        <v>703</v>
      </c>
      <c r="E23" s="416">
        <f t="shared" si="1"/>
        <v>0.70299999999999996</v>
      </c>
      <c r="F23" s="417" t="s">
        <v>62</v>
      </c>
      <c r="G23" s="420" t="s">
        <v>62</v>
      </c>
      <c r="H23" s="419" t="s">
        <v>62</v>
      </c>
      <c r="I23" s="419" t="s">
        <v>62</v>
      </c>
      <c r="J23" s="321"/>
      <c r="K23" s="321"/>
      <c r="L23" s="321"/>
      <c r="M23" s="321"/>
      <c r="N23" s="321"/>
      <c r="O23" s="321"/>
      <c r="P23" s="332"/>
    </row>
    <row r="24" spans="1:16" x14ac:dyDescent="0.3">
      <c r="A24" s="336"/>
      <c r="B24" s="29" t="s">
        <v>246</v>
      </c>
      <c r="C24" s="346" t="s">
        <v>228</v>
      </c>
      <c r="D24" s="347">
        <v>879</v>
      </c>
      <c r="E24" s="344">
        <f t="shared" si="1"/>
        <v>0.879</v>
      </c>
      <c r="F24" s="348">
        <v>2295</v>
      </c>
      <c r="G24" s="345">
        <f>F24/1000</f>
        <v>2.2949999999999999</v>
      </c>
      <c r="H24" s="312" t="s">
        <v>62</v>
      </c>
      <c r="I24" s="312" t="s">
        <v>62</v>
      </c>
      <c r="J24" s="321"/>
      <c r="K24" s="321"/>
      <c r="L24" s="321"/>
      <c r="M24" s="321"/>
      <c r="N24" s="321"/>
      <c r="O24" s="321"/>
      <c r="P24" s="332"/>
    </row>
    <row r="25" spans="1:16" x14ac:dyDescent="0.3">
      <c r="A25" s="336"/>
      <c r="B25" s="413" t="s">
        <v>247</v>
      </c>
      <c r="C25" s="414" t="s">
        <v>228</v>
      </c>
      <c r="D25" s="415">
        <v>476</v>
      </c>
      <c r="E25" s="416">
        <f t="shared" si="1"/>
        <v>0.47599999999999998</v>
      </c>
      <c r="F25" s="417">
        <v>1750</v>
      </c>
      <c r="G25" s="418">
        <f>F25/1000</f>
        <v>1.75</v>
      </c>
      <c r="H25" s="419" t="s">
        <v>62</v>
      </c>
      <c r="I25" s="419" t="s">
        <v>62</v>
      </c>
      <c r="J25" s="321"/>
      <c r="K25" s="321"/>
      <c r="L25" s="321"/>
      <c r="M25" s="321"/>
      <c r="N25" s="321"/>
      <c r="O25" s="321"/>
      <c r="P25" s="332"/>
    </row>
    <row r="26" spans="1:16" x14ac:dyDescent="0.3">
      <c r="A26" s="336"/>
      <c r="B26" s="29" t="s">
        <v>248</v>
      </c>
      <c r="C26" s="346" t="s">
        <v>238</v>
      </c>
      <c r="D26" s="347">
        <v>441</v>
      </c>
      <c r="E26" s="344">
        <f t="shared" si="1"/>
        <v>0.441</v>
      </c>
      <c r="F26" s="348">
        <v>785</v>
      </c>
      <c r="G26" s="345">
        <f>F26/1000</f>
        <v>0.78500000000000003</v>
      </c>
      <c r="H26" s="312" t="s">
        <v>62</v>
      </c>
      <c r="I26" s="312" t="s">
        <v>62</v>
      </c>
      <c r="J26" s="321"/>
      <c r="K26" s="321"/>
      <c r="L26" s="321"/>
      <c r="M26" s="321"/>
      <c r="N26" s="321"/>
      <c r="O26" s="321"/>
      <c r="P26" s="332"/>
    </row>
    <row r="27" spans="1:16" x14ac:dyDescent="0.3">
      <c r="A27" s="336"/>
      <c r="B27" s="421" t="s">
        <v>249</v>
      </c>
      <c r="C27" s="422" t="s">
        <v>226</v>
      </c>
      <c r="D27" s="423">
        <v>196</v>
      </c>
      <c r="E27" s="416">
        <f t="shared" si="1"/>
        <v>0.19600000000000001</v>
      </c>
      <c r="F27" s="424">
        <v>1725</v>
      </c>
      <c r="G27" s="418">
        <f>F27/1000</f>
        <v>1.7250000000000001</v>
      </c>
      <c r="H27" s="419" t="s">
        <v>62</v>
      </c>
      <c r="I27" s="419" t="s">
        <v>62</v>
      </c>
      <c r="J27" s="321"/>
      <c r="K27" s="321"/>
      <c r="L27" s="321"/>
      <c r="M27" s="321"/>
      <c r="N27" s="321"/>
      <c r="O27" s="321"/>
      <c r="P27" s="332"/>
    </row>
    <row r="28" spans="1:16" x14ac:dyDescent="0.3">
      <c r="A28" s="336"/>
      <c r="B28" s="29" t="s">
        <v>250</v>
      </c>
      <c r="C28" s="350" t="s">
        <v>226</v>
      </c>
      <c r="D28" s="351">
        <v>383</v>
      </c>
      <c r="E28" s="344">
        <f t="shared" si="1"/>
        <v>0.38300000000000001</v>
      </c>
      <c r="F28" s="352">
        <v>930</v>
      </c>
      <c r="G28" s="345">
        <f>F28/1000</f>
        <v>0.93</v>
      </c>
      <c r="H28" s="312" t="s">
        <v>62</v>
      </c>
      <c r="I28" s="312" t="s">
        <v>62</v>
      </c>
      <c r="J28" s="321"/>
      <c r="K28" s="321"/>
      <c r="L28" s="321"/>
      <c r="M28" s="321"/>
      <c r="N28" s="321"/>
      <c r="O28" s="321"/>
      <c r="P28" s="332"/>
    </row>
    <row r="29" spans="1:16" x14ac:dyDescent="0.3">
      <c r="A29" s="336"/>
      <c r="B29" s="425" t="s">
        <v>251</v>
      </c>
      <c r="C29" s="426"/>
      <c r="D29" s="427">
        <v>449</v>
      </c>
      <c r="E29" s="416">
        <f t="shared" si="1"/>
        <v>0.44900000000000001</v>
      </c>
      <c r="F29" s="428">
        <f>AVERAGE(F8:F28)</f>
        <v>1521.4705882352941</v>
      </c>
      <c r="G29" s="418">
        <f>AVERAGE(G8:G28)</f>
        <v>1.5214705882352941</v>
      </c>
      <c r="H29" s="419" t="s">
        <v>62</v>
      </c>
      <c r="I29" s="419" t="s">
        <v>62</v>
      </c>
      <c r="J29" s="321"/>
      <c r="K29" s="321"/>
      <c r="L29" s="321"/>
      <c r="M29" s="321"/>
      <c r="N29" s="321"/>
      <c r="O29" s="321"/>
      <c r="P29" s="332"/>
    </row>
    <row r="30" spans="1:16" x14ac:dyDescent="0.3">
      <c r="A30" s="336"/>
      <c r="B30" s="30" t="s">
        <v>252</v>
      </c>
      <c r="C30" s="353"/>
      <c r="D30" s="354" t="s">
        <v>62</v>
      </c>
      <c r="E30" s="344"/>
      <c r="F30" s="355">
        <v>1900</v>
      </c>
      <c r="G30" s="345">
        <f>F30/1000</f>
        <v>1.9</v>
      </c>
      <c r="H30" s="312" t="s">
        <v>62</v>
      </c>
      <c r="I30" s="312" t="s">
        <v>62</v>
      </c>
      <c r="J30" s="321"/>
      <c r="K30" s="321"/>
      <c r="L30" s="321"/>
      <c r="M30" s="321"/>
      <c r="N30" s="321"/>
      <c r="O30" s="321"/>
      <c r="P30" s="332"/>
    </row>
    <row r="31" spans="1:16" x14ac:dyDescent="0.3">
      <c r="A31" s="336"/>
      <c r="B31" s="429" t="s">
        <v>59</v>
      </c>
      <c r="C31" s="430"/>
      <c r="D31" s="430"/>
      <c r="E31" s="416"/>
      <c r="F31" s="430" t="s">
        <v>62</v>
      </c>
      <c r="G31" s="430" t="s">
        <v>62</v>
      </c>
      <c r="H31" s="430" t="s">
        <v>62</v>
      </c>
      <c r="I31" s="556">
        <v>4.0999999999999996</v>
      </c>
      <c r="J31" s="359"/>
      <c r="K31" s="321"/>
      <c r="L31" s="321"/>
      <c r="M31" s="321"/>
      <c r="N31" s="321"/>
      <c r="O31" s="321"/>
      <c r="P31" s="332"/>
    </row>
    <row r="32" spans="1:16" x14ac:dyDescent="0.3">
      <c r="A32" s="336"/>
      <c r="B32" s="21" t="s">
        <v>62</v>
      </c>
      <c r="C32" s="23"/>
      <c r="D32" s="23" t="s">
        <v>62</v>
      </c>
      <c r="E32" s="344"/>
      <c r="F32" s="23" t="s">
        <v>62</v>
      </c>
      <c r="G32" s="356"/>
      <c r="H32" s="23"/>
      <c r="I32" s="23"/>
      <c r="J32" s="321"/>
      <c r="K32" s="321"/>
      <c r="L32" s="321"/>
      <c r="M32" s="321"/>
      <c r="N32" s="321"/>
      <c r="O32" s="321"/>
      <c r="P32" s="332"/>
    </row>
    <row r="33" spans="1:123" x14ac:dyDescent="0.3">
      <c r="A33" s="336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32"/>
    </row>
    <row r="34" spans="1:123" x14ac:dyDescent="0.3">
      <c r="A34" s="336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32"/>
    </row>
    <row r="35" spans="1:123" ht="15" thickBot="1" x14ac:dyDescent="0.35">
      <c r="A35" s="337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2"/>
    </row>
    <row r="36" spans="1:123" s="328" customFormat="1" ht="19.95" customHeight="1" thickBot="1" x14ac:dyDescent="0.5">
      <c r="A36" s="324"/>
      <c r="B36" s="784" t="s">
        <v>253</v>
      </c>
      <c r="C36" s="785"/>
      <c r="D36" s="78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7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</row>
    <row r="37" spans="1:123" s="328" customFormat="1" x14ac:dyDescent="0.3">
      <c r="A37" s="324"/>
      <c r="B37" s="331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7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</row>
    <row r="38" spans="1:123" s="328" customFormat="1" x14ac:dyDescent="0.3">
      <c r="A38" s="324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7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</row>
    <row r="39" spans="1:123" x14ac:dyDescent="0.3">
      <c r="A39" s="324"/>
      <c r="B39" s="831" t="s">
        <v>254</v>
      </c>
      <c r="C39" s="832"/>
      <c r="D39" s="832"/>
      <c r="E39" s="832"/>
      <c r="F39" s="833"/>
      <c r="G39" s="326"/>
      <c r="H39" s="326"/>
      <c r="I39" s="326"/>
      <c r="J39" s="326"/>
      <c r="K39" s="326"/>
      <c r="L39" s="326"/>
      <c r="M39" s="326"/>
      <c r="N39" s="326"/>
      <c r="O39" s="326"/>
      <c r="P39" s="327"/>
    </row>
    <row r="40" spans="1:123" x14ac:dyDescent="0.3">
      <c r="A40" s="324"/>
      <c r="B40" s="834"/>
      <c r="C40" s="732"/>
      <c r="D40" s="732"/>
      <c r="E40" s="732"/>
      <c r="F40" s="835"/>
      <c r="G40" s="326"/>
      <c r="H40" s="326"/>
      <c r="I40" s="326"/>
      <c r="J40" s="326"/>
      <c r="K40" s="326"/>
      <c r="L40" s="326"/>
      <c r="M40" s="326"/>
      <c r="N40" s="326"/>
      <c r="O40" s="326"/>
      <c r="P40" s="327"/>
    </row>
    <row r="41" spans="1:123" x14ac:dyDescent="0.3">
      <c r="A41" s="324"/>
      <c r="B41" s="604"/>
      <c r="C41" s="604"/>
      <c r="D41" s="604" t="s">
        <v>255</v>
      </c>
      <c r="E41" s="604" t="s">
        <v>176</v>
      </c>
      <c r="F41" s="604" t="s">
        <v>256</v>
      </c>
      <c r="G41" s="326"/>
      <c r="H41" s="326"/>
      <c r="I41" s="326"/>
      <c r="J41" s="326"/>
      <c r="K41" s="326"/>
      <c r="L41" s="326"/>
      <c r="M41" s="326"/>
      <c r="N41" s="326"/>
      <c r="O41" s="326"/>
      <c r="P41" s="327"/>
    </row>
    <row r="42" spans="1:123" x14ac:dyDescent="0.3">
      <c r="A42" s="324"/>
      <c r="B42" s="604"/>
      <c r="C42" s="604"/>
      <c r="D42" s="604"/>
      <c r="E42" s="604"/>
      <c r="F42" s="604"/>
      <c r="G42" s="326"/>
      <c r="H42" s="326"/>
      <c r="I42" s="326"/>
      <c r="J42" s="326"/>
      <c r="K42" s="326"/>
      <c r="L42" s="326"/>
      <c r="M42" s="326"/>
      <c r="N42" s="326"/>
      <c r="O42" s="326"/>
      <c r="P42" s="327"/>
    </row>
    <row r="43" spans="1:123" x14ac:dyDescent="0.3">
      <c r="A43" s="324"/>
      <c r="B43" s="606" t="s">
        <v>24</v>
      </c>
      <c r="C43" s="318" t="s">
        <v>50</v>
      </c>
      <c r="D43" s="226">
        <f>'Electric engine'!C24</f>
        <v>2140</v>
      </c>
      <c r="E43" s="840">
        <f>Manufacturing!L11</f>
        <v>2</v>
      </c>
      <c r="F43" s="225">
        <f>D43*$E$43</f>
        <v>4280</v>
      </c>
      <c r="G43" s="326"/>
      <c r="H43" s="326"/>
      <c r="I43" s="326"/>
      <c r="J43" s="326"/>
      <c r="K43" s="326"/>
      <c r="L43" s="326"/>
      <c r="M43" s="326"/>
      <c r="N43" s="326"/>
      <c r="O43" s="326"/>
      <c r="P43" s="327"/>
    </row>
    <row r="44" spans="1:123" x14ac:dyDescent="0.3">
      <c r="A44" s="324"/>
      <c r="B44" s="606"/>
      <c r="C44" s="319" t="s">
        <v>52</v>
      </c>
      <c r="D44" s="225">
        <f>SUM('Electric engine'!C15:C17)</f>
        <v>1929.7592713077424</v>
      </c>
      <c r="E44" s="841"/>
      <c r="F44" s="225">
        <f>D44*$E$43</f>
        <v>3859.5185426154849</v>
      </c>
      <c r="G44" s="326"/>
      <c r="H44" s="326"/>
      <c r="I44" s="326"/>
      <c r="J44" s="326"/>
      <c r="K44" s="326"/>
      <c r="L44" s="326"/>
      <c r="M44" s="326"/>
      <c r="N44" s="326"/>
      <c r="O44" s="326"/>
      <c r="P44" s="327"/>
    </row>
    <row r="45" spans="1:123" x14ac:dyDescent="0.3">
      <c r="A45" s="324"/>
      <c r="B45" s="606"/>
      <c r="C45" s="319" t="s">
        <v>57</v>
      </c>
      <c r="D45" s="225">
        <f>'Electric engine'!C18</f>
        <v>33.415744957709826</v>
      </c>
      <c r="E45" s="841"/>
      <c r="F45" s="225">
        <f>D45*$E$43</f>
        <v>66.831489915419652</v>
      </c>
      <c r="G45" s="326"/>
      <c r="H45" s="326"/>
      <c r="I45" s="326"/>
      <c r="J45" s="326"/>
      <c r="K45" s="326"/>
      <c r="L45" s="326"/>
      <c r="M45" s="326"/>
      <c r="N45" s="326"/>
      <c r="O45" s="326"/>
      <c r="P45" s="327"/>
    </row>
    <row r="46" spans="1:123" x14ac:dyDescent="0.3">
      <c r="A46" s="324"/>
      <c r="B46" s="606"/>
      <c r="C46" s="319" t="s">
        <v>58</v>
      </c>
      <c r="D46" s="225">
        <f>'Electric engine'!C19</f>
        <v>126.70136629798309</v>
      </c>
      <c r="E46" s="836"/>
      <c r="F46" s="225">
        <f>D46*$E$43</f>
        <v>253.40273259596617</v>
      </c>
      <c r="G46" s="326"/>
      <c r="H46" s="326"/>
      <c r="I46" s="326"/>
      <c r="J46" s="326"/>
      <c r="K46" s="326"/>
      <c r="L46" s="326"/>
      <c r="M46" s="326"/>
      <c r="N46" s="326"/>
      <c r="O46" s="326"/>
      <c r="P46" s="327"/>
    </row>
    <row r="47" spans="1:123" ht="14.7" customHeight="1" x14ac:dyDescent="0.3">
      <c r="A47" s="324"/>
      <c r="B47" s="837"/>
      <c r="C47" s="322" t="s">
        <v>69</v>
      </c>
      <c r="D47" s="323"/>
      <c r="E47" s="317"/>
      <c r="F47" s="323">
        <f>Manufacturing!I29</f>
        <v>1293.5999999999999</v>
      </c>
      <c r="G47" s="326"/>
      <c r="H47" s="326"/>
      <c r="I47" s="326"/>
      <c r="J47" s="326"/>
      <c r="K47" s="326"/>
      <c r="L47" s="326"/>
      <c r="M47" s="326"/>
      <c r="N47" s="326"/>
      <c r="O47" s="326"/>
      <c r="P47" s="327"/>
    </row>
    <row r="48" spans="1:123" ht="14.7" customHeight="1" x14ac:dyDescent="0.3">
      <c r="A48" s="324"/>
      <c r="B48" s="361"/>
      <c r="C48" s="32"/>
      <c r="D48" s="362"/>
      <c r="E48" s="363"/>
      <c r="F48" s="364"/>
      <c r="G48" s="326"/>
      <c r="H48" s="326"/>
      <c r="I48" s="326"/>
      <c r="J48" s="326"/>
      <c r="K48" s="326"/>
      <c r="L48" s="326"/>
      <c r="M48" s="326"/>
      <c r="N48" s="326"/>
      <c r="O48" s="326"/>
      <c r="P48" s="327"/>
    </row>
    <row r="49" spans="1:123" ht="14.7" customHeight="1" x14ac:dyDescent="0.3">
      <c r="A49" s="324"/>
      <c r="B49" s="837" t="s">
        <v>25</v>
      </c>
      <c r="C49" s="318" t="s">
        <v>87</v>
      </c>
      <c r="D49" s="226">
        <f>'Diesel engine'!C23</f>
        <v>1190</v>
      </c>
      <c r="E49" s="836">
        <f>Manufacturing!L42</f>
        <v>2</v>
      </c>
      <c r="F49" s="226">
        <f>D49*$E$49</f>
        <v>2380</v>
      </c>
      <c r="G49" s="326"/>
      <c r="H49" s="326"/>
      <c r="I49" s="326"/>
      <c r="J49" s="326"/>
      <c r="K49" s="326"/>
      <c r="L49" s="326"/>
      <c r="M49" s="326"/>
      <c r="N49" s="326"/>
      <c r="O49" s="326"/>
      <c r="P49" s="327"/>
    </row>
    <row r="50" spans="1:123" ht="14.7" customHeight="1" x14ac:dyDescent="0.3">
      <c r="A50" s="324"/>
      <c r="B50" s="838"/>
      <c r="C50" s="319" t="s">
        <v>52</v>
      </c>
      <c r="D50" s="225">
        <f>'Diesel engine'!Q7</f>
        <v>1118.5999999999999</v>
      </c>
      <c r="E50" s="606"/>
      <c r="F50" s="225">
        <f>D50*$E$49</f>
        <v>2237.1999999999998</v>
      </c>
      <c r="G50" s="326"/>
      <c r="H50" s="326"/>
      <c r="I50" s="326"/>
      <c r="J50" s="326"/>
      <c r="K50" s="326"/>
      <c r="L50" s="326"/>
      <c r="M50" s="326"/>
      <c r="N50" s="326"/>
      <c r="O50" s="326"/>
      <c r="P50" s="327"/>
    </row>
    <row r="51" spans="1:123" ht="14.7" customHeight="1" x14ac:dyDescent="0.3">
      <c r="A51" s="324"/>
      <c r="B51" s="838"/>
      <c r="C51" s="319"/>
      <c r="D51" s="225"/>
      <c r="E51" s="606"/>
      <c r="F51" s="130"/>
      <c r="G51" s="326"/>
      <c r="H51" s="326"/>
      <c r="I51" s="326"/>
      <c r="J51" s="326"/>
      <c r="K51" s="326"/>
      <c r="L51" s="326"/>
      <c r="M51" s="326"/>
      <c r="N51" s="326"/>
      <c r="O51" s="326"/>
      <c r="P51" s="327"/>
    </row>
    <row r="52" spans="1:123" ht="14.7" customHeight="1" x14ac:dyDescent="0.3">
      <c r="A52" s="324"/>
      <c r="B52" s="839"/>
      <c r="C52" s="319"/>
      <c r="D52" s="225"/>
      <c r="E52" s="606"/>
      <c r="F52" s="130"/>
      <c r="G52" s="326"/>
      <c r="H52" s="326"/>
      <c r="I52" s="326"/>
      <c r="J52" s="326"/>
      <c r="K52" s="326"/>
      <c r="L52" s="326"/>
      <c r="M52" s="326"/>
      <c r="N52" s="326"/>
      <c r="O52" s="326"/>
      <c r="P52" s="327"/>
    </row>
    <row r="53" spans="1:123" s="328" customFormat="1" x14ac:dyDescent="0.3">
      <c r="A53" s="324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7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</row>
    <row r="54" spans="1:123" s="328" customFormat="1" x14ac:dyDescent="0.3">
      <c r="A54" s="324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7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</row>
    <row r="55" spans="1:123" s="328" customFormat="1" ht="15" thickBot="1" x14ac:dyDescent="0.35">
      <c r="A55" s="325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3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</row>
    <row r="56" spans="1:123" ht="25.2" customHeight="1" thickBot="1" x14ac:dyDescent="0.35">
      <c r="A56" s="335"/>
      <c r="B56" s="787" t="s">
        <v>257</v>
      </c>
      <c r="C56" s="788"/>
      <c r="D56" s="78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40"/>
    </row>
    <row r="57" spans="1:123" ht="15" customHeight="1" x14ac:dyDescent="0.3">
      <c r="A57" s="336"/>
      <c r="B57" s="365"/>
      <c r="C57" s="365"/>
      <c r="D57" s="365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32"/>
    </row>
    <row r="58" spans="1:123" ht="15" customHeight="1" x14ac:dyDescent="0.3">
      <c r="A58" s="336"/>
      <c r="B58" s="338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32"/>
    </row>
    <row r="59" spans="1:123" x14ac:dyDescent="0.3">
      <c r="A59" s="336"/>
      <c r="B59" s="817" t="s">
        <v>258</v>
      </c>
      <c r="C59" s="824" t="s">
        <v>259</v>
      </c>
      <c r="D59" s="824" t="s">
        <v>260</v>
      </c>
      <c r="E59" s="815" t="s">
        <v>261</v>
      </c>
      <c r="F59" s="822" t="s">
        <v>110</v>
      </c>
      <c r="G59" s="813" t="s">
        <v>262</v>
      </c>
      <c r="H59" s="815" t="s">
        <v>263</v>
      </c>
      <c r="I59" s="822" t="s">
        <v>264</v>
      </c>
      <c r="J59" s="822" t="s">
        <v>265</v>
      </c>
      <c r="K59" s="813" t="s">
        <v>104</v>
      </c>
      <c r="L59" s="824" t="s">
        <v>114</v>
      </c>
      <c r="M59" s="824" t="s">
        <v>266</v>
      </c>
      <c r="N59" s="815" t="s">
        <v>267</v>
      </c>
      <c r="O59" s="321"/>
      <c r="P59" s="332"/>
    </row>
    <row r="60" spans="1:123" x14ac:dyDescent="0.3">
      <c r="A60" s="336"/>
      <c r="B60" s="818"/>
      <c r="C60" s="826"/>
      <c r="D60" s="825"/>
      <c r="E60" s="830"/>
      <c r="F60" s="823"/>
      <c r="G60" s="814"/>
      <c r="H60" s="816"/>
      <c r="I60" s="823"/>
      <c r="J60" s="823"/>
      <c r="K60" s="814"/>
      <c r="L60" s="825"/>
      <c r="M60" s="826"/>
      <c r="N60" s="816"/>
      <c r="O60" s="321"/>
      <c r="P60" s="332"/>
    </row>
    <row r="61" spans="1:123" x14ac:dyDescent="0.3">
      <c r="A61" s="336"/>
      <c r="B61" s="82" t="s">
        <v>268</v>
      </c>
      <c r="C61" s="3">
        <v>5.5</v>
      </c>
      <c r="D61" s="85">
        <v>14</v>
      </c>
      <c r="E61" s="86">
        <f>D61-C61</f>
        <v>8.5</v>
      </c>
      <c r="F61" s="90">
        <v>0.22500000000000001</v>
      </c>
      <c r="G61" s="8">
        <v>0.27500000000000002</v>
      </c>
      <c r="H61" s="132">
        <f>(G61-F61)/E61</f>
        <v>5.8823529411764722E-3</v>
      </c>
      <c r="I61" s="10"/>
      <c r="J61" s="135">
        <f>F61+H61*I61</f>
        <v>0.22500000000000001</v>
      </c>
      <c r="K61" s="3"/>
      <c r="L61" s="144" t="s">
        <v>151</v>
      </c>
      <c r="M61" s="10">
        <v>2.6</v>
      </c>
      <c r="N61" s="147">
        <f>J61*K61*M61</f>
        <v>0</v>
      </c>
      <c r="O61" s="321"/>
      <c r="P61" s="332"/>
    </row>
    <row r="62" spans="1:123" x14ac:dyDescent="0.3">
      <c r="A62" s="336"/>
      <c r="B62" s="83" t="s">
        <v>269</v>
      </c>
      <c r="C62" s="3">
        <v>10</v>
      </c>
      <c r="D62" s="65">
        <v>24</v>
      </c>
      <c r="E62" s="86">
        <f>D62-C62</f>
        <v>14</v>
      </c>
      <c r="F62" s="83">
        <v>0.27500000000000002</v>
      </c>
      <c r="G62" s="87">
        <v>0.35</v>
      </c>
      <c r="H62" s="133">
        <f>(G62-F62)/E62</f>
        <v>5.3571428571428537E-3</v>
      </c>
      <c r="I62" s="11"/>
      <c r="J62" s="136">
        <f>F62+H62*I62</f>
        <v>0.27500000000000002</v>
      </c>
      <c r="K62" s="3"/>
      <c r="L62" s="145" t="s">
        <v>151</v>
      </c>
      <c r="M62" s="11">
        <v>2.6</v>
      </c>
      <c r="N62" s="148">
        <f>J62*K62*M62</f>
        <v>0</v>
      </c>
      <c r="O62" s="321"/>
      <c r="P62" s="332"/>
    </row>
    <row r="63" spans="1:123" x14ac:dyDescent="0.3">
      <c r="A63" s="336"/>
      <c r="B63" s="83" t="s">
        <v>120</v>
      </c>
      <c r="C63" s="3">
        <v>14</v>
      </c>
      <c r="D63" s="65">
        <v>40</v>
      </c>
      <c r="E63" s="86">
        <f>D63-C63</f>
        <v>26</v>
      </c>
      <c r="F63" s="83">
        <v>0.23499999999999999</v>
      </c>
      <c r="G63" s="87">
        <v>0.32</v>
      </c>
      <c r="H63" s="133">
        <f>(G63-F63)/E63</f>
        <v>3.2692307692307699E-3</v>
      </c>
      <c r="I63" s="11"/>
      <c r="J63" s="136">
        <f>F63+H63*I63</f>
        <v>0.23499999999999999</v>
      </c>
      <c r="K63" s="3"/>
      <c r="L63" s="145" t="s">
        <v>151</v>
      </c>
      <c r="M63" s="11">
        <v>2.6</v>
      </c>
      <c r="N63" s="148">
        <f>J63*K63*M63</f>
        <v>0</v>
      </c>
      <c r="O63" s="321"/>
      <c r="P63" s="332"/>
    </row>
    <row r="64" spans="1:123" x14ac:dyDescent="0.3">
      <c r="A64" s="336"/>
      <c r="B64" s="84" t="s">
        <v>270</v>
      </c>
      <c r="C64" s="64">
        <v>20</v>
      </c>
      <c r="D64" s="66">
        <v>60</v>
      </c>
      <c r="E64" s="88">
        <f>D64-C64</f>
        <v>40</v>
      </c>
      <c r="F64" s="91">
        <v>0.29499999999999998</v>
      </c>
      <c r="G64" s="89">
        <v>0.48</v>
      </c>
      <c r="H64" s="134">
        <f>(G64-F64)/E64</f>
        <v>4.6249999999999998E-3</v>
      </c>
      <c r="I64" s="9"/>
      <c r="J64" s="137">
        <f>F64+H64*I64</f>
        <v>0.29499999999999998</v>
      </c>
      <c r="K64" s="64"/>
      <c r="L64" s="146" t="s">
        <v>151</v>
      </c>
      <c r="M64" s="9">
        <v>2.6</v>
      </c>
      <c r="N64" s="149">
        <f>J64*K64*M64</f>
        <v>0</v>
      </c>
      <c r="O64" s="321"/>
      <c r="P64" s="332"/>
    </row>
    <row r="65" spans="1:16" s="60" customFormat="1" x14ac:dyDescent="0.3">
      <c r="A65" s="336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32"/>
    </row>
    <row r="66" spans="1:16" s="60" customFormat="1" x14ac:dyDescent="0.3">
      <c r="A66" s="336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32"/>
    </row>
    <row r="67" spans="1:16" s="60" customFormat="1" ht="15" thickBot="1" x14ac:dyDescent="0.35">
      <c r="A67" s="337"/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2"/>
    </row>
    <row r="68" spans="1:16" ht="25.2" customHeight="1" thickBot="1" x14ac:dyDescent="0.5">
      <c r="A68" s="464"/>
      <c r="B68" s="790" t="s">
        <v>271</v>
      </c>
      <c r="C68" s="791"/>
      <c r="D68" s="792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5"/>
    </row>
    <row r="69" spans="1:16" ht="15" customHeight="1" x14ac:dyDescent="0.45">
      <c r="A69" s="324"/>
      <c r="B69" s="366"/>
      <c r="C69" s="366"/>
      <c r="D69" s="36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7"/>
    </row>
    <row r="70" spans="1:16" ht="15" customHeight="1" x14ac:dyDescent="0.3">
      <c r="A70" s="324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7"/>
    </row>
    <row r="71" spans="1:16" ht="25.8" x14ac:dyDescent="0.3">
      <c r="A71" s="324"/>
      <c r="B71" s="829" t="s">
        <v>272</v>
      </c>
      <c r="C71" s="829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326"/>
      <c r="P71" s="327"/>
    </row>
    <row r="72" spans="1:16" ht="14.7" customHeight="1" x14ac:dyDescent="0.3">
      <c r="A72" s="324"/>
      <c r="B72" s="828" t="s">
        <v>273</v>
      </c>
      <c r="C72" s="827" t="s">
        <v>274</v>
      </c>
      <c r="D72" s="827"/>
      <c r="E72" s="827"/>
      <c r="F72" s="827"/>
      <c r="G72" s="827" t="s">
        <v>275</v>
      </c>
      <c r="H72" s="827"/>
      <c r="I72" s="827"/>
      <c r="J72" s="827"/>
      <c r="K72" s="827" t="s">
        <v>276</v>
      </c>
      <c r="L72" s="828"/>
      <c r="M72" s="828"/>
      <c r="N72" s="828"/>
      <c r="O72" s="326"/>
      <c r="P72" s="327"/>
    </row>
    <row r="73" spans="1:16" x14ac:dyDescent="0.3">
      <c r="A73" s="324"/>
      <c r="B73" s="828"/>
      <c r="C73" s="827"/>
      <c r="D73" s="827"/>
      <c r="E73" s="827"/>
      <c r="F73" s="827"/>
      <c r="G73" s="827"/>
      <c r="H73" s="827"/>
      <c r="I73" s="827"/>
      <c r="J73" s="827"/>
      <c r="K73" s="828"/>
      <c r="L73" s="828"/>
      <c r="M73" s="828"/>
      <c r="N73" s="828"/>
      <c r="O73" s="326"/>
      <c r="P73" s="327"/>
    </row>
    <row r="74" spans="1:16" ht="14.7" customHeight="1" x14ac:dyDescent="0.3">
      <c r="A74" s="324"/>
      <c r="B74" s="828"/>
      <c r="C74" s="827" t="s">
        <v>277</v>
      </c>
      <c r="D74" s="827" t="s">
        <v>278</v>
      </c>
      <c r="E74" s="827" t="s">
        <v>143</v>
      </c>
      <c r="F74" s="827" t="s">
        <v>279</v>
      </c>
      <c r="G74" s="827" t="s">
        <v>277</v>
      </c>
      <c r="H74" s="827" t="s">
        <v>278</v>
      </c>
      <c r="I74" s="827" t="s">
        <v>143</v>
      </c>
      <c r="J74" s="827" t="s">
        <v>279</v>
      </c>
      <c r="K74" s="827" t="s">
        <v>277</v>
      </c>
      <c r="L74" s="827" t="s">
        <v>278</v>
      </c>
      <c r="M74" s="827" t="s">
        <v>143</v>
      </c>
      <c r="N74" s="827" t="s">
        <v>279</v>
      </c>
      <c r="O74" s="326"/>
      <c r="P74" s="327"/>
    </row>
    <row r="75" spans="1:16" x14ac:dyDescent="0.3">
      <c r="A75" s="324"/>
      <c r="B75" s="828"/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326"/>
      <c r="P75" s="327"/>
    </row>
    <row r="76" spans="1:16" ht="50.7" customHeight="1" x14ac:dyDescent="0.3">
      <c r="A76" s="324"/>
      <c r="B76" s="828"/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326"/>
      <c r="P76" s="327"/>
    </row>
    <row r="77" spans="1:16" x14ac:dyDescent="0.3">
      <c r="A77" s="324"/>
      <c r="B77" s="462" t="s">
        <v>280</v>
      </c>
      <c r="C77" s="497">
        <v>100</v>
      </c>
      <c r="D77" s="12">
        <v>5</v>
      </c>
      <c r="E77" s="497">
        <v>374</v>
      </c>
      <c r="F77" s="497">
        <v>694</v>
      </c>
      <c r="G77" s="497">
        <v>104</v>
      </c>
      <c r="H77" s="497">
        <v>4.4000000000000004</v>
      </c>
      <c r="I77" s="497">
        <v>327</v>
      </c>
      <c r="J77" s="497">
        <v>703</v>
      </c>
      <c r="K77" s="497">
        <v>117</v>
      </c>
      <c r="L77" s="497">
        <v>6.4</v>
      </c>
      <c r="M77" s="497">
        <v>480</v>
      </c>
      <c r="N77" s="497">
        <v>717</v>
      </c>
      <c r="O77" s="326"/>
      <c r="P77" s="327"/>
    </row>
    <row r="78" spans="1:16" x14ac:dyDescent="0.3">
      <c r="A78" s="324"/>
      <c r="B78" s="462" t="s">
        <v>281</v>
      </c>
      <c r="C78" s="497">
        <v>108</v>
      </c>
      <c r="D78" s="12">
        <v>5</v>
      </c>
      <c r="E78" s="497">
        <v>87</v>
      </c>
      <c r="F78" s="497">
        <v>161</v>
      </c>
      <c r="G78" s="497">
        <v>112</v>
      </c>
      <c r="H78" s="497">
        <v>4.4000000000000004</v>
      </c>
      <c r="I78" s="497">
        <v>76</v>
      </c>
      <c r="J78" s="497">
        <v>162</v>
      </c>
      <c r="K78" s="497">
        <v>128</v>
      </c>
      <c r="L78" s="497">
        <v>6.4</v>
      </c>
      <c r="M78" s="497">
        <v>109</v>
      </c>
      <c r="N78" s="497">
        <v>162</v>
      </c>
      <c r="O78" s="326"/>
      <c r="P78" s="327"/>
    </row>
    <row r="79" spans="1:16" x14ac:dyDescent="0.3">
      <c r="A79" s="324"/>
      <c r="B79" s="462" t="s">
        <v>282</v>
      </c>
      <c r="C79" s="497">
        <v>110</v>
      </c>
      <c r="D79" s="12">
        <v>4.9000000000000004</v>
      </c>
      <c r="E79" s="497">
        <v>366</v>
      </c>
      <c r="F79" s="497">
        <v>641</v>
      </c>
      <c r="G79" s="497">
        <v>110</v>
      </c>
      <c r="H79" s="497">
        <v>4.3</v>
      </c>
      <c r="I79" s="497">
        <v>319</v>
      </c>
      <c r="J79" s="497">
        <v>648</v>
      </c>
      <c r="K79" s="497">
        <v>123</v>
      </c>
      <c r="L79" s="497">
        <v>6.3</v>
      </c>
      <c r="M79" s="497">
        <v>466</v>
      </c>
      <c r="N79" s="497">
        <v>649</v>
      </c>
      <c r="O79" s="326"/>
      <c r="P79" s="327"/>
    </row>
    <row r="80" spans="1:16" x14ac:dyDescent="0.3">
      <c r="A80" s="324"/>
      <c r="B80" s="462" t="s">
        <v>283</v>
      </c>
      <c r="C80" s="497">
        <v>141</v>
      </c>
      <c r="D80" s="12">
        <v>4.0999999999999996</v>
      </c>
      <c r="E80" s="497">
        <v>255</v>
      </c>
      <c r="F80" s="497">
        <v>413</v>
      </c>
      <c r="G80" s="497">
        <v>125</v>
      </c>
      <c r="H80" s="497">
        <v>3.3</v>
      </c>
      <c r="I80" s="497">
        <v>193</v>
      </c>
      <c r="J80" s="497">
        <v>370</v>
      </c>
      <c r="K80" s="497">
        <v>141</v>
      </c>
      <c r="L80" s="497">
        <v>5.3</v>
      </c>
      <c r="M80" s="497">
        <v>344</v>
      </c>
      <c r="N80" s="497">
        <v>457</v>
      </c>
      <c r="O80" s="326"/>
      <c r="P80" s="327"/>
    </row>
    <row r="81" spans="1:16" ht="28.8" x14ac:dyDescent="0.3">
      <c r="A81" s="324"/>
      <c r="B81" s="462" t="s">
        <v>284</v>
      </c>
      <c r="C81" s="497">
        <v>134</v>
      </c>
      <c r="D81" s="12">
        <v>2.8</v>
      </c>
      <c r="E81" s="497">
        <v>55</v>
      </c>
      <c r="F81" s="497">
        <v>116</v>
      </c>
      <c r="G81" s="497">
        <v>119</v>
      </c>
      <c r="H81" s="497">
        <v>2.2000000000000002</v>
      </c>
      <c r="I81" s="497">
        <v>44</v>
      </c>
      <c r="J81" s="497">
        <v>108</v>
      </c>
      <c r="K81" s="497">
        <v>138</v>
      </c>
      <c r="L81" s="497">
        <v>3.9</v>
      </c>
      <c r="M81" s="497">
        <v>74</v>
      </c>
      <c r="N81" s="497">
        <v>125</v>
      </c>
      <c r="O81" s="326"/>
      <c r="P81" s="327"/>
    </row>
    <row r="82" spans="1:16" x14ac:dyDescent="0.3">
      <c r="A82" s="324"/>
      <c r="B82" s="462" t="s">
        <v>285</v>
      </c>
      <c r="C82" s="497">
        <v>135</v>
      </c>
      <c r="D82" s="12">
        <v>1.8</v>
      </c>
      <c r="E82" s="497">
        <v>37</v>
      </c>
      <c r="F82" s="497">
        <v>75</v>
      </c>
      <c r="G82" s="497">
        <v>116</v>
      </c>
      <c r="H82" s="497">
        <v>1.5</v>
      </c>
      <c r="I82" s="497">
        <v>31</v>
      </c>
      <c r="J82" s="497">
        <v>75</v>
      </c>
      <c r="K82" s="497">
        <v>131</v>
      </c>
      <c r="L82" s="497">
        <v>2.2000000000000002</v>
      </c>
      <c r="M82" s="497">
        <v>46</v>
      </c>
      <c r="N82" s="497">
        <v>75</v>
      </c>
      <c r="O82" s="326"/>
      <c r="P82" s="327"/>
    </row>
    <row r="83" spans="1:16" ht="28.95" customHeight="1" x14ac:dyDescent="0.3">
      <c r="A83" s="324"/>
      <c r="B83" s="463" t="s">
        <v>286</v>
      </c>
      <c r="C83" s="497" t="s">
        <v>155</v>
      </c>
      <c r="D83" s="12">
        <v>3.4</v>
      </c>
      <c r="E83" s="497">
        <v>105</v>
      </c>
      <c r="F83" s="497">
        <v>188</v>
      </c>
      <c r="G83" s="497" t="s">
        <v>155</v>
      </c>
      <c r="H83" s="497">
        <v>2.9</v>
      </c>
      <c r="I83" s="497">
        <v>92</v>
      </c>
      <c r="J83" s="497" t="s">
        <v>155</v>
      </c>
      <c r="K83" s="497">
        <v>158</v>
      </c>
      <c r="L83" s="497">
        <v>4.3</v>
      </c>
      <c r="M83" s="497">
        <v>136</v>
      </c>
      <c r="N83" s="497">
        <v>194</v>
      </c>
      <c r="O83" s="326"/>
      <c r="P83" s="327"/>
    </row>
    <row r="84" spans="1:16" x14ac:dyDescent="0.3">
      <c r="A84" s="324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7"/>
    </row>
    <row r="85" spans="1:16" x14ac:dyDescent="0.3">
      <c r="A85" s="324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7"/>
    </row>
    <row r="86" spans="1:16" x14ac:dyDescent="0.3">
      <c r="A86" s="324"/>
      <c r="B86" s="326"/>
      <c r="C86" s="333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7"/>
    </row>
    <row r="87" spans="1:16" x14ac:dyDescent="0.3">
      <c r="A87" s="324"/>
      <c r="B87" s="819" t="s">
        <v>287</v>
      </c>
      <c r="C87" s="820" t="s">
        <v>194</v>
      </c>
      <c r="D87" s="820" t="s">
        <v>288</v>
      </c>
      <c r="E87" s="819" t="s">
        <v>289</v>
      </c>
      <c r="F87" s="819" t="s">
        <v>290</v>
      </c>
      <c r="G87" s="819" t="s">
        <v>139</v>
      </c>
      <c r="H87" s="819" t="s">
        <v>104</v>
      </c>
      <c r="I87" s="819" t="s">
        <v>291</v>
      </c>
      <c r="J87" s="819" t="s">
        <v>292</v>
      </c>
      <c r="K87" s="819" t="s">
        <v>143</v>
      </c>
      <c r="L87" s="819" t="s">
        <v>144</v>
      </c>
      <c r="M87" s="819" t="s">
        <v>145</v>
      </c>
      <c r="N87" s="819" t="s">
        <v>146</v>
      </c>
      <c r="O87" s="326"/>
      <c r="P87" s="327"/>
    </row>
    <row r="88" spans="1:16" x14ac:dyDescent="0.3">
      <c r="A88" s="324"/>
      <c r="B88" s="819"/>
      <c r="C88" s="820"/>
      <c r="D88" s="820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326"/>
      <c r="P88" s="327"/>
    </row>
    <row r="89" spans="1:16" x14ac:dyDescent="0.3">
      <c r="A89" s="324"/>
      <c r="B89" s="457" t="s">
        <v>168</v>
      </c>
      <c r="C89" s="1" t="s">
        <v>293</v>
      </c>
      <c r="D89" s="457" t="s">
        <v>294</v>
      </c>
      <c r="E89" s="452">
        <v>120</v>
      </c>
      <c r="F89" s="458" t="s">
        <v>280</v>
      </c>
      <c r="G89" s="1">
        <v>500</v>
      </c>
      <c r="H89" s="458">
        <v>4.3</v>
      </c>
      <c r="I89" s="37">
        <f t="shared" ref="I89:I96" si="2">20/60</f>
        <v>0.33333333333333331</v>
      </c>
      <c r="J89" s="458">
        <f t="shared" ref="J89:J97" si="3">H89/I89</f>
        <v>12.9</v>
      </c>
      <c r="K89" s="458">
        <f>VLOOKUP(F89,Calculations!$B$77:$N$83,8,FALSE)</f>
        <v>327</v>
      </c>
      <c r="L89" s="1" t="s">
        <v>155</v>
      </c>
      <c r="M89" s="1" t="s">
        <v>155</v>
      </c>
      <c r="N89" s="37">
        <f>(K89*E89*H89)/1000</f>
        <v>168.732</v>
      </c>
      <c r="O89" s="326"/>
      <c r="P89" s="327"/>
    </row>
    <row r="90" spans="1:16" x14ac:dyDescent="0.3">
      <c r="A90" s="324"/>
      <c r="B90" s="457" t="s">
        <v>295</v>
      </c>
      <c r="C90" s="1" t="s">
        <v>293</v>
      </c>
      <c r="D90" s="457" t="s">
        <v>294</v>
      </c>
      <c r="E90" s="452">
        <v>120</v>
      </c>
      <c r="F90" s="458" t="s">
        <v>280</v>
      </c>
      <c r="G90" s="1">
        <v>500</v>
      </c>
      <c r="H90" s="458">
        <v>4.3</v>
      </c>
      <c r="I90" s="37">
        <f t="shared" si="2"/>
        <v>0.33333333333333331</v>
      </c>
      <c r="J90" s="458">
        <f t="shared" si="3"/>
        <v>12.9</v>
      </c>
      <c r="K90" s="458">
        <f>VLOOKUP(F90,Calculations!$B$77:$N$83,8,FALSE)</f>
        <v>327</v>
      </c>
      <c r="L90" s="1" t="s">
        <v>155</v>
      </c>
      <c r="M90" s="1" t="s">
        <v>155</v>
      </c>
      <c r="N90" s="37">
        <f t="shared" ref="N90:N96" si="4">(K90*E90*H90)/1000</f>
        <v>168.732</v>
      </c>
      <c r="O90" s="326"/>
      <c r="P90" s="327"/>
    </row>
    <row r="91" spans="1:16" x14ac:dyDescent="0.3">
      <c r="A91" s="324"/>
      <c r="B91" s="457" t="s">
        <v>296</v>
      </c>
      <c r="C91" s="1" t="s">
        <v>293</v>
      </c>
      <c r="D91" s="457" t="s">
        <v>294</v>
      </c>
      <c r="E91" s="452">
        <v>120</v>
      </c>
      <c r="F91" s="458" t="s">
        <v>280</v>
      </c>
      <c r="G91" s="1">
        <v>500</v>
      </c>
      <c r="H91" s="458">
        <v>4.3</v>
      </c>
      <c r="I91" s="37">
        <f>20/60</f>
        <v>0.33333333333333331</v>
      </c>
      <c r="J91" s="458">
        <f t="shared" si="3"/>
        <v>12.9</v>
      </c>
      <c r="K91" s="458">
        <f>VLOOKUP(F91,Calculations!$B$77:$N$83,8,FALSE)</f>
        <v>327</v>
      </c>
      <c r="L91" s="1" t="s">
        <v>155</v>
      </c>
      <c r="M91" s="1" t="s">
        <v>155</v>
      </c>
      <c r="N91" s="37">
        <f t="shared" si="4"/>
        <v>168.732</v>
      </c>
      <c r="O91" s="326"/>
      <c r="P91" s="327"/>
    </row>
    <row r="92" spans="1:16" x14ac:dyDescent="0.3">
      <c r="A92" s="324"/>
      <c r="B92" s="457" t="s">
        <v>297</v>
      </c>
      <c r="C92" s="1" t="s">
        <v>293</v>
      </c>
      <c r="D92" s="457" t="s">
        <v>294</v>
      </c>
      <c r="E92" s="452">
        <v>120</v>
      </c>
      <c r="F92" s="458" t="s">
        <v>298</v>
      </c>
      <c r="G92" s="1">
        <f>AVERAGE(G89:G91)</f>
        <v>500</v>
      </c>
      <c r="H92" s="458">
        <v>4.3</v>
      </c>
      <c r="I92" s="37">
        <f t="shared" si="2"/>
        <v>0.33333333333333331</v>
      </c>
      <c r="J92" s="458">
        <f t="shared" si="3"/>
        <v>12.9</v>
      </c>
      <c r="K92" s="459">
        <f>AVERAGE(K89:K91)</f>
        <v>327</v>
      </c>
      <c r="L92" s="1" t="s">
        <v>155</v>
      </c>
      <c r="M92" s="1" t="s">
        <v>155</v>
      </c>
      <c r="N92" s="37">
        <f t="shared" si="4"/>
        <v>168.732</v>
      </c>
      <c r="O92" s="326"/>
      <c r="P92" s="327"/>
    </row>
    <row r="93" spans="1:16" x14ac:dyDescent="0.3">
      <c r="A93" s="324"/>
      <c r="B93" s="458" t="s">
        <v>169</v>
      </c>
      <c r="C93" s="1" t="s">
        <v>299</v>
      </c>
      <c r="D93" s="457" t="s">
        <v>294</v>
      </c>
      <c r="E93" s="452">
        <v>120</v>
      </c>
      <c r="F93" s="458" t="s">
        <v>280</v>
      </c>
      <c r="G93" s="1">
        <v>500</v>
      </c>
      <c r="H93" s="458">
        <v>5.8</v>
      </c>
      <c r="I93" s="37">
        <f t="shared" si="2"/>
        <v>0.33333333333333331</v>
      </c>
      <c r="J93" s="458">
        <f t="shared" si="3"/>
        <v>17.400000000000002</v>
      </c>
      <c r="K93" s="458">
        <f>VLOOKUP(F93,Calculations!$B$77:$N$83,8,FALSE)</f>
        <v>327</v>
      </c>
      <c r="L93" s="1" t="s">
        <v>155</v>
      </c>
      <c r="M93" s="1" t="s">
        <v>155</v>
      </c>
      <c r="N93" s="37">
        <f t="shared" si="4"/>
        <v>227.59200000000001</v>
      </c>
      <c r="O93" s="326"/>
      <c r="P93" s="327"/>
    </row>
    <row r="94" spans="1:16" x14ac:dyDescent="0.3">
      <c r="A94" s="324"/>
      <c r="B94" s="457" t="s">
        <v>300</v>
      </c>
      <c r="C94" s="1" t="s">
        <v>299</v>
      </c>
      <c r="D94" s="457" t="s">
        <v>294</v>
      </c>
      <c r="E94" s="452">
        <v>120</v>
      </c>
      <c r="F94" s="458" t="s">
        <v>285</v>
      </c>
      <c r="G94" s="1">
        <v>350</v>
      </c>
      <c r="H94" s="458">
        <v>5.8</v>
      </c>
      <c r="I94" s="37">
        <f t="shared" si="2"/>
        <v>0.33333333333333331</v>
      </c>
      <c r="J94" s="458">
        <f t="shared" si="3"/>
        <v>17.400000000000002</v>
      </c>
      <c r="K94" s="458">
        <f>VLOOKUP(F94,Calculations!$B$77:$N$83,8,FALSE)</f>
        <v>31</v>
      </c>
      <c r="L94" s="1" t="s">
        <v>155</v>
      </c>
      <c r="M94" s="1" t="s">
        <v>155</v>
      </c>
      <c r="N94" s="37">
        <f t="shared" si="4"/>
        <v>21.576000000000001</v>
      </c>
      <c r="O94" s="326"/>
      <c r="P94" s="327"/>
    </row>
    <row r="95" spans="1:16" x14ac:dyDescent="0.3">
      <c r="A95" s="324"/>
      <c r="B95" s="457" t="s">
        <v>301</v>
      </c>
      <c r="C95" s="1" t="s">
        <v>299</v>
      </c>
      <c r="D95" s="457" t="s">
        <v>294</v>
      </c>
      <c r="E95" s="452">
        <v>120</v>
      </c>
      <c r="F95" s="458" t="s">
        <v>280</v>
      </c>
      <c r="G95" s="1">
        <v>350</v>
      </c>
      <c r="H95" s="458">
        <v>5.8</v>
      </c>
      <c r="I95" s="37">
        <f t="shared" si="2"/>
        <v>0.33333333333333331</v>
      </c>
      <c r="J95" s="458">
        <f t="shared" si="3"/>
        <v>17.400000000000002</v>
      </c>
      <c r="K95" s="458">
        <f>VLOOKUP(F95,Calculations!$B$77:$N$83,8,FALSE)</f>
        <v>327</v>
      </c>
      <c r="L95" s="1" t="s">
        <v>155</v>
      </c>
      <c r="M95" s="1" t="s">
        <v>155</v>
      </c>
      <c r="N95" s="37">
        <f t="shared" si="4"/>
        <v>227.59200000000001</v>
      </c>
      <c r="O95" s="326"/>
      <c r="P95" s="327"/>
    </row>
    <row r="96" spans="1:16" x14ac:dyDescent="0.3">
      <c r="A96" s="324"/>
      <c r="B96" s="457" t="s">
        <v>302</v>
      </c>
      <c r="C96" s="1" t="s">
        <v>299</v>
      </c>
      <c r="D96" s="457" t="s">
        <v>294</v>
      </c>
      <c r="E96" s="452">
        <v>120</v>
      </c>
      <c r="F96" s="458" t="s">
        <v>298</v>
      </c>
      <c r="G96" s="1">
        <f>AVERAGE(G93:G95)</f>
        <v>400</v>
      </c>
      <c r="H96" s="458">
        <v>5.8</v>
      </c>
      <c r="I96" s="37">
        <f t="shared" si="2"/>
        <v>0.33333333333333331</v>
      </c>
      <c r="J96" s="458">
        <f t="shared" si="3"/>
        <v>17.400000000000002</v>
      </c>
      <c r="K96" s="459">
        <f>AVERAGE(K93:K95)</f>
        <v>228.33333333333334</v>
      </c>
      <c r="L96" s="1" t="s">
        <v>155</v>
      </c>
      <c r="M96" s="1" t="s">
        <v>155</v>
      </c>
      <c r="N96" s="37">
        <f t="shared" si="4"/>
        <v>158.91999999999999</v>
      </c>
      <c r="O96" s="326"/>
      <c r="P96" s="327"/>
    </row>
    <row r="97" spans="1:17" x14ac:dyDescent="0.3">
      <c r="A97" s="324"/>
      <c r="B97" s="35" t="s">
        <v>150</v>
      </c>
      <c r="C97" s="16" t="s">
        <v>152</v>
      </c>
      <c r="D97" s="35" t="s">
        <v>303</v>
      </c>
      <c r="E97" s="312" t="s">
        <v>155</v>
      </c>
      <c r="F97" s="27" t="s">
        <v>151</v>
      </c>
      <c r="G97" s="143">
        <v>4150</v>
      </c>
      <c r="H97" s="27">
        <v>95.8</v>
      </c>
      <c r="I97" s="1">
        <v>4.5</v>
      </c>
      <c r="J97" s="36">
        <f t="shared" si="3"/>
        <v>21.288888888888888</v>
      </c>
      <c r="K97" s="402" t="s">
        <v>155</v>
      </c>
      <c r="L97" s="1">
        <v>14866</v>
      </c>
      <c r="M97" s="1">
        <f>E106</f>
        <v>686</v>
      </c>
      <c r="N97" s="37">
        <f>(M97*L97*I97)/1000</f>
        <v>45891.341999999997</v>
      </c>
      <c r="O97" s="326"/>
      <c r="P97" s="327"/>
    </row>
    <row r="98" spans="1:17" x14ac:dyDescent="0.3">
      <c r="A98" s="324"/>
      <c r="B98" s="460" t="s">
        <v>154</v>
      </c>
      <c r="C98" s="16" t="s">
        <v>153</v>
      </c>
      <c r="D98" s="35" t="s">
        <v>304</v>
      </c>
      <c r="E98" s="312" t="s">
        <v>155</v>
      </c>
      <c r="F98" s="27" t="s">
        <v>151</v>
      </c>
      <c r="G98" s="143">
        <v>216900</v>
      </c>
      <c r="H98" s="27">
        <v>22737</v>
      </c>
      <c r="I98" s="6">
        <f>H98/J98</f>
        <v>558.64864864864865</v>
      </c>
      <c r="J98" s="36">
        <v>40.700000000000003</v>
      </c>
      <c r="K98" s="402" t="s">
        <v>155</v>
      </c>
      <c r="L98" s="1">
        <v>63840</v>
      </c>
      <c r="M98" s="1">
        <f>E105</f>
        <v>644</v>
      </c>
      <c r="N98" s="37">
        <f>(M98*L98*I98)/1000</f>
        <v>22967699.545945946</v>
      </c>
      <c r="O98" s="326"/>
      <c r="P98" s="327"/>
    </row>
    <row r="99" spans="1:17" x14ac:dyDescent="0.3">
      <c r="A99" s="324"/>
      <c r="B99" s="460" t="s">
        <v>157</v>
      </c>
      <c r="C99" s="16" t="s">
        <v>305</v>
      </c>
      <c r="D99" s="35" t="s">
        <v>306</v>
      </c>
      <c r="E99" s="312" t="s">
        <v>155</v>
      </c>
      <c r="F99" s="27" t="s">
        <v>151</v>
      </c>
      <c r="G99" s="143">
        <v>11208</v>
      </c>
      <c r="H99" s="27">
        <v>1013</v>
      </c>
      <c r="I99" s="6">
        <f>H99/J99</f>
        <v>39.111969111969117</v>
      </c>
      <c r="J99" s="36">
        <v>25.9</v>
      </c>
      <c r="K99" s="402" t="s">
        <v>155</v>
      </c>
      <c r="L99" s="461">
        <v>7950</v>
      </c>
      <c r="M99" s="1">
        <f>E105</f>
        <v>644</v>
      </c>
      <c r="N99" s="6">
        <f>(M99*L99*I99)/1000</f>
        <v>200245.4594594595</v>
      </c>
      <c r="O99" s="326"/>
      <c r="P99" s="327"/>
    </row>
    <row r="100" spans="1:17" x14ac:dyDescent="0.3">
      <c r="A100" s="324"/>
      <c r="B100" s="457"/>
      <c r="C100" s="1"/>
      <c r="D100" s="38" t="s">
        <v>155</v>
      </c>
      <c r="E100" s="38" t="s">
        <v>155</v>
      </c>
      <c r="F100" s="38" t="s">
        <v>155</v>
      </c>
      <c r="G100" s="1"/>
      <c r="H100" s="38" t="s">
        <v>155</v>
      </c>
      <c r="I100" s="38" t="s">
        <v>155</v>
      </c>
      <c r="J100" s="38" t="s">
        <v>155</v>
      </c>
      <c r="K100" s="38" t="s">
        <v>155</v>
      </c>
      <c r="L100" s="1" t="s">
        <v>155</v>
      </c>
      <c r="M100" s="1" t="s">
        <v>155</v>
      </c>
      <c r="N100" s="38" t="s">
        <v>155</v>
      </c>
      <c r="O100" s="326"/>
      <c r="P100" s="327"/>
    </row>
    <row r="101" spans="1:17" s="60" customFormat="1" x14ac:dyDescent="0.3">
      <c r="A101" s="324"/>
      <c r="B101" s="456"/>
      <c r="C101" s="326"/>
      <c r="D101" s="334"/>
      <c r="E101" s="334"/>
      <c r="F101" s="334"/>
      <c r="G101" s="326"/>
      <c r="H101" s="334"/>
      <c r="I101" s="367"/>
      <c r="J101" s="367"/>
      <c r="K101" s="367"/>
      <c r="L101" s="326"/>
      <c r="M101" s="326"/>
      <c r="N101" s="334"/>
      <c r="O101" s="326"/>
      <c r="P101" s="327"/>
    </row>
    <row r="102" spans="1:17" s="60" customFormat="1" x14ac:dyDescent="0.3">
      <c r="A102" s="324"/>
      <c r="B102" s="456"/>
      <c r="C102" s="326"/>
      <c r="D102" s="334"/>
      <c r="E102" s="334"/>
      <c r="F102" s="334"/>
      <c r="G102" s="326"/>
      <c r="H102" s="334"/>
      <c r="I102" s="367"/>
      <c r="J102" s="367"/>
      <c r="K102" s="367"/>
      <c r="L102" s="326"/>
      <c r="M102" s="326"/>
      <c r="N102" s="334"/>
      <c r="O102" s="326"/>
      <c r="P102" s="327"/>
    </row>
    <row r="103" spans="1:17" x14ac:dyDescent="0.3">
      <c r="A103" s="324"/>
      <c r="B103" s="827" t="s">
        <v>307</v>
      </c>
      <c r="C103" s="827" t="s">
        <v>308</v>
      </c>
      <c r="D103" s="846"/>
      <c r="E103" s="827" t="s">
        <v>489</v>
      </c>
      <c r="F103" s="827" t="s">
        <v>495</v>
      </c>
      <c r="G103" s="334"/>
      <c r="H103" s="334"/>
      <c r="I103" s="367"/>
      <c r="J103" s="367"/>
      <c r="K103" s="367"/>
      <c r="L103" s="326"/>
      <c r="M103" s="326"/>
      <c r="N103" s="326"/>
      <c r="O103" s="326"/>
      <c r="P103" s="327"/>
    </row>
    <row r="104" spans="1:17" x14ac:dyDescent="0.3">
      <c r="A104" s="324"/>
      <c r="B104" s="827"/>
      <c r="C104" s="827"/>
      <c r="D104" s="846"/>
      <c r="E104" s="827"/>
      <c r="F104" s="827"/>
      <c r="G104" s="334"/>
      <c r="H104" s="334"/>
      <c r="I104" s="367"/>
      <c r="J104" s="367"/>
      <c r="K104" s="367"/>
      <c r="L104" s="326"/>
      <c r="M104" s="326"/>
      <c r="N104" s="326"/>
      <c r="O104" s="326"/>
      <c r="P104" s="327"/>
    </row>
    <row r="105" spans="1:17" x14ac:dyDescent="0.3">
      <c r="A105" s="324"/>
      <c r="B105" s="1" t="s">
        <v>309</v>
      </c>
      <c r="C105" s="1">
        <v>12.4</v>
      </c>
      <c r="D105" s="1"/>
      <c r="E105" s="1">
        <v>644</v>
      </c>
      <c r="F105" s="1">
        <v>3179</v>
      </c>
      <c r="G105" s="334"/>
      <c r="H105" s="334"/>
      <c r="I105" s="367"/>
      <c r="J105" s="367"/>
      <c r="K105" s="367"/>
      <c r="L105" s="326"/>
      <c r="M105" s="326"/>
      <c r="N105" s="326"/>
      <c r="O105" s="326"/>
      <c r="P105" s="327"/>
    </row>
    <row r="106" spans="1:17" x14ac:dyDescent="0.3">
      <c r="A106" s="324"/>
      <c r="B106" s="1" t="s">
        <v>310</v>
      </c>
      <c r="C106" s="1">
        <v>15.3</v>
      </c>
      <c r="D106" s="1"/>
      <c r="E106" s="1">
        <v>686</v>
      </c>
      <c r="F106" s="1">
        <v>3179</v>
      </c>
      <c r="G106" s="334"/>
      <c r="H106" s="334"/>
      <c r="I106" s="367"/>
      <c r="J106" s="367"/>
      <c r="K106" s="367"/>
      <c r="L106" s="326"/>
      <c r="M106" s="326"/>
      <c r="N106" s="326"/>
      <c r="O106" s="326"/>
      <c r="P106" s="327"/>
    </row>
    <row r="107" spans="1:17" x14ac:dyDescent="0.3">
      <c r="A107" s="324"/>
      <c r="B107" s="326"/>
      <c r="C107" s="326"/>
      <c r="D107" s="326"/>
      <c r="E107" s="326"/>
      <c r="F107" s="333"/>
      <c r="G107" s="326"/>
      <c r="H107" s="326"/>
      <c r="I107" s="368"/>
      <c r="J107" s="368"/>
      <c r="K107" s="368"/>
      <c r="L107" s="326"/>
      <c r="M107" s="326"/>
      <c r="N107" s="326"/>
      <c r="O107" s="326"/>
      <c r="P107" s="327"/>
    </row>
    <row r="108" spans="1:17" x14ac:dyDescent="0.3">
      <c r="A108" s="324"/>
      <c r="B108" s="326"/>
      <c r="C108" s="326"/>
      <c r="D108" s="326"/>
      <c r="E108" s="326"/>
      <c r="F108" s="326"/>
      <c r="G108" s="326"/>
      <c r="H108" s="326"/>
      <c r="I108" s="368"/>
      <c r="J108" s="368"/>
      <c r="K108" s="368"/>
      <c r="L108" s="326"/>
      <c r="M108" s="326"/>
      <c r="N108" s="326"/>
      <c r="O108" s="326"/>
      <c r="P108" s="327"/>
    </row>
    <row r="109" spans="1:17" ht="15" thickBot="1" x14ac:dyDescent="0.35">
      <c r="A109" s="325"/>
      <c r="B109" s="329"/>
      <c r="C109" s="329"/>
      <c r="D109" s="329"/>
      <c r="E109" s="329"/>
      <c r="F109" s="329"/>
      <c r="G109" s="329"/>
      <c r="H109" s="329"/>
      <c r="I109" s="369"/>
      <c r="J109" s="369"/>
      <c r="K109" s="369"/>
      <c r="L109" s="329"/>
      <c r="M109" s="329"/>
      <c r="N109" s="329"/>
      <c r="O109" s="329"/>
      <c r="P109" s="330"/>
    </row>
    <row r="110" spans="1:17" s="60" customFormat="1" ht="24" thickBot="1" x14ac:dyDescent="0.5">
      <c r="A110" s="335"/>
      <c r="B110" s="769" t="s">
        <v>311</v>
      </c>
      <c r="C110" s="770"/>
      <c r="D110" s="771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40"/>
      <c r="Q110" s="141"/>
    </row>
    <row r="111" spans="1:17" s="60" customFormat="1" x14ac:dyDescent="0.3">
      <c r="A111" s="336"/>
      <c r="B111" s="453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32"/>
      <c r="Q111" s="141"/>
    </row>
    <row r="112" spans="1:17" s="60" customFormat="1" x14ac:dyDescent="0.3">
      <c r="A112" s="336"/>
      <c r="B112" s="453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32"/>
      <c r="Q112" s="141"/>
    </row>
    <row r="113" spans="1:16" s="60" customFormat="1" ht="15.6" x14ac:dyDescent="0.3">
      <c r="A113" s="336"/>
      <c r="B113" s="454" t="s">
        <v>194</v>
      </c>
      <c r="C113" s="454" t="s">
        <v>104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32"/>
    </row>
    <row r="114" spans="1:16" s="60" customFormat="1" x14ac:dyDescent="0.3">
      <c r="A114" s="336"/>
      <c r="B114" s="18" t="s">
        <v>312</v>
      </c>
      <c r="C114" s="18">
        <f>4.8*1.85</f>
        <v>8.8800000000000008</v>
      </c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32"/>
    </row>
    <row r="115" spans="1:16" s="60" customFormat="1" x14ac:dyDescent="0.3">
      <c r="A115" s="336"/>
      <c r="B115" s="18" t="s">
        <v>195</v>
      </c>
      <c r="C115" s="18">
        <f>(2.4+0.8+3.2)*1.85</f>
        <v>11.840000000000002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32"/>
    </row>
    <row r="116" spans="1:16" s="60" customFormat="1" x14ac:dyDescent="0.3">
      <c r="A116" s="336"/>
      <c r="B116" s="18" t="s">
        <v>313</v>
      </c>
      <c r="C116" s="18">
        <f>(2.4+8+8)*1.85</f>
        <v>34.04</v>
      </c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32"/>
    </row>
    <row r="117" spans="1:16" s="60" customFormat="1" x14ac:dyDescent="0.3">
      <c r="A117" s="336"/>
      <c r="B117" s="18" t="s">
        <v>314</v>
      </c>
      <c r="C117" s="18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32"/>
    </row>
    <row r="118" spans="1:16" s="60" customFormat="1" x14ac:dyDescent="0.3">
      <c r="A118" s="336"/>
      <c r="B118" s="18"/>
      <c r="C118" s="18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32"/>
    </row>
    <row r="119" spans="1:16" s="60" customFormat="1" x14ac:dyDescent="0.3">
      <c r="A119" s="336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32"/>
    </row>
    <row r="120" spans="1:16" s="60" customFormat="1" x14ac:dyDescent="0.3">
      <c r="A120" s="336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32"/>
    </row>
    <row r="121" spans="1:16" s="60" customFormat="1" x14ac:dyDescent="0.3">
      <c r="A121" s="336"/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32"/>
    </row>
    <row r="122" spans="1:16" s="60" customFormat="1" x14ac:dyDescent="0.3">
      <c r="A122" s="336"/>
      <c r="B122" s="778" t="s">
        <v>198</v>
      </c>
      <c r="C122" s="778" t="s">
        <v>201</v>
      </c>
      <c r="D122" s="774" t="s">
        <v>202</v>
      </c>
      <c r="E122" s="772" t="s">
        <v>315</v>
      </c>
      <c r="F122" s="779" t="s">
        <v>316</v>
      </c>
      <c r="G122" s="776" t="s">
        <v>317</v>
      </c>
      <c r="H122" s="321"/>
      <c r="I122" s="321"/>
      <c r="J122" s="321"/>
      <c r="K122" s="321"/>
      <c r="L122" s="321"/>
      <c r="M122" s="321"/>
      <c r="N122" s="321"/>
      <c r="O122" s="321"/>
      <c r="P122" s="332"/>
    </row>
    <row r="123" spans="1:16" s="60" customFormat="1" x14ac:dyDescent="0.3">
      <c r="A123" s="336"/>
      <c r="B123" s="778"/>
      <c r="C123" s="778"/>
      <c r="D123" s="775"/>
      <c r="E123" s="773"/>
      <c r="F123" s="780"/>
      <c r="G123" s="777"/>
      <c r="H123" s="321"/>
      <c r="I123" s="321"/>
      <c r="J123" s="321"/>
      <c r="K123" s="321"/>
      <c r="L123" s="321"/>
      <c r="M123" s="321"/>
      <c r="N123" s="321"/>
      <c r="O123" s="321"/>
      <c r="P123" s="332"/>
    </row>
    <row r="124" spans="1:16" s="60" customFormat="1" x14ac:dyDescent="0.3">
      <c r="A124" s="336"/>
      <c r="B124" s="18" t="s">
        <v>199</v>
      </c>
      <c r="C124" s="18">
        <v>3</v>
      </c>
      <c r="D124" s="455">
        <v>5</v>
      </c>
      <c r="E124" s="18"/>
      <c r="F124" s="18">
        <v>26</v>
      </c>
      <c r="G124" s="18">
        <f>C124*D124*E124*2</f>
        <v>0</v>
      </c>
      <c r="H124" s="321"/>
      <c r="I124" s="321"/>
      <c r="J124" s="321"/>
      <c r="K124" s="321"/>
      <c r="L124" s="321"/>
      <c r="M124" s="321"/>
      <c r="N124" s="321"/>
      <c r="O124" s="321"/>
      <c r="P124" s="332"/>
    </row>
    <row r="125" spans="1:16" s="60" customFormat="1" x14ac:dyDescent="0.3">
      <c r="A125" s="336"/>
      <c r="B125" s="18" t="s">
        <v>200</v>
      </c>
      <c r="C125" s="18">
        <v>0</v>
      </c>
      <c r="D125" s="455">
        <v>5</v>
      </c>
      <c r="E125" s="19"/>
      <c r="F125" s="18"/>
      <c r="G125" s="18"/>
      <c r="H125" s="321"/>
      <c r="I125" s="321"/>
      <c r="J125" s="321"/>
      <c r="K125" s="321"/>
      <c r="L125" s="321"/>
      <c r="M125" s="321"/>
      <c r="N125" s="321"/>
      <c r="O125" s="321"/>
      <c r="P125" s="332"/>
    </row>
    <row r="126" spans="1:16" s="60" customFormat="1" x14ac:dyDescent="0.3">
      <c r="A126" s="336"/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32"/>
    </row>
    <row r="127" spans="1:16" s="60" customFormat="1" x14ac:dyDescent="0.3">
      <c r="A127" s="336"/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32"/>
    </row>
    <row r="128" spans="1:16" ht="14.7" customHeight="1" x14ac:dyDescent="0.3">
      <c r="A128" s="336"/>
      <c r="B128" s="843" t="s">
        <v>318</v>
      </c>
      <c r="C128" s="844" t="s">
        <v>218</v>
      </c>
      <c r="D128" s="845" t="s">
        <v>219</v>
      </c>
      <c r="E128" s="845" t="s">
        <v>220</v>
      </c>
      <c r="F128" s="842"/>
      <c r="G128" s="842"/>
      <c r="H128" s="842"/>
      <c r="I128" s="842"/>
      <c r="J128" s="321"/>
      <c r="K128" s="842"/>
      <c r="L128" s="321"/>
      <c r="M128" s="321"/>
      <c r="N128" s="321"/>
      <c r="O128" s="357"/>
      <c r="P128" s="332"/>
    </row>
    <row r="129" spans="1:16" ht="14.7" customHeight="1" x14ac:dyDescent="0.3">
      <c r="A129" s="336"/>
      <c r="B129" s="843"/>
      <c r="C129" s="844"/>
      <c r="D129" s="845"/>
      <c r="E129" s="845"/>
      <c r="F129" s="842"/>
      <c r="G129" s="842"/>
      <c r="H129" s="842"/>
      <c r="I129" s="842"/>
      <c r="J129" s="321"/>
      <c r="K129" s="842"/>
      <c r="L129" s="321"/>
      <c r="M129" s="321"/>
      <c r="N129" s="321"/>
      <c r="O129" s="358"/>
      <c r="P129" s="332"/>
    </row>
    <row r="130" spans="1:16" ht="14.7" customHeight="1" x14ac:dyDescent="0.3">
      <c r="A130" s="336"/>
      <c r="B130" s="443" t="s">
        <v>225</v>
      </c>
      <c r="C130" s="444" t="s">
        <v>226</v>
      </c>
      <c r="D130" s="312">
        <v>269</v>
      </c>
      <c r="E130" s="312">
        <f>D130/1000</f>
        <v>0.26900000000000002</v>
      </c>
      <c r="F130" s="436"/>
      <c r="G130" s="437"/>
      <c r="H130" s="436"/>
      <c r="I130" s="436"/>
      <c r="J130" s="321"/>
      <c r="K130" s="321"/>
      <c r="L130" s="321"/>
      <c r="M130" s="321"/>
      <c r="N130" s="321"/>
      <c r="O130" s="321"/>
      <c r="P130" s="332"/>
    </row>
    <row r="131" spans="1:16" x14ac:dyDescent="0.3">
      <c r="A131" s="336"/>
      <c r="B131" s="445" t="s">
        <v>227</v>
      </c>
      <c r="C131" s="446" t="s">
        <v>228</v>
      </c>
      <c r="D131" s="419">
        <v>678</v>
      </c>
      <c r="E131" s="419">
        <f t="shared" ref="E131:E151" si="5">D131/1000</f>
        <v>0.67800000000000005</v>
      </c>
      <c r="F131" s="436"/>
      <c r="G131" s="437"/>
      <c r="H131" s="436"/>
      <c r="I131" s="436"/>
      <c r="J131" s="321"/>
      <c r="K131" s="321"/>
      <c r="L131" s="321"/>
      <c r="M131" s="321"/>
      <c r="N131" s="321"/>
      <c r="O131" s="321"/>
      <c r="P131" s="332"/>
    </row>
    <row r="132" spans="1:16" ht="14.7" customHeight="1" x14ac:dyDescent="0.3">
      <c r="A132" s="336"/>
      <c r="B132" s="443" t="s">
        <v>229</v>
      </c>
      <c r="C132" s="444" t="s">
        <v>230</v>
      </c>
      <c r="D132" s="312">
        <v>75</v>
      </c>
      <c r="E132" s="312">
        <f t="shared" si="5"/>
        <v>7.4999999999999997E-2</v>
      </c>
      <c r="F132" s="436"/>
      <c r="G132" s="437"/>
      <c r="H132" s="436"/>
      <c r="I132" s="436"/>
      <c r="J132" s="321"/>
      <c r="K132" s="321"/>
      <c r="L132" s="321"/>
      <c r="M132" s="321"/>
      <c r="N132" s="321"/>
      <c r="O132" s="321"/>
      <c r="P132" s="332"/>
    </row>
    <row r="133" spans="1:16" x14ac:dyDescent="0.3">
      <c r="A133" s="336"/>
      <c r="B133" s="445" t="s">
        <v>231</v>
      </c>
      <c r="C133" s="446" t="s">
        <v>230</v>
      </c>
      <c r="D133" s="419">
        <v>137</v>
      </c>
      <c r="E133" s="419">
        <f t="shared" si="5"/>
        <v>0.13700000000000001</v>
      </c>
      <c r="F133" s="436"/>
      <c r="G133" s="437"/>
      <c r="H133" s="436"/>
      <c r="I133" s="436"/>
      <c r="J133" s="321"/>
      <c r="K133" s="321"/>
      <c r="L133" s="321"/>
      <c r="M133" s="321"/>
      <c r="N133" s="321"/>
      <c r="O133" s="321"/>
      <c r="P133" s="332"/>
    </row>
    <row r="134" spans="1:16" x14ac:dyDescent="0.3">
      <c r="A134" s="336"/>
      <c r="B134" s="443" t="s">
        <v>232</v>
      </c>
      <c r="C134" s="444" t="s">
        <v>228</v>
      </c>
      <c r="D134" s="312">
        <v>556</v>
      </c>
      <c r="E134" s="312">
        <f t="shared" si="5"/>
        <v>0.55600000000000005</v>
      </c>
      <c r="F134" s="436"/>
      <c r="G134" s="437"/>
      <c r="H134" s="436"/>
      <c r="I134" s="436"/>
      <c r="J134" s="321"/>
      <c r="K134" s="321"/>
      <c r="L134" s="321"/>
      <c r="M134" s="321"/>
      <c r="N134" s="321"/>
      <c r="O134" s="321"/>
      <c r="P134" s="332"/>
    </row>
    <row r="135" spans="1:16" x14ac:dyDescent="0.3">
      <c r="A135" s="336"/>
      <c r="B135" s="445" t="s">
        <v>53</v>
      </c>
      <c r="C135" s="446" t="s">
        <v>233</v>
      </c>
      <c r="D135" s="419">
        <v>238</v>
      </c>
      <c r="E135" s="419">
        <f t="shared" si="5"/>
        <v>0.23799999999999999</v>
      </c>
      <c r="F135" s="436"/>
      <c r="G135" s="437"/>
      <c r="H135" s="438"/>
      <c r="I135" s="436"/>
      <c r="J135" s="359"/>
      <c r="K135" s="321"/>
      <c r="L135" s="321"/>
      <c r="M135" s="321"/>
      <c r="N135" s="321"/>
      <c r="O135" s="321"/>
      <c r="P135" s="332"/>
    </row>
    <row r="136" spans="1:16" x14ac:dyDescent="0.3">
      <c r="A136" s="336"/>
      <c r="B136" s="443" t="s">
        <v>234</v>
      </c>
      <c r="C136" s="444" t="s">
        <v>235</v>
      </c>
      <c r="D136" s="312">
        <v>49</v>
      </c>
      <c r="E136" s="312">
        <f t="shared" si="5"/>
        <v>4.9000000000000002E-2</v>
      </c>
      <c r="F136" s="436"/>
      <c r="G136" s="437"/>
      <c r="H136" s="436"/>
      <c r="I136" s="436"/>
      <c r="J136" s="321"/>
      <c r="K136" s="439"/>
      <c r="L136" s="321"/>
      <c r="M136" s="321"/>
      <c r="N136" s="321"/>
      <c r="O136" s="321"/>
      <c r="P136" s="332"/>
    </row>
    <row r="137" spans="1:16" x14ac:dyDescent="0.3">
      <c r="A137" s="336"/>
      <c r="B137" s="445" t="s">
        <v>237</v>
      </c>
      <c r="C137" s="446" t="s">
        <v>238</v>
      </c>
      <c r="D137" s="419">
        <v>331</v>
      </c>
      <c r="E137" s="419">
        <f t="shared" si="5"/>
        <v>0.33100000000000002</v>
      </c>
      <c r="F137" s="436"/>
      <c r="G137" s="437"/>
      <c r="H137" s="436"/>
      <c r="I137" s="436"/>
      <c r="J137" s="321"/>
      <c r="K137" s="321"/>
      <c r="L137" s="321"/>
      <c r="M137" s="321"/>
      <c r="N137" s="321"/>
      <c r="O137" s="321"/>
      <c r="P137" s="332"/>
    </row>
    <row r="138" spans="1:16" x14ac:dyDescent="0.3">
      <c r="A138" s="336"/>
      <c r="B138" s="443" t="s">
        <v>239</v>
      </c>
      <c r="C138" s="444" t="s">
        <v>228</v>
      </c>
      <c r="D138" s="312">
        <v>684</v>
      </c>
      <c r="E138" s="312">
        <f t="shared" si="5"/>
        <v>0.68400000000000005</v>
      </c>
      <c r="F138" s="436"/>
      <c r="G138" s="437"/>
      <c r="H138" s="436"/>
      <c r="I138" s="436"/>
      <c r="J138" s="321"/>
      <c r="K138" s="321"/>
      <c r="L138" s="321"/>
      <c r="M138" s="321"/>
      <c r="N138" s="321"/>
      <c r="O138" s="321"/>
      <c r="P138" s="332"/>
    </row>
    <row r="139" spans="1:16" x14ac:dyDescent="0.3">
      <c r="A139" s="336"/>
      <c r="B139" s="445" t="s">
        <v>240</v>
      </c>
      <c r="C139" s="446" t="s">
        <v>228</v>
      </c>
      <c r="D139" s="419">
        <v>804</v>
      </c>
      <c r="E139" s="419">
        <f t="shared" si="5"/>
        <v>0.80400000000000005</v>
      </c>
      <c r="F139" s="436"/>
      <c r="G139" s="437"/>
      <c r="H139" s="436"/>
      <c r="I139" s="436"/>
      <c r="J139" s="321"/>
      <c r="K139" s="321"/>
      <c r="L139" s="321"/>
      <c r="M139" s="321"/>
      <c r="N139" s="321"/>
      <c r="O139" s="321"/>
      <c r="P139" s="332"/>
    </row>
    <row r="140" spans="1:16" x14ac:dyDescent="0.3">
      <c r="A140" s="336"/>
      <c r="B140" s="443" t="s">
        <v>241</v>
      </c>
      <c r="C140" s="444" t="s">
        <v>226</v>
      </c>
      <c r="D140" s="312">
        <v>272</v>
      </c>
      <c r="E140" s="312">
        <f t="shared" si="5"/>
        <v>0.27200000000000002</v>
      </c>
      <c r="F140" s="436"/>
      <c r="G140" s="437"/>
      <c r="H140" s="436"/>
      <c r="I140" s="436"/>
      <c r="J140" s="321"/>
      <c r="K140" s="321"/>
      <c r="L140" s="321"/>
      <c r="M140" s="321"/>
      <c r="N140" s="321"/>
      <c r="O140" s="321"/>
      <c r="P140" s="332"/>
    </row>
    <row r="141" spans="1:16" x14ac:dyDescent="0.3">
      <c r="A141" s="336"/>
      <c r="B141" s="445" t="s">
        <v>242</v>
      </c>
      <c r="C141" s="446" t="s">
        <v>226</v>
      </c>
      <c r="D141" s="419">
        <v>470</v>
      </c>
      <c r="E141" s="419">
        <f t="shared" si="5"/>
        <v>0.47</v>
      </c>
      <c r="F141" s="436"/>
      <c r="G141" s="437"/>
      <c r="H141" s="436"/>
      <c r="I141" s="436"/>
      <c r="J141" s="321"/>
      <c r="K141" s="321"/>
      <c r="L141" s="321"/>
      <c r="M141" s="321"/>
      <c r="N141" s="321"/>
      <c r="O141" s="321"/>
      <c r="P141" s="332"/>
    </row>
    <row r="142" spans="1:16" x14ac:dyDescent="0.3">
      <c r="A142" s="336"/>
      <c r="B142" s="443" t="s">
        <v>187</v>
      </c>
      <c r="C142" s="444" t="s">
        <v>238</v>
      </c>
      <c r="D142" s="312">
        <v>17</v>
      </c>
      <c r="E142" s="312">
        <f t="shared" si="5"/>
        <v>1.7000000000000001E-2</v>
      </c>
      <c r="F142" s="436"/>
      <c r="G142" s="437"/>
      <c r="H142" s="436"/>
      <c r="I142" s="436"/>
      <c r="J142" s="321"/>
      <c r="K142" s="321"/>
      <c r="L142" s="321"/>
      <c r="M142" s="321"/>
      <c r="N142" s="321"/>
      <c r="O142" s="321"/>
      <c r="P142" s="332"/>
    </row>
    <row r="143" spans="1:16" x14ac:dyDescent="0.3">
      <c r="A143" s="336"/>
      <c r="B143" s="445" t="s">
        <v>243</v>
      </c>
      <c r="C143" s="446" t="s">
        <v>226</v>
      </c>
      <c r="D143" s="419">
        <v>439</v>
      </c>
      <c r="E143" s="419">
        <f t="shared" si="5"/>
        <v>0.439</v>
      </c>
      <c r="F143" s="436"/>
      <c r="G143" s="437"/>
      <c r="H143" s="436"/>
      <c r="I143" s="436"/>
      <c r="J143" s="321"/>
      <c r="K143" s="321"/>
      <c r="L143" s="321"/>
      <c r="M143" s="321"/>
      <c r="N143" s="321"/>
      <c r="O143" s="321"/>
      <c r="P143" s="332"/>
    </row>
    <row r="144" spans="1:16" x14ac:dyDescent="0.3">
      <c r="A144" s="336"/>
      <c r="B144" s="443" t="s">
        <v>244</v>
      </c>
      <c r="C144" s="444" t="s">
        <v>226</v>
      </c>
      <c r="D144" s="312">
        <v>314</v>
      </c>
      <c r="E144" s="312">
        <f t="shared" si="5"/>
        <v>0.314</v>
      </c>
      <c r="F144" s="436"/>
      <c r="G144" s="437"/>
      <c r="H144" s="436"/>
      <c r="I144" s="436"/>
      <c r="J144" s="321"/>
      <c r="K144" s="321"/>
      <c r="L144" s="321"/>
      <c r="M144" s="321"/>
      <c r="N144" s="321"/>
      <c r="O144" s="321"/>
      <c r="P144" s="332"/>
    </row>
    <row r="145" spans="1:16" x14ac:dyDescent="0.3">
      <c r="A145" s="336"/>
      <c r="B145" s="445" t="s">
        <v>245</v>
      </c>
      <c r="C145" s="446" t="s">
        <v>226</v>
      </c>
      <c r="D145" s="419">
        <v>703</v>
      </c>
      <c r="E145" s="419">
        <f t="shared" si="5"/>
        <v>0.70299999999999996</v>
      </c>
      <c r="F145" s="436"/>
      <c r="G145" s="437"/>
      <c r="H145" s="436"/>
      <c r="I145" s="436"/>
      <c r="J145" s="321"/>
      <c r="K145" s="321"/>
      <c r="L145" s="321"/>
      <c r="M145" s="321"/>
      <c r="N145" s="321"/>
      <c r="O145" s="321"/>
      <c r="P145" s="332"/>
    </row>
    <row r="146" spans="1:16" x14ac:dyDescent="0.3">
      <c r="A146" s="336"/>
      <c r="B146" s="443" t="s">
        <v>246</v>
      </c>
      <c r="C146" s="444" t="s">
        <v>228</v>
      </c>
      <c r="D146" s="312">
        <v>879</v>
      </c>
      <c r="E146" s="312">
        <f t="shared" si="5"/>
        <v>0.879</v>
      </c>
      <c r="F146" s="436"/>
      <c r="G146" s="437"/>
      <c r="H146" s="436"/>
      <c r="I146" s="436"/>
      <c r="J146" s="321"/>
      <c r="K146" s="321"/>
      <c r="L146" s="321"/>
      <c r="M146" s="321"/>
      <c r="N146" s="321"/>
      <c r="O146" s="321"/>
      <c r="P146" s="332"/>
    </row>
    <row r="147" spans="1:16" x14ac:dyDescent="0.3">
      <c r="A147" s="336"/>
      <c r="B147" s="445" t="s">
        <v>247</v>
      </c>
      <c r="C147" s="446" t="s">
        <v>228</v>
      </c>
      <c r="D147" s="419">
        <v>476</v>
      </c>
      <c r="E147" s="419">
        <f t="shared" si="5"/>
        <v>0.47599999999999998</v>
      </c>
      <c r="F147" s="436"/>
      <c r="G147" s="437"/>
      <c r="H147" s="436"/>
      <c r="I147" s="436"/>
      <c r="J147" s="321"/>
      <c r="K147" s="321"/>
      <c r="L147" s="321"/>
      <c r="M147" s="321"/>
      <c r="N147" s="321"/>
      <c r="O147" s="321"/>
      <c r="P147" s="332"/>
    </row>
    <row r="148" spans="1:16" x14ac:dyDescent="0.3">
      <c r="A148" s="336"/>
      <c r="B148" s="443" t="s">
        <v>248</v>
      </c>
      <c r="C148" s="444" t="s">
        <v>238</v>
      </c>
      <c r="D148" s="312">
        <v>441</v>
      </c>
      <c r="E148" s="312">
        <f t="shared" si="5"/>
        <v>0.441</v>
      </c>
      <c r="F148" s="436"/>
      <c r="G148" s="437"/>
      <c r="H148" s="436"/>
      <c r="I148" s="436"/>
      <c r="J148" s="321"/>
      <c r="K148" s="321"/>
      <c r="L148" s="321"/>
      <c r="M148" s="321"/>
      <c r="N148" s="321"/>
      <c r="O148" s="321"/>
      <c r="P148" s="332"/>
    </row>
    <row r="149" spans="1:16" x14ac:dyDescent="0.3">
      <c r="A149" s="336"/>
      <c r="B149" s="445" t="s">
        <v>249</v>
      </c>
      <c r="C149" s="446" t="s">
        <v>226</v>
      </c>
      <c r="D149" s="419">
        <v>196</v>
      </c>
      <c r="E149" s="419">
        <f t="shared" si="5"/>
        <v>0.19600000000000001</v>
      </c>
      <c r="F149" s="436"/>
      <c r="G149" s="437"/>
      <c r="H149" s="436"/>
      <c r="I149" s="436"/>
      <c r="J149" s="321"/>
      <c r="K149" s="321"/>
      <c r="L149" s="321"/>
      <c r="M149" s="321"/>
      <c r="N149" s="321"/>
      <c r="O149" s="321"/>
      <c r="P149" s="332"/>
    </row>
    <row r="150" spans="1:16" x14ac:dyDescent="0.3">
      <c r="A150" s="336"/>
      <c r="B150" s="443" t="s">
        <v>250</v>
      </c>
      <c r="C150" s="444" t="s">
        <v>226</v>
      </c>
      <c r="D150" s="312">
        <v>383</v>
      </c>
      <c r="E150" s="312">
        <f t="shared" si="5"/>
        <v>0.38300000000000001</v>
      </c>
      <c r="F150" s="436"/>
      <c r="G150" s="437"/>
      <c r="H150" s="436"/>
      <c r="I150" s="436"/>
      <c r="J150" s="321"/>
      <c r="K150" s="321"/>
      <c r="L150" s="321"/>
      <c r="M150" s="321"/>
      <c r="N150" s="321"/>
      <c r="O150" s="321"/>
      <c r="P150" s="332"/>
    </row>
    <row r="151" spans="1:16" x14ac:dyDescent="0.3">
      <c r="A151" s="336"/>
      <c r="B151" s="447" t="s">
        <v>251</v>
      </c>
      <c r="C151" s="448"/>
      <c r="D151" s="449">
        <v>449</v>
      </c>
      <c r="E151" s="419">
        <f t="shared" si="5"/>
        <v>0.44900000000000001</v>
      </c>
      <c r="F151" s="440"/>
      <c r="G151" s="437"/>
      <c r="H151" s="436"/>
      <c r="I151" s="436"/>
      <c r="J151" s="321"/>
      <c r="K151" s="321"/>
      <c r="L151" s="321"/>
      <c r="M151" s="321"/>
      <c r="N151" s="321"/>
      <c r="O151" s="321"/>
      <c r="P151" s="332"/>
    </row>
    <row r="152" spans="1:16" x14ac:dyDescent="0.3">
      <c r="A152" s="336"/>
      <c r="B152" s="450" t="s">
        <v>252</v>
      </c>
      <c r="C152" s="451"/>
      <c r="D152" s="452" t="s">
        <v>62</v>
      </c>
      <c r="E152" s="312" t="s">
        <v>62</v>
      </c>
      <c r="F152" s="441"/>
      <c r="G152" s="437"/>
      <c r="H152" s="436"/>
      <c r="I152" s="436"/>
      <c r="J152" s="321"/>
      <c r="K152" s="321"/>
      <c r="L152" s="321"/>
      <c r="M152" s="321"/>
      <c r="N152" s="321"/>
      <c r="O152" s="321"/>
      <c r="P152" s="332"/>
    </row>
    <row r="153" spans="1:16" x14ac:dyDescent="0.3">
      <c r="A153" s="336"/>
      <c r="B153" s="1" t="s">
        <v>62</v>
      </c>
      <c r="C153" s="312"/>
      <c r="D153" s="312" t="s">
        <v>62</v>
      </c>
      <c r="E153" s="312" t="s">
        <v>62</v>
      </c>
      <c r="F153" s="436"/>
      <c r="G153" s="442"/>
      <c r="H153" s="436"/>
      <c r="I153" s="436"/>
      <c r="J153" s="321"/>
      <c r="K153" s="321"/>
      <c r="L153" s="321"/>
      <c r="M153" s="321"/>
      <c r="N153" s="321"/>
      <c r="O153" s="321"/>
      <c r="P153" s="332"/>
    </row>
    <row r="154" spans="1:16" s="60" customFormat="1" x14ac:dyDescent="0.3">
      <c r="A154" s="336"/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32"/>
    </row>
    <row r="155" spans="1:16" s="60" customFormat="1" x14ac:dyDescent="0.3">
      <c r="A155" s="336"/>
      <c r="B155" s="321"/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32"/>
    </row>
    <row r="156" spans="1:16" s="60" customFormat="1" ht="15" thickBot="1" x14ac:dyDescent="0.35">
      <c r="A156" s="337"/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2"/>
    </row>
    <row r="157" spans="1:16" s="60" customFormat="1" x14ac:dyDescent="0.3"/>
    <row r="158" spans="1:16" s="60" customFormat="1" x14ac:dyDescent="0.3"/>
    <row r="159" spans="1:16" s="60" customFormat="1" x14ac:dyDescent="0.3"/>
    <row r="160" spans="1:16" s="60" customFormat="1" x14ac:dyDescent="0.3"/>
    <row r="161" s="60" customFormat="1" x14ac:dyDescent="0.3"/>
    <row r="162" s="60" customFormat="1" x14ac:dyDescent="0.3"/>
    <row r="163" s="60" customFormat="1" x14ac:dyDescent="0.3"/>
    <row r="164" s="60" customFormat="1" x14ac:dyDescent="0.3"/>
    <row r="165" s="60" customFormat="1" x14ac:dyDescent="0.3"/>
    <row r="166" s="60" customFormat="1" x14ac:dyDescent="0.3"/>
    <row r="167" s="60" customFormat="1" x14ac:dyDescent="0.3"/>
    <row r="168" s="60" customFormat="1" x14ac:dyDescent="0.3"/>
    <row r="169" s="60" customFormat="1" x14ac:dyDescent="0.3"/>
    <row r="170" s="60" customFormat="1" x14ac:dyDescent="0.3"/>
    <row r="171" s="60" customFormat="1" x14ac:dyDescent="0.3"/>
    <row r="172" s="60" customFormat="1" x14ac:dyDescent="0.3"/>
    <row r="173" s="60" customFormat="1" x14ac:dyDescent="0.3"/>
    <row r="174" s="60" customFormat="1" x14ac:dyDescent="0.3"/>
    <row r="175" s="60" customFormat="1" x14ac:dyDescent="0.3"/>
    <row r="176" s="60" customFormat="1" x14ac:dyDescent="0.3"/>
    <row r="177" s="60" customFormat="1" x14ac:dyDescent="0.3"/>
    <row r="178" s="60" customFormat="1" x14ac:dyDescent="0.3"/>
    <row r="179" s="60" customFormat="1" x14ac:dyDescent="0.3"/>
    <row r="180" s="60" customFormat="1" x14ac:dyDescent="0.3"/>
    <row r="181" s="60" customFormat="1" x14ac:dyDescent="0.3"/>
    <row r="182" s="60" customFormat="1" x14ac:dyDescent="0.3"/>
    <row r="183" s="60" customFormat="1" x14ac:dyDescent="0.3"/>
    <row r="184" s="60" customFormat="1" x14ac:dyDescent="0.3"/>
    <row r="185" s="60" customFormat="1" x14ac:dyDescent="0.3"/>
    <row r="186" s="60" customFormat="1" x14ac:dyDescent="0.3"/>
    <row r="187" s="60" customFormat="1" x14ac:dyDescent="0.3"/>
    <row r="188" s="60" customFormat="1" x14ac:dyDescent="0.3"/>
    <row r="189" s="60" customFormat="1" x14ac:dyDescent="0.3"/>
    <row r="190" s="60" customFormat="1" x14ac:dyDescent="0.3"/>
    <row r="191" s="60" customFormat="1" x14ac:dyDescent="0.3"/>
    <row r="192" s="60" customFormat="1" x14ac:dyDescent="0.3"/>
    <row r="193" s="60" customFormat="1" x14ac:dyDescent="0.3"/>
    <row r="194" s="60" customFormat="1" x14ac:dyDescent="0.3"/>
    <row r="195" s="60" customFormat="1" x14ac:dyDescent="0.3"/>
    <row r="196" s="60" customFormat="1" x14ac:dyDescent="0.3"/>
    <row r="197" s="60" customFormat="1" x14ac:dyDescent="0.3"/>
    <row r="198" s="60" customFormat="1" x14ac:dyDescent="0.3"/>
    <row r="199" s="60" customFormat="1" x14ac:dyDescent="0.3"/>
    <row r="200" s="60" customFormat="1" x14ac:dyDescent="0.3"/>
    <row r="201" s="60" customFormat="1" x14ac:dyDescent="0.3"/>
    <row r="202" s="60" customFormat="1" x14ac:dyDescent="0.3"/>
    <row r="203" s="60" customFormat="1" x14ac:dyDescent="0.3"/>
    <row r="204" s="60" customFormat="1" x14ac:dyDescent="0.3"/>
    <row r="205" s="60" customFormat="1" x14ac:dyDescent="0.3"/>
    <row r="206" s="60" customFormat="1" x14ac:dyDescent="0.3"/>
    <row r="207" s="60" customFormat="1" x14ac:dyDescent="0.3"/>
    <row r="208" s="60" customFormat="1" x14ac:dyDescent="0.3"/>
    <row r="209" s="60" customFormat="1" x14ac:dyDescent="0.3"/>
    <row r="210" s="60" customFormat="1" x14ac:dyDescent="0.3"/>
    <row r="211" s="60" customFormat="1" x14ac:dyDescent="0.3"/>
    <row r="212" s="60" customFormat="1" x14ac:dyDescent="0.3"/>
    <row r="213" s="60" customFormat="1" x14ac:dyDescent="0.3"/>
    <row r="214" s="60" customFormat="1" x14ac:dyDescent="0.3"/>
    <row r="215" s="60" customFormat="1" x14ac:dyDescent="0.3"/>
    <row r="216" s="60" customFormat="1" x14ac:dyDescent="0.3"/>
    <row r="217" s="60" customFormat="1" x14ac:dyDescent="0.3"/>
    <row r="218" s="60" customFormat="1" x14ac:dyDescent="0.3"/>
    <row r="219" s="60" customFormat="1" x14ac:dyDescent="0.3"/>
    <row r="220" s="60" customFormat="1" x14ac:dyDescent="0.3"/>
    <row r="221" s="60" customFormat="1" x14ac:dyDescent="0.3"/>
    <row r="222" s="60" customFormat="1" x14ac:dyDescent="0.3"/>
    <row r="223" s="60" customFormat="1" x14ac:dyDescent="0.3"/>
    <row r="224" s="60" customFormat="1" x14ac:dyDescent="0.3"/>
    <row r="225" s="60" customFormat="1" x14ac:dyDescent="0.3"/>
    <row r="226" s="60" customFormat="1" x14ac:dyDescent="0.3"/>
    <row r="227" s="60" customFormat="1" x14ac:dyDescent="0.3"/>
    <row r="228" s="60" customFormat="1" x14ac:dyDescent="0.3"/>
    <row r="229" s="60" customFormat="1" x14ac:dyDescent="0.3"/>
    <row r="230" s="60" customFormat="1" x14ac:dyDescent="0.3"/>
    <row r="231" s="60" customFormat="1" x14ac:dyDescent="0.3"/>
    <row r="232" s="60" customFormat="1" x14ac:dyDescent="0.3"/>
    <row r="233" s="60" customFormat="1" x14ac:dyDescent="0.3"/>
    <row r="234" s="60" customFormat="1" x14ac:dyDescent="0.3"/>
    <row r="235" s="60" customFormat="1" x14ac:dyDescent="0.3"/>
    <row r="236" s="60" customFormat="1" x14ac:dyDescent="0.3"/>
    <row r="237" s="60" customFormat="1" x14ac:dyDescent="0.3"/>
    <row r="238" s="60" customFormat="1" x14ac:dyDescent="0.3"/>
    <row r="239" s="60" customFormat="1" x14ac:dyDescent="0.3"/>
    <row r="240" s="60" customFormat="1" x14ac:dyDescent="0.3"/>
    <row r="241" s="60" customFormat="1" x14ac:dyDescent="0.3"/>
    <row r="242" s="60" customFormat="1" x14ac:dyDescent="0.3"/>
    <row r="243" s="60" customFormat="1" x14ac:dyDescent="0.3"/>
    <row r="244" s="60" customFormat="1" x14ac:dyDescent="0.3"/>
    <row r="245" s="60" customFormat="1" x14ac:dyDescent="0.3"/>
    <row r="246" s="60" customFormat="1" x14ac:dyDescent="0.3"/>
  </sheetData>
  <mergeCells count="88">
    <mergeCell ref="B103:B104"/>
    <mergeCell ref="C103:C104"/>
    <mergeCell ref="D103:D104"/>
    <mergeCell ref="E103:E104"/>
    <mergeCell ref="F103:F104"/>
    <mergeCell ref="G128:G129"/>
    <mergeCell ref="H128:H129"/>
    <mergeCell ref="I128:I129"/>
    <mergeCell ref="K128:K129"/>
    <mergeCell ref="B128:B129"/>
    <mergeCell ref="C128:C129"/>
    <mergeCell ref="D128:D129"/>
    <mergeCell ref="E128:E129"/>
    <mergeCell ref="F128:F129"/>
    <mergeCell ref="C59:C60"/>
    <mergeCell ref="D59:D60"/>
    <mergeCell ref="E59:E60"/>
    <mergeCell ref="F59:F60"/>
    <mergeCell ref="B39:F40"/>
    <mergeCell ref="E49:E52"/>
    <mergeCell ref="D41:D42"/>
    <mergeCell ref="C41:C42"/>
    <mergeCell ref="B41:B42"/>
    <mergeCell ref="E41:E42"/>
    <mergeCell ref="F41:F42"/>
    <mergeCell ref="B49:B52"/>
    <mergeCell ref="E43:E46"/>
    <mergeCell ref="B43:B47"/>
    <mergeCell ref="B71:N71"/>
    <mergeCell ref="G74:G76"/>
    <mergeCell ref="H74:H76"/>
    <mergeCell ref="I74:I76"/>
    <mergeCell ref="J74:J76"/>
    <mergeCell ref="K74:K76"/>
    <mergeCell ref="L74:L76"/>
    <mergeCell ref="D74:D76"/>
    <mergeCell ref="C74:C76"/>
    <mergeCell ref="E74:E76"/>
    <mergeCell ref="B72:B76"/>
    <mergeCell ref="N74:N76"/>
    <mergeCell ref="N87:N88"/>
    <mergeCell ref="C87:C88"/>
    <mergeCell ref="M87:M88"/>
    <mergeCell ref="L87:L88"/>
    <mergeCell ref="I87:I88"/>
    <mergeCell ref="J87:J88"/>
    <mergeCell ref="K87:K88"/>
    <mergeCell ref="F87:F88"/>
    <mergeCell ref="H87:H88"/>
    <mergeCell ref="B87:B88"/>
    <mergeCell ref="D87:D88"/>
    <mergeCell ref="E87:E88"/>
    <mergeCell ref="K6:K7"/>
    <mergeCell ref="N59:N60"/>
    <mergeCell ref="K59:K60"/>
    <mergeCell ref="I59:I60"/>
    <mergeCell ref="L59:L60"/>
    <mergeCell ref="M59:M60"/>
    <mergeCell ref="J59:J60"/>
    <mergeCell ref="G87:G88"/>
    <mergeCell ref="F74:F76"/>
    <mergeCell ref="C72:F73"/>
    <mergeCell ref="G72:J73"/>
    <mergeCell ref="K72:N73"/>
    <mergeCell ref="M74:M76"/>
    <mergeCell ref="B1:D1"/>
    <mergeCell ref="B36:D36"/>
    <mergeCell ref="B56:D56"/>
    <mergeCell ref="B68:D68"/>
    <mergeCell ref="B4:I5"/>
    <mergeCell ref="E6:E7"/>
    <mergeCell ref="H6:H7"/>
    <mergeCell ref="I6:I7"/>
    <mergeCell ref="G6:G7"/>
    <mergeCell ref="B6:B7"/>
    <mergeCell ref="C6:C7"/>
    <mergeCell ref="D6:D7"/>
    <mergeCell ref="F6:F7"/>
    <mergeCell ref="G59:G60"/>
    <mergeCell ref="H59:H60"/>
    <mergeCell ref="B59:B60"/>
    <mergeCell ref="B110:D110"/>
    <mergeCell ref="E122:E123"/>
    <mergeCell ref="D122:D123"/>
    <mergeCell ref="G122:G123"/>
    <mergeCell ref="B122:B123"/>
    <mergeCell ref="C122:C123"/>
    <mergeCell ref="F122:F123"/>
  </mergeCells>
  <dataValidations count="1">
    <dataValidation type="list" allowBlank="1" showInputMessage="1" showErrorMessage="1" sqref="F89:F91 F93:F95" xr:uid="{D9B85C82-9025-41B6-B0E3-8B5584ED45DE}">
      <formula1>$B$77:$B$83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3689-9C12-4CC7-9479-6F74E81A6A7D}">
  <sheetPr codeName="Ark11"/>
  <dimension ref="A1:AG104"/>
  <sheetViews>
    <sheetView topLeftCell="A35" zoomScale="60" zoomScaleNormal="21" workbookViewId="0">
      <selection activeCell="L11" sqref="L11"/>
    </sheetView>
  </sheetViews>
  <sheetFormatPr baseColWidth="10" defaultColWidth="11.44140625" defaultRowHeight="14.4" x14ac:dyDescent="0.3"/>
  <cols>
    <col min="2" max="2" width="18.44140625" customWidth="1"/>
    <col min="3" max="4" width="16.44140625" customWidth="1"/>
    <col min="5" max="5" width="12.21875" customWidth="1"/>
    <col min="7" max="7" width="15.21875" customWidth="1"/>
    <col min="12" max="12" width="11.44140625" customWidth="1"/>
  </cols>
  <sheetData>
    <row r="1" spans="1:33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23.4" x14ac:dyDescent="0.3">
      <c r="A2" s="56"/>
      <c r="B2" s="372" t="s">
        <v>319</v>
      </c>
      <c r="C2" s="373" t="s">
        <v>87</v>
      </c>
      <c r="D2" s="374"/>
      <c r="E2" s="37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x14ac:dyDescent="0.3">
      <c r="A3" s="56"/>
      <c r="B3" s="277"/>
      <c r="C3" s="277"/>
      <c r="D3" s="277"/>
      <c r="E3" s="27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x14ac:dyDescent="0.3">
      <c r="A4" s="56"/>
      <c r="B4" s="372" t="s">
        <v>320</v>
      </c>
      <c r="C4" s="376" t="s">
        <v>321</v>
      </c>
      <c r="D4" s="376"/>
      <c r="E4" s="377"/>
      <c r="F4" s="56"/>
      <c r="G4" s="56"/>
      <c r="H4" s="56"/>
      <c r="I4" s="56"/>
      <c r="J4" s="56"/>
      <c r="K4" s="56"/>
      <c r="L4" s="56"/>
      <c r="M4" s="56"/>
      <c r="N4" s="847" t="s">
        <v>322</v>
      </c>
      <c r="O4" s="847"/>
      <c r="P4" s="847"/>
      <c r="Q4" s="847"/>
      <c r="R4" s="141"/>
      <c r="S4" s="141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3" ht="14.7" customHeight="1" x14ac:dyDescent="0.3">
      <c r="A5" s="56"/>
      <c r="B5" s="372" t="s">
        <v>323</v>
      </c>
      <c r="C5" s="864" t="s">
        <v>324</v>
      </c>
      <c r="D5" s="864"/>
      <c r="E5" s="864"/>
      <c r="F5" s="56"/>
      <c r="G5" s="56"/>
      <c r="H5" s="56"/>
      <c r="I5" s="56"/>
      <c r="J5" s="56"/>
      <c r="K5" s="56"/>
      <c r="L5" s="56"/>
      <c r="M5" s="56"/>
      <c r="N5" s="869" t="s">
        <v>325</v>
      </c>
      <c r="O5" s="869"/>
      <c r="P5" s="862" t="s">
        <v>326</v>
      </c>
      <c r="Q5" s="862" t="s">
        <v>327</v>
      </c>
      <c r="R5" s="141"/>
      <c r="S5" s="141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4.7" customHeight="1" x14ac:dyDescent="0.3">
      <c r="A6" s="56"/>
      <c r="B6" s="867" t="s">
        <v>328</v>
      </c>
      <c r="C6" s="866" t="s">
        <v>329</v>
      </c>
      <c r="D6" s="866"/>
      <c r="E6" s="866"/>
      <c r="F6" s="56"/>
      <c r="G6" s="56"/>
      <c r="H6" s="56"/>
      <c r="I6" s="56"/>
      <c r="J6" s="56"/>
      <c r="K6" s="56"/>
      <c r="L6" s="56"/>
      <c r="M6" s="56"/>
      <c r="N6" s="868"/>
      <c r="O6" s="868"/>
      <c r="P6" s="863"/>
      <c r="Q6" s="876"/>
      <c r="R6" s="141"/>
      <c r="S6" s="141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x14ac:dyDescent="0.3">
      <c r="A7" s="56"/>
      <c r="B7" s="867"/>
      <c r="C7" s="866"/>
      <c r="D7" s="866"/>
      <c r="E7" s="866"/>
      <c r="F7" s="56"/>
      <c r="G7" s="56"/>
      <c r="H7" s="56"/>
      <c r="I7" s="56"/>
      <c r="J7" s="56"/>
      <c r="K7" s="56"/>
      <c r="L7" s="56"/>
      <c r="M7" s="56"/>
      <c r="N7" s="860" t="s">
        <v>88</v>
      </c>
      <c r="O7" s="860"/>
      <c r="P7" s="131">
        <v>0.94</v>
      </c>
      <c r="Q7" s="225">
        <f>$C$23*P7</f>
        <v>1118.5999999999999</v>
      </c>
      <c r="R7" s="141"/>
      <c r="S7" s="141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x14ac:dyDescent="0.3">
      <c r="A8" s="56"/>
      <c r="B8" s="497">
        <v>13</v>
      </c>
      <c r="C8" s="865" t="s">
        <v>330</v>
      </c>
      <c r="D8" s="865"/>
      <c r="E8" s="865"/>
      <c r="F8" s="56"/>
      <c r="G8" s="56"/>
      <c r="H8" s="56"/>
      <c r="I8" s="56"/>
      <c r="J8" s="56"/>
      <c r="K8" s="56"/>
      <c r="L8" s="56"/>
      <c r="M8" s="56"/>
      <c r="N8" s="860" t="s">
        <v>89</v>
      </c>
      <c r="O8" s="860"/>
      <c r="P8" s="131">
        <v>0.01</v>
      </c>
      <c r="Q8" s="225">
        <f t="shared" ref="Q8:Q12" si="0">$C$23*P8</f>
        <v>11.9</v>
      </c>
      <c r="R8" s="141"/>
      <c r="S8" s="141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x14ac:dyDescent="0.3">
      <c r="A9" s="56"/>
      <c r="B9" s="637">
        <v>70</v>
      </c>
      <c r="C9" s="866" t="s">
        <v>331</v>
      </c>
      <c r="D9" s="866"/>
      <c r="E9" s="866"/>
      <c r="F9" s="56"/>
      <c r="G9" s="56"/>
      <c r="H9" s="56"/>
      <c r="I9" s="56"/>
      <c r="J9" s="56"/>
      <c r="K9" s="56"/>
      <c r="L9" s="56"/>
      <c r="M9" s="56"/>
      <c r="N9" s="860" t="s">
        <v>90</v>
      </c>
      <c r="O9" s="860"/>
      <c r="P9" s="131">
        <v>4.0000000000000001E-3</v>
      </c>
      <c r="Q9" s="225">
        <f t="shared" si="0"/>
        <v>4.76</v>
      </c>
      <c r="R9" s="141"/>
      <c r="S9" s="141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x14ac:dyDescent="0.3">
      <c r="A10" s="56"/>
      <c r="B10" s="637"/>
      <c r="C10" s="866"/>
      <c r="D10" s="866"/>
      <c r="E10" s="866"/>
      <c r="F10" s="56"/>
      <c r="G10" s="56"/>
      <c r="H10" s="56"/>
      <c r="I10" s="56"/>
      <c r="J10" s="56"/>
      <c r="K10" s="56"/>
      <c r="L10" s="56"/>
      <c r="M10" s="56"/>
      <c r="N10" s="860" t="s">
        <v>91</v>
      </c>
      <c r="O10" s="860"/>
      <c r="P10" s="131">
        <v>4.3999999999999997E-2</v>
      </c>
      <c r="Q10" s="225">
        <f t="shared" si="0"/>
        <v>52.36</v>
      </c>
      <c r="R10" s="141"/>
      <c r="S10" s="141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x14ac:dyDescent="0.3">
      <c r="A11" s="56"/>
      <c r="B11" s="637"/>
      <c r="C11" s="866"/>
      <c r="D11" s="866"/>
      <c r="E11" s="866"/>
      <c r="F11" s="56"/>
      <c r="G11" s="56"/>
      <c r="H11" s="56"/>
      <c r="I11" s="56"/>
      <c r="J11" s="56"/>
      <c r="K11" s="56"/>
      <c r="L11" s="56"/>
      <c r="M11" s="56"/>
      <c r="N11" s="860" t="s">
        <v>92</v>
      </c>
      <c r="O11" s="860"/>
      <c r="P11" s="131">
        <v>3.0000000000000001E-3</v>
      </c>
      <c r="Q11" s="225">
        <f t="shared" si="0"/>
        <v>3.5700000000000003</v>
      </c>
      <c r="R11" s="141"/>
      <c r="S11" s="141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x14ac:dyDescent="0.3">
      <c r="A12" s="56"/>
      <c r="B12" s="637"/>
      <c r="C12" s="866"/>
      <c r="D12" s="866"/>
      <c r="E12" s="866"/>
      <c r="F12" s="56"/>
      <c r="G12" s="56"/>
      <c r="H12" s="56"/>
      <c r="I12" s="56"/>
      <c r="J12" s="56"/>
      <c r="K12" s="56"/>
      <c r="L12" s="56"/>
      <c r="M12" s="56"/>
      <c r="N12" s="860" t="s">
        <v>332</v>
      </c>
      <c r="O12" s="860"/>
      <c r="P12" s="131">
        <v>1E-4</v>
      </c>
      <c r="Q12" s="225">
        <f t="shared" si="0"/>
        <v>0.11900000000000001</v>
      </c>
      <c r="R12" s="316"/>
      <c r="S12" s="141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x14ac:dyDescent="0.3">
      <c r="A13" s="56"/>
      <c r="B13" s="867" t="s">
        <v>333</v>
      </c>
      <c r="C13" s="866" t="s">
        <v>334</v>
      </c>
      <c r="D13" s="866"/>
      <c r="E13" s="866"/>
      <c r="F13" s="56"/>
      <c r="G13" s="56"/>
      <c r="H13" s="56"/>
      <c r="I13" s="56"/>
      <c r="J13" s="56"/>
      <c r="K13" s="56"/>
      <c r="L13" s="56"/>
      <c r="M13" s="56"/>
      <c r="N13" s="870" t="s">
        <v>335</v>
      </c>
      <c r="O13" s="871"/>
      <c r="P13" s="871"/>
      <c r="Q13" s="872"/>
      <c r="R13" s="141"/>
      <c r="S13" s="141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x14ac:dyDescent="0.3">
      <c r="A14" s="56"/>
      <c r="B14" s="867"/>
      <c r="C14" s="866"/>
      <c r="D14" s="866"/>
      <c r="E14" s="866"/>
      <c r="F14" s="56"/>
      <c r="G14" s="56"/>
      <c r="H14" s="56"/>
      <c r="I14" s="56"/>
      <c r="J14" s="56"/>
      <c r="K14" s="56"/>
      <c r="L14" s="56"/>
      <c r="M14" s="56"/>
      <c r="N14" s="870"/>
      <c r="O14" s="871"/>
      <c r="P14" s="871"/>
      <c r="Q14" s="872"/>
      <c r="R14" s="141"/>
      <c r="S14" s="141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873"/>
      <c r="O15" s="874"/>
      <c r="P15" s="874"/>
      <c r="Q15" s="875"/>
      <c r="R15" s="141"/>
      <c r="S15" s="141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x14ac:dyDescent="0.3">
      <c r="A16" s="56"/>
      <c r="B16" s="847" t="s">
        <v>336</v>
      </c>
      <c r="C16" s="847"/>
      <c r="D16" s="847"/>
      <c r="E16" s="847"/>
      <c r="F16" s="847"/>
      <c r="G16" s="56"/>
      <c r="H16" s="56"/>
      <c r="I16" s="56"/>
      <c r="J16" s="56"/>
      <c r="K16" s="56"/>
      <c r="L16" s="56"/>
      <c r="M16" s="56"/>
      <c r="N16" s="868" t="s">
        <v>337</v>
      </c>
      <c r="O16" s="868"/>
      <c r="P16" s="868"/>
      <c r="Q16" s="141"/>
      <c r="R16" s="141"/>
      <c r="S16" s="141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3" x14ac:dyDescent="0.3">
      <c r="A17" s="56"/>
      <c r="B17" s="847" t="s">
        <v>338</v>
      </c>
      <c r="C17" s="847"/>
      <c r="D17" s="847"/>
      <c r="E17" s="847"/>
      <c r="F17" s="847"/>
      <c r="G17" s="56"/>
      <c r="H17" s="56"/>
      <c r="I17" s="56"/>
      <c r="J17" s="56"/>
      <c r="K17" s="56"/>
      <c r="L17" s="56"/>
      <c r="M17" s="56"/>
      <c r="N17" s="868"/>
      <c r="O17" s="868"/>
      <c r="P17" s="868"/>
      <c r="Q17" s="141"/>
      <c r="R17" s="141"/>
      <c r="S17" s="141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x14ac:dyDescent="0.3">
      <c r="A18" s="56"/>
      <c r="B18" s="1"/>
      <c r="C18" s="1" t="s">
        <v>339</v>
      </c>
      <c r="D18" s="1"/>
      <c r="E18" s="1"/>
      <c r="F18" s="1" t="s">
        <v>340</v>
      </c>
      <c r="G18" s="56"/>
      <c r="H18" s="56"/>
      <c r="I18" s="56"/>
      <c r="J18" s="56"/>
      <c r="K18" s="56"/>
      <c r="L18" s="56"/>
      <c r="M18" s="56"/>
      <c r="N18" s="860" t="s">
        <v>341</v>
      </c>
      <c r="O18" s="860"/>
      <c r="P18" s="22">
        <v>0.98399999999999999</v>
      </c>
      <c r="Q18" s="141" t="s">
        <v>342</v>
      </c>
      <c r="R18" s="141"/>
      <c r="S18" s="141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x14ac:dyDescent="0.3">
      <c r="A19" s="56"/>
      <c r="B19" s="2" t="s">
        <v>324</v>
      </c>
      <c r="C19" s="7">
        <v>8.1999999999999993</v>
      </c>
      <c r="D19" s="1" t="s">
        <v>343</v>
      </c>
      <c r="E19" s="1"/>
      <c r="F19" s="1"/>
      <c r="G19" s="56"/>
      <c r="H19" s="56"/>
      <c r="I19" s="56"/>
      <c r="J19" s="56"/>
      <c r="K19" s="56"/>
      <c r="L19" s="56"/>
      <c r="M19" s="56"/>
      <c r="N19" s="861" t="s">
        <v>344</v>
      </c>
      <c r="O19" s="861"/>
      <c r="P19" s="122">
        <v>0.99990000000000001</v>
      </c>
      <c r="Q19" s="141"/>
      <c r="R19" s="141"/>
      <c r="S19" s="141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x14ac:dyDescent="0.3">
      <c r="A20" s="56"/>
      <c r="B20" s="1"/>
      <c r="C20" s="1">
        <v>7.2</v>
      </c>
      <c r="D20" s="1" t="s">
        <v>345</v>
      </c>
      <c r="E20" s="1"/>
      <c r="F20" s="1"/>
      <c r="G20" s="56"/>
      <c r="H20" s="56"/>
      <c r="I20" s="56"/>
      <c r="J20" s="56"/>
      <c r="K20" s="56"/>
      <c r="L20" s="56"/>
      <c r="M20" s="56"/>
      <c r="N20" s="880" t="s">
        <v>346</v>
      </c>
      <c r="O20" s="881"/>
      <c r="P20" s="882"/>
      <c r="Q20" s="141"/>
      <c r="R20" s="141"/>
      <c r="S20" s="141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883"/>
      <c r="O21" s="884"/>
      <c r="P21" s="885"/>
      <c r="Q21" s="141"/>
      <c r="R21" s="141"/>
      <c r="S21" s="141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886"/>
      <c r="O22" s="887"/>
      <c r="P22" s="888"/>
      <c r="Q22" s="141"/>
      <c r="R22" s="141"/>
      <c r="S22" s="141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x14ac:dyDescent="0.3">
      <c r="A23" s="56"/>
      <c r="B23" s="17" t="s">
        <v>86</v>
      </c>
      <c r="C23" s="17">
        <v>1190</v>
      </c>
      <c r="D23" t="s">
        <v>347</v>
      </c>
      <c r="E23" s="56"/>
      <c r="F23" s="56"/>
      <c r="G23" s="56"/>
      <c r="H23" s="56"/>
      <c r="I23" s="56"/>
      <c r="J23" s="56"/>
      <c r="K23" s="56"/>
      <c r="L23" s="56"/>
      <c r="M23" s="56"/>
      <c r="N23" s="890" t="s">
        <v>348</v>
      </c>
      <c r="O23" s="891"/>
      <c r="P23" s="891"/>
      <c r="Q23" s="892"/>
      <c r="R23" s="892"/>
      <c r="S23" s="893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894" t="s">
        <v>349</v>
      </c>
      <c r="O24" s="894"/>
      <c r="P24" s="894" t="s">
        <v>350</v>
      </c>
      <c r="Q24" s="894"/>
      <c r="R24" s="894"/>
      <c r="S24" s="89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ht="14.7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77" t="s">
        <v>351</v>
      </c>
      <c r="O25" s="877"/>
      <c r="P25" s="877" t="s">
        <v>352</v>
      </c>
      <c r="Q25" s="877"/>
      <c r="R25" s="877"/>
      <c r="S25" s="877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x14ac:dyDescent="0.3">
      <c r="A26" s="56"/>
      <c r="B26" s="858" t="s">
        <v>353</v>
      </c>
      <c r="C26" s="889" t="s">
        <v>172</v>
      </c>
      <c r="D26" s="889"/>
      <c r="E26" s="889"/>
      <c r="F26" s="889"/>
      <c r="G26" s="847" t="s">
        <v>354</v>
      </c>
      <c r="H26" s="56"/>
      <c r="I26" s="56"/>
      <c r="J26" s="56"/>
      <c r="K26" s="56"/>
      <c r="L26" s="56"/>
      <c r="M26" s="56"/>
      <c r="N26" s="877" t="s">
        <v>31</v>
      </c>
      <c r="O26" s="877"/>
      <c r="P26" s="877" t="s">
        <v>350</v>
      </c>
      <c r="Q26" s="877"/>
      <c r="R26" s="877"/>
      <c r="S26" s="877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x14ac:dyDescent="0.3">
      <c r="A27" s="56"/>
      <c r="B27" s="858"/>
      <c r="C27" s="500">
        <v>1200</v>
      </c>
      <c r="D27" s="500">
        <v>1500</v>
      </c>
      <c r="E27" s="500">
        <v>1700</v>
      </c>
      <c r="F27" s="500">
        <v>1800</v>
      </c>
      <c r="G27" s="847"/>
      <c r="H27" s="56"/>
      <c r="I27" s="56"/>
      <c r="J27" s="56"/>
      <c r="K27" s="56"/>
      <c r="L27" s="56"/>
      <c r="M27" s="56"/>
      <c r="N27" s="879" t="s">
        <v>355</v>
      </c>
      <c r="O27" s="879"/>
      <c r="P27" s="878" t="s">
        <v>356</v>
      </c>
      <c r="Q27" s="878"/>
      <c r="R27" s="878"/>
      <c r="S27" s="878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x14ac:dyDescent="0.3">
      <c r="A28" s="56"/>
      <c r="B28" s="1" t="s">
        <v>357</v>
      </c>
      <c r="C28" s="312">
        <v>192</v>
      </c>
      <c r="D28" s="312">
        <v>191</v>
      </c>
      <c r="E28" s="312">
        <v>196</v>
      </c>
      <c r="F28" s="312">
        <v>200</v>
      </c>
      <c r="G28" s="1" t="s">
        <v>358</v>
      </c>
      <c r="H28" s="56"/>
      <c r="I28" s="56"/>
      <c r="J28" s="56"/>
      <c r="K28" s="56"/>
      <c r="L28" s="56"/>
      <c r="M28" s="56"/>
      <c r="N28" s="879"/>
      <c r="O28" s="879"/>
      <c r="P28" s="878"/>
      <c r="Q28" s="878"/>
      <c r="R28" s="878"/>
      <c r="S28" s="878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x14ac:dyDescent="0.3">
      <c r="A29" s="56"/>
      <c r="B29" s="1" t="s">
        <v>359</v>
      </c>
      <c r="C29" s="312">
        <v>193</v>
      </c>
      <c r="D29" s="312">
        <v>196</v>
      </c>
      <c r="E29" s="312">
        <v>203</v>
      </c>
      <c r="F29" s="312">
        <v>207</v>
      </c>
      <c r="G29" s="1" t="s">
        <v>358</v>
      </c>
      <c r="H29" s="56"/>
      <c r="I29" s="56"/>
      <c r="J29" s="56"/>
      <c r="K29" s="56"/>
      <c r="L29" s="56"/>
      <c r="M29" s="56"/>
      <c r="N29" s="879" t="s">
        <v>360</v>
      </c>
      <c r="O29" s="879"/>
      <c r="P29" s="878" t="s">
        <v>361</v>
      </c>
      <c r="Q29" s="878"/>
      <c r="R29" s="878"/>
      <c r="S29" s="878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x14ac:dyDescent="0.3">
      <c r="A30" s="56"/>
      <c r="B30" s="1" t="s">
        <v>362</v>
      </c>
      <c r="C30" s="312">
        <v>197</v>
      </c>
      <c r="D30" s="312">
        <v>202</v>
      </c>
      <c r="E30" s="312">
        <v>206</v>
      </c>
      <c r="F30" s="312">
        <v>216</v>
      </c>
      <c r="G30" s="1" t="s">
        <v>358</v>
      </c>
      <c r="H30" s="56"/>
      <c r="I30" s="56"/>
      <c r="J30" s="56"/>
      <c r="K30" s="56"/>
      <c r="L30" s="56"/>
      <c r="M30" s="56"/>
      <c r="N30" s="879"/>
      <c r="O30" s="879"/>
      <c r="P30" s="878"/>
      <c r="Q30" s="878"/>
      <c r="R30" s="878"/>
      <c r="S30" s="878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x14ac:dyDescent="0.3">
      <c r="A31" s="56"/>
      <c r="B31" s="1" t="s">
        <v>363</v>
      </c>
      <c r="C31" s="312">
        <v>32</v>
      </c>
      <c r="D31" s="312">
        <v>56</v>
      </c>
      <c r="E31" s="312">
        <v>77</v>
      </c>
      <c r="F31" s="312">
        <v>88</v>
      </c>
      <c r="G31" s="1" t="s">
        <v>364</v>
      </c>
      <c r="H31" s="56"/>
      <c r="I31" s="56"/>
      <c r="J31" s="56"/>
      <c r="K31" s="56"/>
      <c r="L31" s="56"/>
      <c r="M31" s="56"/>
      <c r="N31" s="877" t="s">
        <v>365</v>
      </c>
      <c r="O31" s="877"/>
      <c r="P31" s="877" t="s">
        <v>366</v>
      </c>
      <c r="Q31" s="877"/>
      <c r="R31" s="877"/>
      <c r="S31" s="877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ht="14.7" customHeight="1" x14ac:dyDescent="0.3">
      <c r="A32" s="56"/>
      <c r="B32" s="6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877" t="s">
        <v>367</v>
      </c>
      <c r="O32" s="877"/>
      <c r="P32" s="877" t="s">
        <v>350</v>
      </c>
      <c r="Q32" s="877"/>
      <c r="R32" s="877"/>
      <c r="S32" s="877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x14ac:dyDescent="0.3">
      <c r="A33" s="56"/>
      <c r="B33" s="847" t="s">
        <v>368</v>
      </c>
      <c r="C33" s="853" t="s">
        <v>369</v>
      </c>
      <c r="D33" s="853" t="s">
        <v>370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x14ac:dyDescent="0.3">
      <c r="A34" s="56"/>
      <c r="B34" s="847"/>
      <c r="C34" s="853"/>
      <c r="D34" s="85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x14ac:dyDescent="0.3">
      <c r="A35" s="56"/>
      <c r="B35" s="312">
        <v>6</v>
      </c>
      <c r="C35" s="312">
        <v>20</v>
      </c>
      <c r="D35" s="6">
        <f t="shared" ref="D35:D51" si="1">C35/1.36</f>
        <v>14.705882352941176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x14ac:dyDescent="0.3">
      <c r="A36" s="56"/>
      <c r="B36" s="312">
        <v>7</v>
      </c>
      <c r="C36" s="312">
        <v>40</v>
      </c>
      <c r="D36" s="6">
        <f t="shared" si="1"/>
        <v>29.411764705882351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x14ac:dyDescent="0.3">
      <c r="A37" s="56"/>
      <c r="B37" s="312">
        <v>8</v>
      </c>
      <c r="C37" s="312">
        <v>50</v>
      </c>
      <c r="D37" s="6">
        <f t="shared" si="1"/>
        <v>36.764705882352942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x14ac:dyDescent="0.3">
      <c r="A38" s="56"/>
      <c r="B38" s="312">
        <v>9</v>
      </c>
      <c r="C38" s="312">
        <v>70</v>
      </c>
      <c r="D38" s="6">
        <f t="shared" si="1"/>
        <v>51.470588235294116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x14ac:dyDescent="0.3">
      <c r="A39" s="56"/>
      <c r="B39" s="312">
        <v>10</v>
      </c>
      <c r="C39" s="312">
        <v>100</v>
      </c>
      <c r="D39" s="6">
        <f t="shared" si="1"/>
        <v>73.529411764705884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x14ac:dyDescent="0.3">
      <c r="A40" s="56"/>
      <c r="B40" s="312">
        <v>11</v>
      </c>
      <c r="C40" s="312">
        <v>150</v>
      </c>
      <c r="D40" s="6">
        <f t="shared" si="1"/>
        <v>110.29411764705881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x14ac:dyDescent="0.3">
      <c r="A41" s="56"/>
      <c r="B41" s="312">
        <v>12</v>
      </c>
      <c r="C41" s="312">
        <v>180</v>
      </c>
      <c r="D41" s="6">
        <f t="shared" si="1"/>
        <v>132.35294117647058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x14ac:dyDescent="0.3">
      <c r="A42" s="56"/>
      <c r="B42" s="312">
        <v>13</v>
      </c>
      <c r="C42" s="312">
        <v>220</v>
      </c>
      <c r="D42" s="6">
        <f t="shared" si="1"/>
        <v>161.76470588235293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ht="14.7" customHeight="1" x14ac:dyDescent="0.3">
      <c r="A43" s="56"/>
      <c r="B43" s="312">
        <v>14</v>
      </c>
      <c r="C43" s="312">
        <v>260</v>
      </c>
      <c r="D43" s="6">
        <f t="shared" si="1"/>
        <v>191.17647058823528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14.7" customHeight="1" x14ac:dyDescent="0.3">
      <c r="A44" s="56"/>
      <c r="B44" s="312">
        <v>15</v>
      </c>
      <c r="C44" s="312">
        <v>300</v>
      </c>
      <c r="D44" s="6">
        <f t="shared" si="1"/>
        <v>220.58823529411762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x14ac:dyDescent="0.3">
      <c r="A45" s="56"/>
      <c r="B45" s="312">
        <v>16</v>
      </c>
      <c r="C45" s="312">
        <v>350</v>
      </c>
      <c r="D45" s="6">
        <f t="shared" si="1"/>
        <v>257.35294117647055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x14ac:dyDescent="0.3">
      <c r="A46" s="56"/>
      <c r="B46" s="312">
        <v>17</v>
      </c>
      <c r="C46" s="312">
        <v>410</v>
      </c>
      <c r="D46" s="6">
        <f t="shared" si="1"/>
        <v>301.47058823529409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x14ac:dyDescent="0.3">
      <c r="A47" s="56"/>
      <c r="B47" s="312">
        <v>18</v>
      </c>
      <c r="C47" s="312">
        <v>460</v>
      </c>
      <c r="D47" s="6">
        <f t="shared" si="1"/>
        <v>338.23529411764702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x14ac:dyDescent="0.3">
      <c r="A48" s="56"/>
      <c r="B48" s="312">
        <v>19</v>
      </c>
      <c r="C48" s="312">
        <v>500</v>
      </c>
      <c r="D48" s="6">
        <f t="shared" si="1"/>
        <v>367.64705882352939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x14ac:dyDescent="0.3">
      <c r="A49" s="56"/>
      <c r="B49" s="312">
        <v>20</v>
      </c>
      <c r="C49" s="312">
        <v>550</v>
      </c>
      <c r="D49" s="6">
        <f t="shared" si="1"/>
        <v>404.41176470588232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x14ac:dyDescent="0.3">
      <c r="A50" s="56"/>
      <c r="B50" s="312">
        <v>21</v>
      </c>
      <c r="C50" s="312">
        <v>610</v>
      </c>
      <c r="D50" s="6">
        <f t="shared" si="1"/>
        <v>448.52941176470586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x14ac:dyDescent="0.3">
      <c r="A51" s="56"/>
      <c r="B51" s="312">
        <v>22</v>
      </c>
      <c r="C51" s="312">
        <v>660</v>
      </c>
      <c r="D51" s="6">
        <f t="shared" si="1"/>
        <v>485.29411764705878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x14ac:dyDescent="0.3">
      <c r="A55" s="56"/>
      <c r="B55" s="851" t="s">
        <v>371</v>
      </c>
      <c r="C55" s="851" t="s">
        <v>372</v>
      </c>
      <c r="D55" s="853" t="s">
        <v>373</v>
      </c>
      <c r="E55" s="852" t="s">
        <v>374</v>
      </c>
      <c r="F55" s="851" t="s">
        <v>375</v>
      </c>
      <c r="G55" s="851" t="s">
        <v>376</v>
      </c>
      <c r="H55" s="852" t="s">
        <v>377</v>
      </c>
      <c r="I55" s="853" t="s">
        <v>378</v>
      </c>
      <c r="J55" s="858" t="s">
        <v>379</v>
      </c>
      <c r="K55" s="856" t="s">
        <v>114</v>
      </c>
      <c r="L55" s="858" t="s">
        <v>380</v>
      </c>
      <c r="M55" s="856" t="s">
        <v>266</v>
      </c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x14ac:dyDescent="0.3">
      <c r="A56" s="56"/>
      <c r="B56" s="852"/>
      <c r="C56" s="852"/>
      <c r="D56" s="854"/>
      <c r="E56" s="855"/>
      <c r="F56" s="852"/>
      <c r="G56" s="852"/>
      <c r="H56" s="855"/>
      <c r="I56" s="858"/>
      <c r="J56" s="859"/>
      <c r="K56" s="857"/>
      <c r="L56" s="859"/>
      <c r="M56" s="857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x14ac:dyDescent="0.3">
      <c r="A57" s="56"/>
      <c r="B57" s="848" t="s">
        <v>87</v>
      </c>
      <c r="C57" s="104">
        <v>19</v>
      </c>
      <c r="D57" s="92">
        <v>1800</v>
      </c>
      <c r="E57" s="111">
        <v>368</v>
      </c>
      <c r="F57" s="112">
        <v>500</v>
      </c>
      <c r="G57" s="475">
        <v>1</v>
      </c>
      <c r="H57" s="113"/>
      <c r="I57" s="94">
        <v>200</v>
      </c>
      <c r="J57" s="113" t="s">
        <v>155</v>
      </c>
      <c r="K57" s="93" t="s">
        <v>151</v>
      </c>
      <c r="L57" s="92">
        <v>0.84</v>
      </c>
      <c r="M57" s="10">
        <v>2.6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x14ac:dyDescent="0.3">
      <c r="A58" s="56"/>
      <c r="B58" s="849"/>
      <c r="C58" s="105"/>
      <c r="D58" s="62">
        <v>1800</v>
      </c>
      <c r="E58" s="62"/>
      <c r="F58" s="65"/>
      <c r="G58" s="476">
        <v>0.75</v>
      </c>
      <c r="H58" s="78"/>
      <c r="I58" s="3">
        <v>207</v>
      </c>
      <c r="J58" s="78" t="s">
        <v>155</v>
      </c>
      <c r="K58" s="13" t="s">
        <v>151</v>
      </c>
      <c r="L58" s="62">
        <v>0.84</v>
      </c>
      <c r="M58" s="11">
        <v>2.6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x14ac:dyDescent="0.3">
      <c r="A59" s="56"/>
      <c r="B59" s="849"/>
      <c r="C59" s="105"/>
      <c r="D59" s="62">
        <v>1800</v>
      </c>
      <c r="E59" s="62"/>
      <c r="F59" s="65"/>
      <c r="G59" s="476">
        <v>0.5</v>
      </c>
      <c r="H59" s="78"/>
      <c r="I59" s="3">
        <v>216</v>
      </c>
      <c r="J59" s="78" t="s">
        <v>155</v>
      </c>
      <c r="K59" s="13" t="s">
        <v>151</v>
      </c>
      <c r="L59" s="62">
        <v>0.84</v>
      </c>
      <c r="M59" s="11">
        <v>2.6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">
      <c r="A60" s="56"/>
      <c r="B60" s="849"/>
      <c r="C60" s="105"/>
      <c r="D60" s="62">
        <v>1800</v>
      </c>
      <c r="E60" s="62"/>
      <c r="F60" s="65"/>
      <c r="G60" s="476" t="s">
        <v>62</v>
      </c>
      <c r="H60" s="65">
        <v>368</v>
      </c>
      <c r="I60" s="14" t="s">
        <v>155</v>
      </c>
      <c r="J60" s="65">
        <v>88</v>
      </c>
      <c r="K60" s="13" t="s">
        <v>151</v>
      </c>
      <c r="L60" s="62">
        <v>0.84</v>
      </c>
      <c r="M60" s="9">
        <v>2.6</v>
      </c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</row>
    <row r="61" spans="1:33" x14ac:dyDescent="0.3">
      <c r="A61" s="56"/>
      <c r="B61" s="849"/>
      <c r="C61" s="106">
        <v>18</v>
      </c>
      <c r="D61" s="108">
        <v>1500</v>
      </c>
      <c r="E61" s="106">
        <v>350</v>
      </c>
      <c r="F61" s="98">
        <v>476</v>
      </c>
      <c r="G61" s="477">
        <v>1</v>
      </c>
      <c r="H61" s="116"/>
      <c r="I61" s="114">
        <v>191</v>
      </c>
      <c r="J61" s="119" t="s">
        <v>155</v>
      </c>
      <c r="K61" s="93" t="s">
        <v>151</v>
      </c>
      <c r="L61" s="92">
        <v>0.84</v>
      </c>
      <c r="M61" s="10">
        <v>2.6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spans="1:33" x14ac:dyDescent="0.3">
      <c r="A62" s="56"/>
      <c r="B62" s="849"/>
      <c r="C62" s="107"/>
      <c r="D62" s="109">
        <v>1500</v>
      </c>
      <c r="E62" s="107"/>
      <c r="F62" s="99"/>
      <c r="G62" s="476">
        <v>0.75</v>
      </c>
      <c r="H62" s="78"/>
      <c r="I62" s="5">
        <v>196</v>
      </c>
      <c r="J62" s="78" t="s">
        <v>155</v>
      </c>
      <c r="K62" s="13" t="s">
        <v>151</v>
      </c>
      <c r="L62" s="62">
        <v>0.84</v>
      </c>
      <c r="M62" s="11">
        <v>2.6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</row>
    <row r="63" spans="1:33" x14ac:dyDescent="0.3">
      <c r="A63" s="56"/>
      <c r="B63" s="849"/>
      <c r="C63" s="107"/>
      <c r="D63" s="109">
        <v>1500</v>
      </c>
      <c r="E63" s="107"/>
      <c r="F63" s="99"/>
      <c r="G63" s="476">
        <v>0.5</v>
      </c>
      <c r="H63" s="117"/>
      <c r="I63" s="5">
        <v>202</v>
      </c>
      <c r="J63" s="120" t="s">
        <v>155</v>
      </c>
      <c r="K63" s="13" t="s">
        <v>151</v>
      </c>
      <c r="L63" s="62">
        <v>0.84</v>
      </c>
      <c r="M63" s="11">
        <v>2.6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</row>
    <row r="64" spans="1:33" x14ac:dyDescent="0.3">
      <c r="A64" s="56"/>
      <c r="B64" s="849"/>
      <c r="C64" s="107"/>
      <c r="D64" s="109">
        <v>1500</v>
      </c>
      <c r="E64" s="115"/>
      <c r="F64" s="100"/>
      <c r="G64" s="478" t="s">
        <v>62</v>
      </c>
      <c r="H64" s="118">
        <v>233</v>
      </c>
      <c r="I64" s="96" t="s">
        <v>155</v>
      </c>
      <c r="J64" s="100">
        <v>56</v>
      </c>
      <c r="K64" s="97" t="s">
        <v>151</v>
      </c>
      <c r="L64" s="63">
        <v>0.84</v>
      </c>
      <c r="M64" s="9">
        <v>2.6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</row>
    <row r="65" spans="1:33" x14ac:dyDescent="0.3">
      <c r="A65" s="56"/>
      <c r="B65" s="849"/>
      <c r="C65" s="108">
        <v>17</v>
      </c>
      <c r="D65" s="101">
        <v>1200</v>
      </c>
      <c r="E65" s="5">
        <v>292</v>
      </c>
      <c r="F65" s="99">
        <v>396</v>
      </c>
      <c r="G65" s="476">
        <v>1</v>
      </c>
      <c r="H65" s="117"/>
      <c r="I65" s="5">
        <v>192</v>
      </c>
      <c r="J65" s="120" t="s">
        <v>155</v>
      </c>
      <c r="K65" s="13" t="s">
        <v>151</v>
      </c>
      <c r="L65" s="62">
        <v>0.84</v>
      </c>
      <c r="M65" s="10">
        <v>2.6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x14ac:dyDescent="0.3">
      <c r="A66" s="56"/>
      <c r="B66" s="849"/>
      <c r="C66" s="109"/>
      <c r="D66" s="102">
        <v>1200</v>
      </c>
      <c r="E66" s="5"/>
      <c r="F66" s="99"/>
      <c r="G66" s="476">
        <v>0.75</v>
      </c>
      <c r="H66" s="117"/>
      <c r="I66" s="5">
        <v>193</v>
      </c>
      <c r="J66" s="120" t="s">
        <v>155</v>
      </c>
      <c r="K66" s="13" t="s">
        <v>151</v>
      </c>
      <c r="L66" s="62">
        <v>0.84</v>
      </c>
      <c r="M66" s="11">
        <v>2.6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3" x14ac:dyDescent="0.3">
      <c r="A67" s="56"/>
      <c r="B67" s="849"/>
      <c r="C67" s="109"/>
      <c r="D67" s="102">
        <v>1200</v>
      </c>
      <c r="E67" s="5"/>
      <c r="F67" s="99"/>
      <c r="G67" s="476">
        <v>0.5</v>
      </c>
      <c r="H67" s="117"/>
      <c r="I67" s="5">
        <v>197</v>
      </c>
      <c r="J67" s="120" t="s">
        <v>155</v>
      </c>
      <c r="K67" s="13" t="s">
        <v>151</v>
      </c>
      <c r="L67" s="62">
        <v>0.84</v>
      </c>
      <c r="M67" s="11">
        <v>2.6</v>
      </c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</row>
    <row r="68" spans="1:33" x14ac:dyDescent="0.3">
      <c r="A68" s="56"/>
      <c r="B68" s="850"/>
      <c r="C68" s="110"/>
      <c r="D68" s="103">
        <v>1200</v>
      </c>
      <c r="E68" s="95"/>
      <c r="F68" s="100"/>
      <c r="G68" s="479" t="s">
        <v>62</v>
      </c>
      <c r="H68" s="100">
        <v>134</v>
      </c>
      <c r="I68" s="96" t="s">
        <v>155</v>
      </c>
      <c r="J68" s="103">
        <v>32</v>
      </c>
      <c r="K68" s="97" t="s">
        <v>151</v>
      </c>
      <c r="L68" s="63">
        <v>0.84</v>
      </c>
      <c r="M68" s="9">
        <v>2.6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</row>
    <row r="69" spans="1:33" x14ac:dyDescent="0.3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</row>
    <row r="70" spans="1:33" x14ac:dyDescent="0.3">
      <c r="A70" s="56"/>
      <c r="B70" s="895" t="s">
        <v>381</v>
      </c>
      <c r="C70" s="896" t="s">
        <v>382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</row>
    <row r="71" spans="1:33" x14ac:dyDescent="0.3">
      <c r="A71" s="56"/>
      <c r="B71" s="895"/>
      <c r="C71" s="89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</row>
    <row r="72" spans="1:33" x14ac:dyDescent="0.3">
      <c r="A72" s="56"/>
      <c r="B72" s="62">
        <v>1800</v>
      </c>
      <c r="C72" s="65">
        <v>19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</row>
    <row r="73" spans="1:33" x14ac:dyDescent="0.3">
      <c r="A73" s="56"/>
      <c r="B73" s="62">
        <v>1500</v>
      </c>
      <c r="C73" s="65">
        <v>18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</row>
    <row r="74" spans="1:33" x14ac:dyDescent="0.3">
      <c r="A74" s="56"/>
      <c r="B74" s="63">
        <v>1200</v>
      </c>
      <c r="C74" s="66">
        <v>17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</row>
    <row r="75" spans="1:33" x14ac:dyDescent="0.3">
      <c r="A75" s="56"/>
      <c r="B75" s="12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</row>
    <row r="76" spans="1:33" x14ac:dyDescent="0.3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</row>
    <row r="77" spans="1:33" x14ac:dyDescent="0.3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3" x14ac:dyDescent="0.3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3" x14ac:dyDescent="0.3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</row>
    <row r="80" spans="1:33" x14ac:dyDescent="0.3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x14ac:dyDescent="0.3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</row>
    <row r="82" spans="1:33" x14ac:dyDescent="0.3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x14ac:dyDescent="0.3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</row>
    <row r="84" spans="1:33" x14ac:dyDescent="0.3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</row>
    <row r="85" spans="1:33" x14ac:dyDescent="0.3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</row>
    <row r="86" spans="1:33" x14ac:dyDescent="0.3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3" x14ac:dyDescent="0.3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</row>
    <row r="88" spans="1:33" x14ac:dyDescent="0.3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</row>
    <row r="89" spans="1:33" x14ac:dyDescent="0.3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</row>
    <row r="90" spans="1:33" x14ac:dyDescent="0.3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spans="1:33" x14ac:dyDescent="0.3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</row>
    <row r="92" spans="1:33" x14ac:dyDescent="0.3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</row>
    <row r="93" spans="1:33" x14ac:dyDescent="0.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</row>
    <row r="94" spans="1:33" x14ac:dyDescent="0.3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</row>
    <row r="95" spans="1:33" x14ac:dyDescent="0.3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3" x14ac:dyDescent="0.3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1:33" x14ac:dyDescent="0.3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1:33" x14ac:dyDescent="0.3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1:33" x14ac:dyDescent="0.3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1:33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</row>
    <row r="101" spans="1:33" x14ac:dyDescent="0.3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</row>
    <row r="102" spans="1:33" x14ac:dyDescent="0.3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1:33" x14ac:dyDescent="0.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1:33" x14ac:dyDescent="0.3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</sheetData>
  <mergeCells count="61">
    <mergeCell ref="B70:B71"/>
    <mergeCell ref="C70:C71"/>
    <mergeCell ref="B33:B34"/>
    <mergeCell ref="C33:C34"/>
    <mergeCell ref="D33:D34"/>
    <mergeCell ref="N20:P22"/>
    <mergeCell ref="G26:G27"/>
    <mergeCell ref="B26:B27"/>
    <mergeCell ref="C26:F26"/>
    <mergeCell ref="N23:S23"/>
    <mergeCell ref="P24:S24"/>
    <mergeCell ref="P27:S28"/>
    <mergeCell ref="N27:O28"/>
    <mergeCell ref="P26:S26"/>
    <mergeCell ref="P25:S25"/>
    <mergeCell ref="N24:O24"/>
    <mergeCell ref="N25:O25"/>
    <mergeCell ref="N26:O26"/>
    <mergeCell ref="P31:S31"/>
    <mergeCell ref="P32:S32"/>
    <mergeCell ref="P29:S30"/>
    <mergeCell ref="N29:O30"/>
    <mergeCell ref="N32:O32"/>
    <mergeCell ref="N31:O31"/>
    <mergeCell ref="N7:O7"/>
    <mergeCell ref="P5:P6"/>
    <mergeCell ref="B16:F16"/>
    <mergeCell ref="B17:F17"/>
    <mergeCell ref="C5:E5"/>
    <mergeCell ref="C8:E8"/>
    <mergeCell ref="C6:E7"/>
    <mergeCell ref="B6:B7"/>
    <mergeCell ref="B9:B12"/>
    <mergeCell ref="C9:E12"/>
    <mergeCell ref="C13:E14"/>
    <mergeCell ref="B13:B14"/>
    <mergeCell ref="N16:P17"/>
    <mergeCell ref="N5:O6"/>
    <mergeCell ref="N13:Q15"/>
    <mergeCell ref="Q5:Q6"/>
    <mergeCell ref="N8:O8"/>
    <mergeCell ref="N9:O9"/>
    <mergeCell ref="N10:O10"/>
    <mergeCell ref="N11:O11"/>
    <mergeCell ref="N12:O12"/>
    <mergeCell ref="N4:Q4"/>
    <mergeCell ref="B57:B68"/>
    <mergeCell ref="B55:B56"/>
    <mergeCell ref="C55:C56"/>
    <mergeCell ref="D55:D56"/>
    <mergeCell ref="G55:G56"/>
    <mergeCell ref="E55:E56"/>
    <mergeCell ref="F55:F56"/>
    <mergeCell ref="K55:K56"/>
    <mergeCell ref="M55:M56"/>
    <mergeCell ref="L55:L56"/>
    <mergeCell ref="J55:J56"/>
    <mergeCell ref="H55:H56"/>
    <mergeCell ref="I55:I56"/>
    <mergeCell ref="N18:O18"/>
    <mergeCell ref="N19:O19"/>
  </mergeCells>
  <phoneticPr fontId="24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A4C8-80E7-494C-9C06-65FEBD375A56}">
  <sheetPr codeName="Ark12"/>
  <dimension ref="A1:AL316"/>
  <sheetViews>
    <sheetView topLeftCell="A14" zoomScale="60" zoomScaleNormal="60" workbookViewId="0">
      <selection activeCell="E11" sqref="E11"/>
    </sheetView>
  </sheetViews>
  <sheetFormatPr baseColWidth="10" defaultColWidth="11.44140625" defaultRowHeight="14.4" x14ac:dyDescent="0.3"/>
  <cols>
    <col min="2" max="2" width="31.21875" customWidth="1"/>
    <col min="3" max="3" width="21.21875" customWidth="1"/>
    <col min="4" max="4" width="21.77734375" customWidth="1"/>
    <col min="5" max="5" width="17.21875" customWidth="1"/>
    <col min="6" max="6" width="19.44140625" customWidth="1"/>
    <col min="7" max="7" width="13.21875" customWidth="1"/>
    <col min="8" max="8" width="16.77734375" customWidth="1"/>
    <col min="9" max="9" width="11.44140625" style="60"/>
    <col min="10" max="10" width="22.77734375" style="60" bestFit="1" customWidth="1"/>
    <col min="11" max="13" width="11.44140625" style="60"/>
    <col min="16" max="34" width="11.44140625" style="60"/>
  </cols>
  <sheetData>
    <row r="1" spans="1:34" ht="15" thickBot="1" x14ac:dyDescent="0.35">
      <c r="A1" s="57"/>
      <c r="B1" s="57"/>
      <c r="C1" s="57"/>
      <c r="D1" s="57"/>
      <c r="E1" s="57"/>
      <c r="F1" s="57"/>
      <c r="G1" s="57"/>
      <c r="H1" s="57"/>
      <c r="I1" s="141"/>
      <c r="N1" s="56"/>
      <c r="O1" s="56"/>
    </row>
    <row r="2" spans="1:34" ht="23.4" x14ac:dyDescent="0.45">
      <c r="A2" s="464"/>
      <c r="B2" s="550" t="s">
        <v>319</v>
      </c>
      <c r="C2" s="551" t="s">
        <v>50</v>
      </c>
      <c r="D2" s="378"/>
      <c r="E2" s="378"/>
      <c r="F2" s="379"/>
      <c r="G2" s="379"/>
      <c r="H2" s="552"/>
      <c r="I2" s="435"/>
      <c r="N2" s="56"/>
      <c r="O2" s="56"/>
    </row>
    <row r="3" spans="1:34" ht="15" customHeight="1" x14ac:dyDescent="0.45">
      <c r="A3" s="324"/>
      <c r="B3" s="326"/>
      <c r="C3" s="381"/>
      <c r="D3" s="326"/>
      <c r="E3" s="326"/>
      <c r="F3" s="326"/>
      <c r="G3" s="326"/>
      <c r="H3" s="326"/>
      <c r="I3" s="327"/>
      <c r="N3" s="56"/>
      <c r="O3" s="56"/>
    </row>
    <row r="4" spans="1:34" x14ac:dyDescent="0.3">
      <c r="A4" s="324"/>
      <c r="B4" s="15" t="s">
        <v>383</v>
      </c>
      <c r="C4" s="523" t="s">
        <v>384</v>
      </c>
      <c r="D4" s="326"/>
      <c r="E4" s="326"/>
      <c r="F4" s="326"/>
      <c r="G4" s="326"/>
      <c r="H4" s="326"/>
      <c r="I4" s="327"/>
      <c r="N4" s="56"/>
      <c r="O4" s="56"/>
    </row>
    <row r="5" spans="1:34" x14ac:dyDescent="0.3">
      <c r="A5" s="324"/>
      <c r="B5" s="1" t="s">
        <v>385</v>
      </c>
      <c r="C5" s="123" t="s">
        <v>386</v>
      </c>
      <c r="D5" s="326"/>
      <c r="E5" s="326"/>
      <c r="F5" s="326"/>
      <c r="G5" s="326"/>
      <c r="H5" s="326"/>
      <c r="I5" s="327"/>
      <c r="N5" s="56"/>
      <c r="O5" s="56"/>
    </row>
    <row r="6" spans="1:34" ht="14.7" customHeight="1" x14ac:dyDescent="0.3">
      <c r="A6" s="324"/>
      <c r="B6" s="1" t="s">
        <v>387</v>
      </c>
      <c r="C6" s="1">
        <v>375</v>
      </c>
      <c r="D6" s="326"/>
      <c r="E6" s="326"/>
      <c r="F6" s="326"/>
      <c r="G6" s="326"/>
      <c r="H6" s="326"/>
      <c r="I6" s="327"/>
      <c r="N6" s="56"/>
      <c r="O6" s="56"/>
    </row>
    <row r="7" spans="1:34" ht="14.55" customHeight="1" x14ac:dyDescent="0.3">
      <c r="A7" s="324"/>
      <c r="B7" s="1" t="s">
        <v>493</v>
      </c>
      <c r="C7" s="1">
        <v>1500</v>
      </c>
      <c r="D7" s="326"/>
      <c r="E7" s="326"/>
      <c r="F7" s="326"/>
      <c r="G7" s="326"/>
      <c r="H7" s="326"/>
      <c r="I7" s="327"/>
      <c r="N7" s="56"/>
      <c r="O7" s="56"/>
    </row>
    <row r="8" spans="1:34" ht="14.55" customHeight="1" x14ac:dyDescent="0.3">
      <c r="A8" s="324"/>
      <c r="B8" s="1" t="s">
        <v>494</v>
      </c>
      <c r="C8" s="1">
        <v>18</v>
      </c>
      <c r="D8" s="326"/>
      <c r="E8" s="326"/>
      <c r="F8" s="326"/>
      <c r="G8" s="326"/>
      <c r="H8" s="326"/>
      <c r="I8" s="327"/>
      <c r="N8" s="56"/>
      <c r="O8" s="56"/>
    </row>
    <row r="9" spans="1:34" ht="14.55" customHeight="1" x14ac:dyDescent="0.3">
      <c r="A9" s="324"/>
      <c r="B9" s="16" t="s">
        <v>388</v>
      </c>
      <c r="C9" s="554">
        <v>1</v>
      </c>
      <c r="D9" s="326"/>
      <c r="E9" s="326"/>
      <c r="F9" s="326"/>
      <c r="G9" s="326"/>
      <c r="H9" s="326"/>
      <c r="I9" s="327"/>
      <c r="N9" s="56"/>
      <c r="O9" s="56"/>
    </row>
    <row r="10" spans="1:34" x14ac:dyDescent="0.3">
      <c r="A10" s="324"/>
      <c r="B10" s="1" t="s">
        <v>389</v>
      </c>
      <c r="C10" s="1">
        <v>15</v>
      </c>
      <c r="D10" s="326"/>
      <c r="E10" s="326"/>
      <c r="F10" s="326"/>
      <c r="G10" s="326"/>
      <c r="H10" s="326"/>
      <c r="I10" s="327"/>
      <c r="N10" s="56"/>
      <c r="O10" s="56"/>
    </row>
    <row r="11" spans="1:34" x14ac:dyDescent="0.3">
      <c r="A11" s="324"/>
      <c r="B11" s="27" t="s">
        <v>390</v>
      </c>
      <c r="C11" s="1">
        <v>5000</v>
      </c>
      <c r="D11" s="326"/>
      <c r="E11" s="326"/>
      <c r="F11" s="326"/>
      <c r="G11" s="326"/>
      <c r="H11" s="326"/>
      <c r="I11" s="327"/>
      <c r="N11" s="56"/>
      <c r="O11" s="56"/>
    </row>
    <row r="12" spans="1:34" x14ac:dyDescent="0.3">
      <c r="A12" s="324"/>
      <c r="B12" s="326"/>
      <c r="C12" s="326"/>
      <c r="D12" s="326"/>
      <c r="E12" s="326"/>
      <c r="F12" s="326"/>
      <c r="G12" s="326"/>
      <c r="H12" s="326"/>
      <c r="I12" s="327"/>
      <c r="N12" s="56"/>
      <c r="O12" s="56"/>
    </row>
    <row r="13" spans="1:34" x14ac:dyDescent="0.3">
      <c r="A13" s="324"/>
      <c r="B13" s="897" t="s">
        <v>392</v>
      </c>
      <c r="C13" s="898"/>
      <c r="D13" s="899"/>
      <c r="E13" s="537"/>
      <c r="F13" s="326"/>
      <c r="G13" s="326"/>
      <c r="H13" s="326"/>
      <c r="I13" s="327"/>
      <c r="N13" s="56"/>
      <c r="O13" s="56"/>
    </row>
    <row r="14" spans="1:34" x14ac:dyDescent="0.3">
      <c r="A14" s="324"/>
      <c r="B14" s="15" t="s">
        <v>394</v>
      </c>
      <c r="C14" s="524" t="s">
        <v>395</v>
      </c>
      <c r="D14" s="524" t="s">
        <v>397</v>
      </c>
      <c r="E14" s="326"/>
      <c r="F14" s="326"/>
      <c r="G14" s="326"/>
      <c r="H14" s="326"/>
      <c r="I14" s="327"/>
      <c r="M14" s="56"/>
      <c r="N14" s="56"/>
      <c r="O14" s="60"/>
      <c r="AH14"/>
    </row>
    <row r="15" spans="1:34" x14ac:dyDescent="0.3">
      <c r="A15" s="324"/>
      <c r="B15" s="1" t="s">
        <v>51</v>
      </c>
      <c r="C15" s="6">
        <f>$C$24*D15</f>
        <v>1106.8965517241379</v>
      </c>
      <c r="D15" s="545">
        <f t="shared" ref="D15:D23" si="0">E29</f>
        <v>0.51724137931034486</v>
      </c>
      <c r="E15" s="326"/>
      <c r="F15" s="326"/>
      <c r="G15" s="544"/>
      <c r="H15" s="326"/>
      <c r="I15" s="327"/>
      <c r="M15" s="56"/>
      <c r="N15" s="56"/>
      <c r="O15" s="60"/>
      <c r="AH15"/>
    </row>
    <row r="16" spans="1:34" x14ac:dyDescent="0.3">
      <c r="A16" s="324"/>
      <c r="B16" s="1" t="s">
        <v>54</v>
      </c>
      <c r="C16" s="6">
        <f t="shared" ref="C16:C23" si="1">$C$24*D16</f>
        <v>189.355888093689</v>
      </c>
      <c r="D16" s="545">
        <f t="shared" si="0"/>
        <v>8.8484059856864014E-2</v>
      </c>
      <c r="E16" s="326"/>
      <c r="F16" s="326"/>
      <c r="G16" s="326"/>
      <c r="H16" s="326"/>
      <c r="I16" s="327"/>
      <c r="M16" s="56"/>
      <c r="N16" s="56"/>
      <c r="O16" s="60"/>
      <c r="AH16"/>
    </row>
    <row r="17" spans="1:38" x14ac:dyDescent="0.3">
      <c r="A17" s="324"/>
      <c r="B17" s="1" t="s">
        <v>55</v>
      </c>
      <c r="C17" s="6">
        <f t="shared" si="1"/>
        <v>633.5068314899155</v>
      </c>
      <c r="D17" s="545">
        <f t="shared" si="0"/>
        <v>0.29603122966818479</v>
      </c>
      <c r="E17" s="326"/>
      <c r="F17" s="326"/>
      <c r="G17" s="326"/>
      <c r="H17" s="326"/>
      <c r="I17" s="327"/>
      <c r="M17" s="56"/>
      <c r="N17" s="56"/>
      <c r="O17" s="60"/>
      <c r="AH17"/>
    </row>
    <row r="18" spans="1:38" x14ac:dyDescent="0.3">
      <c r="A18" s="324"/>
      <c r="B18" s="1" t="s">
        <v>56</v>
      </c>
      <c r="C18" s="6">
        <f t="shared" si="1"/>
        <v>33.415744957709826</v>
      </c>
      <c r="D18" s="545">
        <f t="shared" si="0"/>
        <v>1.5614834092387769E-2</v>
      </c>
      <c r="E18" s="326"/>
      <c r="F18" s="326"/>
      <c r="G18" s="326"/>
      <c r="H18" s="326"/>
      <c r="I18" s="327"/>
      <c r="M18" s="56"/>
      <c r="N18" s="56"/>
      <c r="O18" s="60"/>
      <c r="AH18"/>
    </row>
    <row r="19" spans="1:38" x14ac:dyDescent="0.3">
      <c r="A19" s="324"/>
      <c r="B19" s="1" t="s">
        <v>58</v>
      </c>
      <c r="C19" s="6">
        <f t="shared" si="1"/>
        <v>126.70136629798309</v>
      </c>
      <c r="D19" s="545">
        <f t="shared" si="0"/>
        <v>5.9206245933636957E-2</v>
      </c>
      <c r="E19" s="326"/>
      <c r="F19" s="326"/>
      <c r="G19" s="326"/>
      <c r="H19" s="326"/>
      <c r="I19" s="327"/>
      <c r="M19" s="56"/>
      <c r="N19" s="56"/>
      <c r="O19" s="60"/>
      <c r="AH19"/>
    </row>
    <row r="20" spans="1:38" x14ac:dyDescent="0.3">
      <c r="A20" s="324"/>
      <c r="B20" s="25" t="s">
        <v>60</v>
      </c>
      <c r="C20" s="26">
        <f t="shared" si="1"/>
        <v>8.3539362394274566</v>
      </c>
      <c r="D20" s="546">
        <f t="shared" si="0"/>
        <v>3.9037085230969422E-3</v>
      </c>
      <c r="E20" s="326"/>
      <c r="F20" s="326"/>
      <c r="G20" s="326"/>
      <c r="H20" s="326"/>
      <c r="I20" s="327"/>
      <c r="M20" s="56"/>
      <c r="N20" s="56"/>
      <c r="O20" s="60"/>
      <c r="AH20"/>
    </row>
    <row r="21" spans="1:38" x14ac:dyDescent="0.3">
      <c r="A21" s="324"/>
      <c r="B21" s="25" t="s">
        <v>63</v>
      </c>
      <c r="C21" s="26">
        <f t="shared" si="1"/>
        <v>20.884840598568641</v>
      </c>
      <c r="D21" s="546">
        <f t="shared" si="0"/>
        <v>9.7592713077423558E-3</v>
      </c>
      <c r="E21" s="326"/>
      <c r="F21" s="326"/>
      <c r="G21" s="326"/>
      <c r="H21" s="326"/>
      <c r="I21" s="327"/>
      <c r="M21" s="56"/>
      <c r="N21" s="56"/>
      <c r="O21" s="60"/>
      <c r="AH21"/>
    </row>
    <row r="22" spans="1:38" x14ac:dyDescent="0.3">
      <c r="A22" s="324"/>
      <c r="B22" s="25" t="s">
        <v>64</v>
      </c>
      <c r="C22" s="26">
        <f t="shared" si="1"/>
        <v>9.746258945998699</v>
      </c>
      <c r="D22" s="546">
        <f t="shared" si="0"/>
        <v>4.554326610279766E-3</v>
      </c>
      <c r="E22" s="326"/>
      <c r="F22" s="326"/>
      <c r="G22" s="326"/>
      <c r="H22" s="326"/>
      <c r="I22" s="327"/>
      <c r="M22" s="56"/>
      <c r="N22" s="56"/>
      <c r="O22" s="60"/>
      <c r="AH22"/>
    </row>
    <row r="23" spans="1:38" x14ac:dyDescent="0.3">
      <c r="A23" s="324"/>
      <c r="B23" s="25" t="s">
        <v>65</v>
      </c>
      <c r="C23" s="26">
        <f t="shared" si="1"/>
        <v>11.138581652569941</v>
      </c>
      <c r="D23" s="546">
        <f t="shared" si="0"/>
        <v>5.2049446974625898E-3</v>
      </c>
      <c r="E23" s="326"/>
      <c r="F23" s="326"/>
      <c r="G23" s="326"/>
      <c r="H23" s="326"/>
      <c r="I23" s="327"/>
      <c r="M23" s="56"/>
      <c r="N23" s="56"/>
      <c r="O23" s="60"/>
      <c r="AH23"/>
    </row>
    <row r="24" spans="1:38" x14ac:dyDescent="0.3">
      <c r="A24" s="324"/>
      <c r="B24" s="547" t="s">
        <v>166</v>
      </c>
      <c r="C24" s="547">
        <v>2140</v>
      </c>
      <c r="D24" s="548">
        <f>SUM(D15:D23)</f>
        <v>1.0000000000000002</v>
      </c>
      <c r="E24" s="326"/>
      <c r="F24" s="380"/>
      <c r="G24" s="326"/>
      <c r="H24" s="326"/>
      <c r="I24" s="327"/>
      <c r="J24" s="141"/>
      <c r="K24" s="141"/>
      <c r="L24" s="141"/>
      <c r="M24" s="56"/>
      <c r="N24" s="56"/>
      <c r="O24" s="60"/>
      <c r="AH24"/>
    </row>
    <row r="25" spans="1:38" x14ac:dyDescent="0.3">
      <c r="A25" s="324"/>
      <c r="B25" s="326"/>
      <c r="C25" s="326"/>
      <c r="D25" s="326"/>
      <c r="E25" s="326"/>
      <c r="F25" s="326"/>
      <c r="G25" s="326"/>
      <c r="H25" s="326"/>
      <c r="I25" s="327"/>
      <c r="J25" s="141"/>
      <c r="K25" s="141"/>
      <c r="L25" s="141"/>
      <c r="M25" s="141"/>
      <c r="N25" s="56"/>
      <c r="O25" s="56"/>
    </row>
    <row r="26" spans="1:38" x14ac:dyDescent="0.3">
      <c r="A26" s="324"/>
      <c r="B26" s="905" t="s">
        <v>391</v>
      </c>
      <c r="C26" s="906"/>
      <c r="D26" s="906"/>
      <c r="E26" s="907"/>
      <c r="F26" s="537"/>
      <c r="G26" s="537"/>
      <c r="H26" s="537"/>
      <c r="I26" s="541"/>
      <c r="J26" s="141"/>
      <c r="K26" s="141"/>
      <c r="L26" s="141"/>
      <c r="M26" s="141"/>
      <c r="N26" s="56"/>
      <c r="O26" s="56"/>
      <c r="P26" s="56"/>
      <c r="Q26" s="56"/>
      <c r="R26" s="56"/>
      <c r="S26" s="56"/>
      <c r="AI26" s="60"/>
      <c r="AJ26" s="60"/>
      <c r="AK26" s="60"/>
      <c r="AL26" s="60"/>
    </row>
    <row r="27" spans="1:38" x14ac:dyDescent="0.3">
      <c r="A27" s="324"/>
      <c r="B27" s="900" t="s">
        <v>393</v>
      </c>
      <c r="C27" s="901"/>
      <c r="D27" s="901"/>
      <c r="E27" s="902"/>
      <c r="F27" s="538"/>
      <c r="G27" s="539"/>
      <c r="H27" s="540"/>
      <c r="I27" s="542"/>
      <c r="J27" s="141"/>
      <c r="K27" s="141"/>
      <c r="L27" s="141"/>
      <c r="M27" s="141"/>
      <c r="N27" s="56"/>
      <c r="O27" s="56"/>
      <c r="P27" s="56"/>
      <c r="Q27" s="56"/>
      <c r="R27" s="56"/>
      <c r="S27" s="56"/>
      <c r="AI27" s="60"/>
      <c r="AJ27" s="60"/>
      <c r="AK27" s="60"/>
      <c r="AL27" s="60"/>
    </row>
    <row r="28" spans="1:38" x14ac:dyDescent="0.3">
      <c r="A28" s="324"/>
      <c r="B28" s="15" t="s">
        <v>394</v>
      </c>
      <c r="C28" s="524" t="s">
        <v>395</v>
      </c>
      <c r="D28" s="524" t="s">
        <v>396</v>
      </c>
      <c r="E28" s="524" t="s">
        <v>397</v>
      </c>
      <c r="F28" s="326"/>
      <c r="G28" s="380"/>
      <c r="H28" s="380"/>
      <c r="I28" s="543"/>
      <c r="J28" s="141"/>
      <c r="K28" s="141"/>
      <c r="L28" s="141"/>
      <c r="M28" s="141"/>
      <c r="N28" s="56"/>
      <c r="O28" s="56"/>
      <c r="P28" s="56"/>
      <c r="Q28" s="56"/>
      <c r="R28" s="56"/>
      <c r="S28" s="56"/>
      <c r="AI28" s="60"/>
      <c r="AJ28" s="60"/>
      <c r="AK28" s="60"/>
      <c r="AL28" s="60"/>
    </row>
    <row r="29" spans="1:38" x14ac:dyDescent="0.3">
      <c r="A29" s="324"/>
      <c r="B29" s="1" t="s">
        <v>51</v>
      </c>
      <c r="C29" s="1">
        <v>795</v>
      </c>
      <c r="D29" s="6">
        <v>3.98</v>
      </c>
      <c r="E29" s="545">
        <f t="shared" ref="E29:E37" si="2">C29/$C$38</f>
        <v>0.51724137931034486</v>
      </c>
      <c r="F29" s="326"/>
      <c r="G29" s="380"/>
      <c r="H29" s="380"/>
      <c r="I29" s="543"/>
      <c r="J29" s="141"/>
      <c r="K29" s="141"/>
      <c r="L29" s="141"/>
      <c r="M29" s="141"/>
      <c r="N29" s="56"/>
      <c r="O29" s="56"/>
      <c r="P29" s="56"/>
      <c r="Q29" s="56"/>
      <c r="R29" s="56"/>
      <c r="S29" s="56"/>
      <c r="AI29" s="60"/>
      <c r="AJ29" s="60"/>
      <c r="AK29" s="60"/>
      <c r="AL29" s="60"/>
    </row>
    <row r="30" spans="1:38" x14ac:dyDescent="0.3">
      <c r="A30" s="324"/>
      <c r="B30" s="1" t="s">
        <v>54</v>
      </c>
      <c r="C30" s="1">
        <v>136</v>
      </c>
      <c r="D30" s="6">
        <v>0.68</v>
      </c>
      <c r="E30" s="545">
        <f t="shared" si="2"/>
        <v>8.8484059856864014E-2</v>
      </c>
      <c r="F30" s="326"/>
      <c r="G30" s="380"/>
      <c r="H30" s="380"/>
      <c r="I30" s="543"/>
      <c r="J30" s="141"/>
      <c r="K30" s="141"/>
      <c r="L30" s="141"/>
      <c r="M30" s="141"/>
      <c r="N30" s="56"/>
      <c r="O30" s="56"/>
      <c r="P30" s="56"/>
      <c r="Q30" s="56"/>
      <c r="R30" s="56"/>
      <c r="S30" s="56"/>
      <c r="AI30" s="60"/>
      <c r="AJ30" s="60"/>
      <c r="AK30" s="60"/>
      <c r="AL30" s="60"/>
    </row>
    <row r="31" spans="1:38" x14ac:dyDescent="0.3">
      <c r="A31" s="324"/>
      <c r="B31" s="1" t="s">
        <v>55</v>
      </c>
      <c r="C31" s="16">
        <v>455</v>
      </c>
      <c r="D31" s="6">
        <v>0.12</v>
      </c>
      <c r="E31" s="545">
        <f t="shared" si="2"/>
        <v>0.29603122966818479</v>
      </c>
      <c r="F31" s="326"/>
      <c r="G31" s="380"/>
      <c r="H31" s="380"/>
      <c r="I31" s="543"/>
      <c r="J31" s="141"/>
      <c r="K31" s="141"/>
      <c r="L31" s="141"/>
      <c r="M31" s="141"/>
      <c r="N31" s="56"/>
      <c r="O31" s="56"/>
      <c r="P31" s="56"/>
      <c r="Q31" s="56"/>
      <c r="R31" s="56"/>
      <c r="S31" s="56"/>
      <c r="AI31" s="60"/>
      <c r="AJ31" s="60"/>
      <c r="AK31" s="60"/>
      <c r="AL31" s="60"/>
    </row>
    <row r="32" spans="1:38" x14ac:dyDescent="0.3">
      <c r="A32" s="324"/>
      <c r="B32" s="1" t="s">
        <v>56</v>
      </c>
      <c r="C32" s="1">
        <v>24</v>
      </c>
      <c r="D32" s="6">
        <v>0.12</v>
      </c>
      <c r="E32" s="545">
        <f t="shared" si="2"/>
        <v>1.5614834092387769E-2</v>
      </c>
      <c r="F32" s="326"/>
      <c r="G32" s="380"/>
      <c r="H32" s="380"/>
      <c r="I32" s="543"/>
      <c r="J32" s="141"/>
      <c r="K32" s="141"/>
      <c r="L32" s="141"/>
      <c r="M32" s="141"/>
      <c r="N32" s="56"/>
      <c r="O32" s="56"/>
      <c r="P32" s="56"/>
      <c r="Q32" s="56"/>
      <c r="R32" s="56"/>
      <c r="S32" s="56"/>
      <c r="AI32" s="60"/>
      <c r="AJ32" s="60"/>
      <c r="AK32" s="60"/>
      <c r="AL32" s="60"/>
    </row>
    <row r="33" spans="1:38" x14ac:dyDescent="0.3">
      <c r="A33" s="324"/>
      <c r="B33" s="1" t="s">
        <v>58</v>
      </c>
      <c r="C33" s="1">
        <v>91</v>
      </c>
      <c r="D33" s="6">
        <v>0.45</v>
      </c>
      <c r="E33" s="545">
        <f t="shared" si="2"/>
        <v>5.9206245933636957E-2</v>
      </c>
      <c r="F33" s="326"/>
      <c r="G33" s="380"/>
      <c r="H33" s="380"/>
      <c r="I33" s="543"/>
      <c r="J33" s="141"/>
      <c r="K33" s="141"/>
      <c r="L33" s="141"/>
      <c r="M33" s="141"/>
      <c r="N33" s="56"/>
      <c r="O33" s="56"/>
      <c r="P33" s="56"/>
      <c r="Q33" s="56"/>
      <c r="R33" s="56"/>
      <c r="S33" s="56"/>
      <c r="AI33" s="60"/>
      <c r="AJ33" s="60"/>
      <c r="AK33" s="60"/>
      <c r="AL33" s="60"/>
    </row>
    <row r="34" spans="1:38" x14ac:dyDescent="0.3">
      <c r="A34" s="324"/>
      <c r="B34" s="25" t="s">
        <v>60</v>
      </c>
      <c r="C34" s="25">
        <v>6</v>
      </c>
      <c r="D34" s="26">
        <v>0.03</v>
      </c>
      <c r="E34" s="546">
        <f t="shared" si="2"/>
        <v>3.9037085230969422E-3</v>
      </c>
      <c r="F34" s="326"/>
      <c r="G34" s="380"/>
      <c r="H34" s="380"/>
      <c r="I34" s="543"/>
      <c r="J34" s="141"/>
      <c r="K34" s="141"/>
      <c r="L34" s="141"/>
      <c r="M34" s="141"/>
      <c r="N34" s="56"/>
      <c r="O34" s="56"/>
      <c r="P34" s="56"/>
      <c r="Q34" s="56"/>
      <c r="R34" s="56"/>
      <c r="S34" s="56"/>
      <c r="AI34" s="60"/>
      <c r="AJ34" s="60"/>
      <c r="AK34" s="60"/>
      <c r="AL34" s="60"/>
    </row>
    <row r="35" spans="1:38" x14ac:dyDescent="0.3">
      <c r="A35" s="324"/>
      <c r="B35" s="25" t="s">
        <v>63</v>
      </c>
      <c r="C35" s="25">
        <v>15</v>
      </c>
      <c r="D35" s="26">
        <v>0.08</v>
      </c>
      <c r="E35" s="546">
        <f t="shared" si="2"/>
        <v>9.7592713077423558E-3</v>
      </c>
      <c r="F35" s="326"/>
      <c r="G35" s="380"/>
      <c r="H35" s="380"/>
      <c r="I35" s="543"/>
      <c r="J35" s="141"/>
      <c r="K35" s="141"/>
      <c r="L35" s="141"/>
      <c r="M35" s="141"/>
      <c r="N35" s="56"/>
      <c r="O35" s="56"/>
      <c r="P35" s="56"/>
      <c r="Q35" s="56"/>
      <c r="R35" s="56"/>
      <c r="S35" s="56"/>
      <c r="AI35" s="60"/>
      <c r="AJ35" s="60"/>
      <c r="AK35" s="60"/>
      <c r="AL35" s="60"/>
    </row>
    <row r="36" spans="1:38" x14ac:dyDescent="0.3">
      <c r="A36" s="324"/>
      <c r="B36" s="25" t="s">
        <v>64</v>
      </c>
      <c r="C36" s="25">
        <v>7</v>
      </c>
      <c r="D36" s="26">
        <v>0.04</v>
      </c>
      <c r="E36" s="546">
        <f t="shared" si="2"/>
        <v>4.554326610279766E-3</v>
      </c>
      <c r="F36" s="538"/>
      <c r="G36" s="539"/>
      <c r="H36" s="540"/>
      <c r="I36" s="542"/>
      <c r="J36" s="141"/>
      <c r="K36" s="141"/>
      <c r="L36" s="141"/>
      <c r="M36" s="141"/>
      <c r="N36" s="56"/>
      <c r="O36" s="56"/>
      <c r="P36" s="56"/>
      <c r="Q36" s="56"/>
      <c r="R36" s="56"/>
      <c r="S36" s="56"/>
      <c r="AI36" s="60"/>
      <c r="AJ36" s="60"/>
      <c r="AK36" s="60"/>
      <c r="AL36" s="60"/>
    </row>
    <row r="37" spans="1:38" x14ac:dyDescent="0.3">
      <c r="A37" s="324"/>
      <c r="B37" s="25" t="s">
        <v>65</v>
      </c>
      <c r="C37" s="25">
        <v>8</v>
      </c>
      <c r="D37" s="25">
        <v>0.04</v>
      </c>
      <c r="E37" s="546">
        <f t="shared" si="2"/>
        <v>5.2049446974625898E-3</v>
      </c>
      <c r="F37" s="326"/>
      <c r="G37" s="326"/>
      <c r="H37" s="380"/>
      <c r="I37" s="543"/>
      <c r="J37" s="141"/>
      <c r="K37" s="141"/>
      <c r="L37" s="141"/>
      <c r="M37" s="141"/>
      <c r="N37" s="56"/>
      <c r="O37" s="56"/>
      <c r="P37" s="56"/>
      <c r="Q37" s="56"/>
      <c r="R37" s="56"/>
      <c r="S37" s="56"/>
      <c r="AI37" s="60"/>
      <c r="AJ37" s="60"/>
      <c r="AK37" s="60"/>
      <c r="AL37" s="60"/>
    </row>
    <row r="38" spans="1:38" x14ac:dyDescent="0.3">
      <c r="A38" s="324"/>
      <c r="B38" s="547" t="s">
        <v>166</v>
      </c>
      <c r="C38" s="547">
        <f>SUM(C29:C37)</f>
        <v>1537</v>
      </c>
      <c r="D38" s="549"/>
      <c r="E38" s="548">
        <f>SUM(E29:E37)</f>
        <v>1.0000000000000002</v>
      </c>
      <c r="F38" s="326"/>
      <c r="G38" s="326"/>
      <c r="H38" s="380"/>
      <c r="I38" s="543"/>
      <c r="J38" s="141"/>
      <c r="K38" s="141"/>
      <c r="L38" s="141"/>
      <c r="M38" s="141"/>
      <c r="N38" s="56"/>
      <c r="O38" s="56"/>
      <c r="P38" s="56"/>
      <c r="Q38" s="56"/>
      <c r="R38" s="56"/>
      <c r="S38" s="56"/>
      <c r="AI38" s="60"/>
      <c r="AJ38" s="60"/>
      <c r="AK38" s="60"/>
      <c r="AL38" s="60"/>
    </row>
    <row r="39" spans="1:38" x14ac:dyDescent="0.3">
      <c r="A39" s="324"/>
      <c r="B39" s="326"/>
      <c r="C39" s="326"/>
      <c r="D39" s="326"/>
      <c r="E39" s="326"/>
      <c r="F39" s="326"/>
      <c r="G39" s="326"/>
      <c r="H39" s="326"/>
      <c r="I39" s="327"/>
      <c r="J39" s="141"/>
      <c r="K39" s="141"/>
      <c r="L39" s="141"/>
      <c r="M39" s="141"/>
      <c r="N39" s="56"/>
      <c r="O39" s="56"/>
    </row>
    <row r="40" spans="1:38" x14ac:dyDescent="0.3">
      <c r="A40" s="324"/>
      <c r="B40" s="903" t="s">
        <v>398</v>
      </c>
      <c r="C40" s="903"/>
      <c r="D40" s="903"/>
      <c r="E40" s="903"/>
      <c r="F40" s="903"/>
      <c r="G40" s="903"/>
      <c r="H40" s="903"/>
      <c r="I40" s="327"/>
      <c r="N40" s="56"/>
      <c r="O40" s="56"/>
    </row>
    <row r="41" spans="1:38" x14ac:dyDescent="0.3">
      <c r="A41" s="324"/>
      <c r="B41" s="15"/>
      <c r="C41" s="904" t="s">
        <v>399</v>
      </c>
      <c r="D41" s="904"/>
      <c r="E41" s="904"/>
      <c r="F41" s="904" t="s">
        <v>400</v>
      </c>
      <c r="G41" s="904"/>
      <c r="H41" s="904"/>
      <c r="I41" s="327"/>
      <c r="N41" s="56"/>
      <c r="O41" s="56"/>
    </row>
    <row r="42" spans="1:38" x14ac:dyDescent="0.3">
      <c r="A42" s="324"/>
      <c r="B42" s="15" t="s">
        <v>401</v>
      </c>
      <c r="C42" s="524" t="s">
        <v>402</v>
      </c>
      <c r="D42" s="524" t="s">
        <v>403</v>
      </c>
      <c r="E42" s="524" t="s">
        <v>404</v>
      </c>
      <c r="F42" s="524" t="s">
        <v>402</v>
      </c>
      <c r="G42" s="524" t="s">
        <v>403</v>
      </c>
      <c r="H42" s="524" t="s">
        <v>404</v>
      </c>
      <c r="I42" s="327"/>
      <c r="N42" s="56"/>
      <c r="O42" s="56"/>
    </row>
    <row r="43" spans="1:38" x14ac:dyDescent="0.3">
      <c r="A43" s="324"/>
      <c r="B43" s="1" t="s">
        <v>405</v>
      </c>
      <c r="C43" s="1">
        <f>$C$6*F43</f>
        <v>1417.5</v>
      </c>
      <c r="D43" s="18">
        <f>G43*$C$6</f>
        <v>1110967.5</v>
      </c>
      <c r="E43" s="18">
        <f>$C$6*H43</f>
        <v>105.00000000000001</v>
      </c>
      <c r="F43" s="18">
        <v>3.78</v>
      </c>
      <c r="G43" s="18">
        <v>2962.58</v>
      </c>
      <c r="H43" s="18">
        <v>0.28000000000000003</v>
      </c>
      <c r="I43" s="327"/>
      <c r="N43" s="56"/>
      <c r="O43" s="56"/>
    </row>
    <row r="44" spans="1:38" x14ac:dyDescent="0.3">
      <c r="A44" s="324"/>
      <c r="B44" s="1" t="s">
        <v>406</v>
      </c>
      <c r="C44" s="1">
        <f>F44*$C$6</f>
        <v>1196.25</v>
      </c>
      <c r="D44" s="19" t="s">
        <v>155</v>
      </c>
      <c r="E44" s="19" t="s">
        <v>155</v>
      </c>
      <c r="F44" s="20">
        <v>3.19</v>
      </c>
      <c r="G44" s="19" t="s">
        <v>155</v>
      </c>
      <c r="H44" s="19" t="s">
        <v>155</v>
      </c>
      <c r="I44" s="327"/>
      <c r="N44" s="56"/>
      <c r="O44" s="56"/>
    </row>
    <row r="45" spans="1:38" x14ac:dyDescent="0.3">
      <c r="A45" s="324"/>
      <c r="B45" s="326"/>
      <c r="C45" s="326"/>
      <c r="D45" s="326"/>
      <c r="E45" s="326"/>
      <c r="F45" s="326"/>
      <c r="G45" s="326"/>
      <c r="H45" s="326"/>
      <c r="I45" s="327"/>
      <c r="N45" s="56"/>
      <c r="O45" s="56"/>
    </row>
    <row r="46" spans="1:38" x14ac:dyDescent="0.3">
      <c r="A46" s="324"/>
      <c r="B46" s="903" t="s">
        <v>407</v>
      </c>
      <c r="C46" s="903"/>
      <c r="D46" s="903"/>
      <c r="E46" s="903"/>
      <c r="F46" s="326"/>
      <c r="G46" s="326"/>
      <c r="H46" s="326"/>
      <c r="I46" s="327"/>
      <c r="N46" s="56"/>
      <c r="O46" s="56"/>
    </row>
    <row r="47" spans="1:38" x14ac:dyDescent="0.3">
      <c r="A47" s="324"/>
      <c r="B47" s="15" t="s">
        <v>408</v>
      </c>
      <c r="C47" s="524" t="s">
        <v>409</v>
      </c>
      <c r="D47" s="524" t="s">
        <v>410</v>
      </c>
      <c r="E47" s="524" t="s">
        <v>403</v>
      </c>
      <c r="F47" s="326"/>
      <c r="G47" s="326"/>
      <c r="H47" s="326"/>
      <c r="I47" s="327"/>
      <c r="N47" s="56"/>
      <c r="O47" s="56"/>
    </row>
    <row r="48" spans="1:38" x14ac:dyDescent="0.3">
      <c r="A48" s="324"/>
      <c r="B48" s="1" t="s">
        <v>411</v>
      </c>
      <c r="C48" s="1" t="s">
        <v>412</v>
      </c>
      <c r="D48" s="1">
        <v>17.617000000000001</v>
      </c>
      <c r="E48" s="1">
        <v>1615.789</v>
      </c>
      <c r="F48" s="326"/>
      <c r="G48" s="326"/>
      <c r="H48" s="326"/>
      <c r="I48" s="327"/>
      <c r="N48" s="56"/>
      <c r="O48" s="56"/>
    </row>
    <row r="49" spans="1:15" x14ac:dyDescent="0.3">
      <c r="A49" s="324"/>
      <c r="B49" s="326"/>
      <c r="C49" s="326"/>
      <c r="D49" s="326"/>
      <c r="E49" s="326"/>
      <c r="F49" s="326"/>
      <c r="G49" s="326"/>
      <c r="H49" s="326"/>
      <c r="I49" s="327"/>
      <c r="N49" s="56"/>
      <c r="O49" s="56"/>
    </row>
    <row r="50" spans="1:15" x14ac:dyDescent="0.3">
      <c r="A50" s="324"/>
      <c r="B50" s="326"/>
      <c r="C50" s="326"/>
      <c r="D50" s="326"/>
      <c r="E50" s="326"/>
      <c r="F50" s="326"/>
      <c r="G50" s="326"/>
      <c r="H50" s="326"/>
      <c r="I50" s="327"/>
      <c r="N50" s="56"/>
      <c r="O50" s="56"/>
    </row>
    <row r="51" spans="1:15" ht="15" thickBot="1" x14ac:dyDescent="0.35">
      <c r="A51" s="325"/>
      <c r="B51" s="329"/>
      <c r="C51" s="329" t="s">
        <v>413</v>
      </c>
      <c r="D51" s="329"/>
      <c r="E51" s="329"/>
      <c r="F51" s="329"/>
      <c r="G51" s="329"/>
      <c r="H51" s="329"/>
      <c r="I51" s="330"/>
      <c r="N51" s="56"/>
      <c r="O51" s="56"/>
    </row>
    <row r="52" spans="1:15" x14ac:dyDescent="0.3">
      <c r="A52" s="56"/>
      <c r="B52" s="56"/>
      <c r="C52" s="56"/>
      <c r="D52" s="56"/>
      <c r="E52" s="56"/>
      <c r="F52" s="56"/>
      <c r="G52" s="56"/>
      <c r="H52" s="56"/>
      <c r="N52" s="56"/>
      <c r="O52" s="56"/>
    </row>
    <row r="53" spans="1:15" x14ac:dyDescent="0.3">
      <c r="A53" s="56"/>
      <c r="B53" s="56"/>
      <c r="C53" s="56"/>
      <c r="D53" s="56"/>
      <c r="E53" s="56"/>
      <c r="F53" s="56"/>
      <c r="G53" s="56"/>
      <c r="H53" s="56"/>
      <c r="N53" s="56"/>
      <c r="O53" s="56"/>
    </row>
    <row r="54" spans="1:15" x14ac:dyDescent="0.3">
      <c r="A54" s="56"/>
      <c r="B54" s="56"/>
      <c r="C54" s="56"/>
      <c r="D54" s="56"/>
      <c r="E54" s="56"/>
      <c r="F54" s="56"/>
      <c r="G54" s="56"/>
      <c r="H54" s="56"/>
      <c r="N54" s="56"/>
      <c r="O54" s="56"/>
    </row>
    <row r="55" spans="1:15" x14ac:dyDescent="0.3">
      <c r="A55" s="56"/>
      <c r="B55" s="56"/>
      <c r="C55" s="56"/>
      <c r="D55" s="56"/>
      <c r="E55" s="56"/>
      <c r="F55" s="56"/>
      <c r="G55" s="56"/>
      <c r="H55" s="56"/>
      <c r="N55" s="56"/>
      <c r="O55" s="56"/>
    </row>
    <row r="56" spans="1:15" x14ac:dyDescent="0.3">
      <c r="A56" s="56"/>
      <c r="B56" s="56"/>
      <c r="C56" s="56"/>
      <c r="D56" s="56"/>
      <c r="E56" s="56"/>
      <c r="F56" s="56"/>
      <c r="G56" s="56"/>
      <c r="H56" s="56"/>
      <c r="N56" s="56"/>
      <c r="O56" s="56"/>
    </row>
    <row r="57" spans="1:15" x14ac:dyDescent="0.3">
      <c r="A57" s="56"/>
      <c r="B57" s="56"/>
      <c r="C57" s="56"/>
      <c r="D57" s="56"/>
      <c r="E57" s="56"/>
      <c r="F57" s="56"/>
      <c r="G57" s="56"/>
      <c r="H57" s="56"/>
      <c r="N57" s="56"/>
      <c r="O57" s="56"/>
    </row>
    <row r="58" spans="1:15" x14ac:dyDescent="0.3">
      <c r="A58" s="56"/>
      <c r="B58" s="56"/>
      <c r="C58" s="56"/>
      <c r="D58" s="56"/>
      <c r="E58" s="56"/>
      <c r="F58" s="56"/>
      <c r="G58" s="56"/>
      <c r="H58" s="56"/>
      <c r="N58" s="56"/>
      <c r="O58" s="56"/>
    </row>
    <row r="59" spans="1:15" x14ac:dyDescent="0.3">
      <c r="A59" s="56"/>
      <c r="B59" s="56"/>
      <c r="C59" s="56"/>
      <c r="D59" s="56"/>
      <c r="E59" s="56"/>
      <c r="F59" s="56"/>
      <c r="G59" s="56"/>
      <c r="H59" s="56"/>
      <c r="N59" s="56"/>
      <c r="O59" s="56"/>
    </row>
    <row r="60" spans="1:15" x14ac:dyDescent="0.3">
      <c r="A60" s="56"/>
      <c r="B60" s="56"/>
      <c r="C60" s="56"/>
      <c r="D60" s="56"/>
      <c r="E60" s="56"/>
      <c r="F60" s="56"/>
      <c r="G60" s="56"/>
      <c r="H60" s="56"/>
      <c r="N60" s="56"/>
      <c r="O60" s="56"/>
    </row>
    <row r="61" spans="1:15" x14ac:dyDescent="0.3">
      <c r="A61" s="56"/>
      <c r="B61" s="56"/>
      <c r="C61" s="56"/>
      <c r="D61" s="56"/>
      <c r="E61" s="56"/>
      <c r="F61" s="56"/>
      <c r="G61" s="56"/>
      <c r="H61" s="56"/>
      <c r="N61" s="56"/>
      <c r="O61" s="56"/>
    </row>
    <row r="62" spans="1:15" x14ac:dyDescent="0.3">
      <c r="A62" s="56"/>
      <c r="B62" s="56"/>
      <c r="C62" s="56"/>
      <c r="D62" s="56"/>
      <c r="E62" s="56"/>
      <c r="F62" s="56"/>
      <c r="G62" s="56"/>
      <c r="H62" s="56"/>
      <c r="N62" s="56"/>
      <c r="O62" s="56"/>
    </row>
    <row r="63" spans="1:15" s="60" customFormat="1" x14ac:dyDescent="0.3"/>
    <row r="64" spans="1:15" s="60" customFormat="1" x14ac:dyDescent="0.3"/>
    <row r="65" s="60" customFormat="1" x14ac:dyDescent="0.3"/>
    <row r="66" s="60" customFormat="1" x14ac:dyDescent="0.3"/>
    <row r="67" s="60" customFormat="1" x14ac:dyDescent="0.3"/>
    <row r="68" s="60" customFormat="1" x14ac:dyDescent="0.3"/>
    <row r="69" s="60" customFormat="1" x14ac:dyDescent="0.3"/>
    <row r="70" s="60" customFormat="1" x14ac:dyDescent="0.3"/>
    <row r="71" s="60" customFormat="1" x14ac:dyDescent="0.3"/>
    <row r="72" s="60" customFormat="1" x14ac:dyDescent="0.3"/>
    <row r="73" s="60" customFormat="1" x14ac:dyDescent="0.3"/>
    <row r="74" s="60" customFormat="1" x14ac:dyDescent="0.3"/>
    <row r="75" s="60" customFormat="1" x14ac:dyDescent="0.3"/>
    <row r="76" s="60" customFormat="1" x14ac:dyDescent="0.3"/>
    <row r="77" s="60" customFormat="1" x14ac:dyDescent="0.3"/>
    <row r="78" s="60" customFormat="1" x14ac:dyDescent="0.3"/>
    <row r="79" s="60" customFormat="1" x14ac:dyDescent="0.3"/>
    <row r="80" s="60" customFormat="1" x14ac:dyDescent="0.3"/>
    <row r="81" s="60" customFormat="1" x14ac:dyDescent="0.3"/>
    <row r="82" s="60" customFormat="1" x14ac:dyDescent="0.3"/>
    <row r="83" s="60" customFormat="1" x14ac:dyDescent="0.3"/>
    <row r="84" s="60" customFormat="1" x14ac:dyDescent="0.3"/>
    <row r="85" s="60" customFormat="1" x14ac:dyDescent="0.3"/>
    <row r="86" s="60" customFormat="1" x14ac:dyDescent="0.3"/>
    <row r="87" s="60" customFormat="1" x14ac:dyDescent="0.3"/>
    <row r="88" s="60" customFormat="1" x14ac:dyDescent="0.3"/>
    <row r="89" s="60" customFormat="1" x14ac:dyDescent="0.3"/>
    <row r="90" s="60" customFormat="1" x14ac:dyDescent="0.3"/>
    <row r="91" s="60" customFormat="1" x14ac:dyDescent="0.3"/>
    <row r="92" s="60" customFormat="1" x14ac:dyDescent="0.3"/>
    <row r="93" s="60" customFormat="1" x14ac:dyDescent="0.3"/>
    <row r="94" s="60" customFormat="1" x14ac:dyDescent="0.3"/>
    <row r="95" s="60" customFormat="1" x14ac:dyDescent="0.3"/>
    <row r="96" s="60" customFormat="1" x14ac:dyDescent="0.3"/>
    <row r="97" s="60" customFormat="1" x14ac:dyDescent="0.3"/>
    <row r="98" s="60" customFormat="1" x14ac:dyDescent="0.3"/>
    <row r="99" s="60" customFormat="1" x14ac:dyDescent="0.3"/>
    <row r="100" s="60" customFormat="1" x14ac:dyDescent="0.3"/>
    <row r="101" s="60" customFormat="1" x14ac:dyDescent="0.3"/>
    <row r="102" s="60" customFormat="1" x14ac:dyDescent="0.3"/>
    <row r="103" s="60" customFormat="1" x14ac:dyDescent="0.3"/>
    <row r="104" s="60" customFormat="1" x14ac:dyDescent="0.3"/>
    <row r="105" s="60" customFormat="1" x14ac:dyDescent="0.3"/>
    <row r="106" s="60" customFormat="1" x14ac:dyDescent="0.3"/>
    <row r="107" s="60" customFormat="1" x14ac:dyDescent="0.3"/>
    <row r="108" s="60" customFormat="1" x14ac:dyDescent="0.3"/>
    <row r="109" s="60" customFormat="1" x14ac:dyDescent="0.3"/>
    <row r="110" s="60" customFormat="1" x14ac:dyDescent="0.3"/>
    <row r="111" s="60" customFormat="1" x14ac:dyDescent="0.3"/>
    <row r="112" s="60" customFormat="1" x14ac:dyDescent="0.3"/>
    <row r="113" s="60" customFormat="1" x14ac:dyDescent="0.3"/>
    <row r="114" s="60" customFormat="1" x14ac:dyDescent="0.3"/>
    <row r="115" s="60" customFormat="1" x14ac:dyDescent="0.3"/>
    <row r="116" s="60" customFormat="1" x14ac:dyDescent="0.3"/>
    <row r="117" s="60" customFormat="1" x14ac:dyDescent="0.3"/>
    <row r="118" s="60" customFormat="1" x14ac:dyDescent="0.3"/>
    <row r="119" s="60" customFormat="1" x14ac:dyDescent="0.3"/>
    <row r="120" s="60" customFormat="1" x14ac:dyDescent="0.3"/>
    <row r="121" s="60" customFormat="1" x14ac:dyDescent="0.3"/>
    <row r="122" s="60" customFormat="1" x14ac:dyDescent="0.3"/>
    <row r="123" s="60" customFormat="1" x14ac:dyDescent="0.3"/>
    <row r="124" s="60" customFormat="1" x14ac:dyDescent="0.3"/>
    <row r="125" s="60" customFormat="1" x14ac:dyDescent="0.3"/>
    <row r="126" s="60" customFormat="1" x14ac:dyDescent="0.3"/>
    <row r="127" s="60" customFormat="1" x14ac:dyDescent="0.3"/>
    <row r="128" s="60" customFormat="1" x14ac:dyDescent="0.3"/>
    <row r="129" s="60" customFormat="1" x14ac:dyDescent="0.3"/>
    <row r="130" s="60" customFormat="1" x14ac:dyDescent="0.3"/>
    <row r="131" s="60" customFormat="1" x14ac:dyDescent="0.3"/>
    <row r="132" s="60" customFormat="1" x14ac:dyDescent="0.3"/>
    <row r="133" s="60" customFormat="1" x14ac:dyDescent="0.3"/>
    <row r="134" s="60" customFormat="1" x14ac:dyDescent="0.3"/>
    <row r="135" s="60" customFormat="1" x14ac:dyDescent="0.3"/>
    <row r="136" s="60" customFormat="1" x14ac:dyDescent="0.3"/>
    <row r="137" s="60" customFormat="1" x14ac:dyDescent="0.3"/>
    <row r="138" s="60" customFormat="1" x14ac:dyDescent="0.3"/>
    <row r="139" s="60" customFormat="1" x14ac:dyDescent="0.3"/>
    <row r="140" s="60" customFormat="1" x14ac:dyDescent="0.3"/>
    <row r="141" s="60" customFormat="1" x14ac:dyDescent="0.3"/>
    <row r="142" s="60" customFormat="1" x14ac:dyDescent="0.3"/>
    <row r="143" s="60" customFormat="1" x14ac:dyDescent="0.3"/>
    <row r="144" s="60" customFormat="1" x14ac:dyDescent="0.3"/>
    <row r="145" s="60" customFormat="1" x14ac:dyDescent="0.3"/>
    <row r="146" s="60" customFormat="1" x14ac:dyDescent="0.3"/>
    <row r="147" s="60" customFormat="1" x14ac:dyDescent="0.3"/>
    <row r="148" s="60" customFormat="1" x14ac:dyDescent="0.3"/>
    <row r="149" s="60" customFormat="1" x14ac:dyDescent="0.3"/>
    <row r="150" s="60" customFormat="1" x14ac:dyDescent="0.3"/>
    <row r="151" s="60" customFormat="1" x14ac:dyDescent="0.3"/>
    <row r="152" s="60" customFormat="1" x14ac:dyDescent="0.3"/>
    <row r="153" s="60" customFormat="1" x14ac:dyDescent="0.3"/>
    <row r="154" s="60" customFormat="1" x14ac:dyDescent="0.3"/>
    <row r="155" s="60" customFormat="1" x14ac:dyDescent="0.3"/>
    <row r="156" s="60" customFormat="1" x14ac:dyDescent="0.3"/>
    <row r="157" s="60" customFormat="1" x14ac:dyDescent="0.3"/>
    <row r="158" s="60" customFormat="1" x14ac:dyDescent="0.3"/>
    <row r="159" s="60" customFormat="1" x14ac:dyDescent="0.3"/>
    <row r="160" s="60" customFormat="1" x14ac:dyDescent="0.3"/>
    <row r="161" s="60" customFormat="1" x14ac:dyDescent="0.3"/>
    <row r="162" s="60" customFormat="1" x14ac:dyDescent="0.3"/>
    <row r="163" s="60" customFormat="1" x14ac:dyDescent="0.3"/>
    <row r="164" s="60" customFormat="1" x14ac:dyDescent="0.3"/>
    <row r="165" s="60" customFormat="1" x14ac:dyDescent="0.3"/>
    <row r="166" s="60" customFormat="1" x14ac:dyDescent="0.3"/>
    <row r="167" s="60" customFormat="1" x14ac:dyDescent="0.3"/>
    <row r="168" s="60" customFormat="1" x14ac:dyDescent="0.3"/>
    <row r="169" s="60" customFormat="1" x14ac:dyDescent="0.3"/>
    <row r="170" s="60" customFormat="1" x14ac:dyDescent="0.3"/>
    <row r="171" s="60" customFormat="1" x14ac:dyDescent="0.3"/>
    <row r="172" s="60" customFormat="1" x14ac:dyDescent="0.3"/>
    <row r="173" s="60" customFormat="1" x14ac:dyDescent="0.3"/>
    <row r="174" s="60" customFormat="1" x14ac:dyDescent="0.3"/>
    <row r="175" s="60" customFormat="1" x14ac:dyDescent="0.3"/>
    <row r="176" s="60" customFormat="1" x14ac:dyDescent="0.3"/>
    <row r="177" s="60" customFormat="1" x14ac:dyDescent="0.3"/>
    <row r="178" s="60" customFormat="1" x14ac:dyDescent="0.3"/>
    <row r="179" s="60" customFormat="1" x14ac:dyDescent="0.3"/>
    <row r="180" s="60" customFormat="1" x14ac:dyDescent="0.3"/>
    <row r="181" s="60" customFormat="1" x14ac:dyDescent="0.3"/>
    <row r="182" s="60" customFormat="1" x14ac:dyDescent="0.3"/>
    <row r="183" s="60" customFormat="1" x14ac:dyDescent="0.3"/>
    <row r="184" s="60" customFormat="1" x14ac:dyDescent="0.3"/>
    <row r="185" s="60" customFormat="1" x14ac:dyDescent="0.3"/>
    <row r="186" s="60" customFormat="1" x14ac:dyDescent="0.3"/>
    <row r="187" s="60" customFormat="1" x14ac:dyDescent="0.3"/>
    <row r="188" s="60" customFormat="1" x14ac:dyDescent="0.3"/>
    <row r="189" s="60" customFormat="1" x14ac:dyDescent="0.3"/>
    <row r="190" s="60" customFormat="1" x14ac:dyDescent="0.3"/>
    <row r="191" s="60" customFormat="1" x14ac:dyDescent="0.3"/>
    <row r="192" s="60" customFormat="1" x14ac:dyDescent="0.3"/>
    <row r="193" s="60" customFormat="1" x14ac:dyDescent="0.3"/>
    <row r="194" s="60" customFormat="1" x14ac:dyDescent="0.3"/>
    <row r="195" s="60" customFormat="1" x14ac:dyDescent="0.3"/>
    <row r="196" s="60" customFormat="1" x14ac:dyDescent="0.3"/>
    <row r="197" s="60" customFormat="1" x14ac:dyDescent="0.3"/>
    <row r="198" s="60" customFormat="1" x14ac:dyDescent="0.3"/>
    <row r="199" s="60" customFormat="1" x14ac:dyDescent="0.3"/>
    <row r="200" s="60" customFormat="1" x14ac:dyDescent="0.3"/>
    <row r="201" s="60" customFormat="1" x14ac:dyDescent="0.3"/>
    <row r="202" s="60" customFormat="1" x14ac:dyDescent="0.3"/>
    <row r="203" s="60" customFormat="1" x14ac:dyDescent="0.3"/>
    <row r="204" s="60" customFormat="1" x14ac:dyDescent="0.3"/>
    <row r="205" s="60" customFormat="1" x14ac:dyDescent="0.3"/>
    <row r="206" s="60" customFormat="1" x14ac:dyDescent="0.3"/>
    <row r="207" s="60" customFormat="1" x14ac:dyDescent="0.3"/>
    <row r="208" s="60" customFormat="1" x14ac:dyDescent="0.3"/>
    <row r="209" s="60" customFormat="1" x14ac:dyDescent="0.3"/>
    <row r="210" s="60" customFormat="1" x14ac:dyDescent="0.3"/>
    <row r="211" s="60" customFormat="1" x14ac:dyDescent="0.3"/>
    <row r="212" s="60" customFormat="1" x14ac:dyDescent="0.3"/>
    <row r="213" s="60" customFormat="1" x14ac:dyDescent="0.3"/>
    <row r="214" s="60" customFormat="1" x14ac:dyDescent="0.3"/>
    <row r="215" s="60" customFormat="1" x14ac:dyDescent="0.3"/>
    <row r="216" s="60" customFormat="1" x14ac:dyDescent="0.3"/>
    <row r="217" s="60" customFormat="1" x14ac:dyDescent="0.3"/>
    <row r="218" s="60" customFormat="1" x14ac:dyDescent="0.3"/>
    <row r="219" s="60" customFormat="1" x14ac:dyDescent="0.3"/>
    <row r="220" s="60" customFormat="1" x14ac:dyDescent="0.3"/>
    <row r="221" s="60" customFormat="1" x14ac:dyDescent="0.3"/>
    <row r="222" s="60" customFormat="1" x14ac:dyDescent="0.3"/>
    <row r="223" s="60" customFormat="1" x14ac:dyDescent="0.3"/>
    <row r="224" s="60" customFormat="1" x14ac:dyDescent="0.3"/>
    <row r="225" s="60" customFormat="1" x14ac:dyDescent="0.3"/>
    <row r="226" s="60" customFormat="1" x14ac:dyDescent="0.3"/>
    <row r="227" s="60" customFormat="1" x14ac:dyDescent="0.3"/>
    <row r="228" s="60" customFormat="1" x14ac:dyDescent="0.3"/>
    <row r="229" s="60" customFormat="1" x14ac:dyDescent="0.3"/>
    <row r="230" s="60" customFormat="1" x14ac:dyDescent="0.3"/>
    <row r="231" s="60" customFormat="1" x14ac:dyDescent="0.3"/>
    <row r="232" s="60" customFormat="1" x14ac:dyDescent="0.3"/>
    <row r="233" s="60" customFormat="1" x14ac:dyDescent="0.3"/>
    <row r="234" s="60" customFormat="1" x14ac:dyDescent="0.3"/>
    <row r="235" s="60" customFormat="1" x14ac:dyDescent="0.3"/>
    <row r="236" s="60" customFormat="1" x14ac:dyDescent="0.3"/>
    <row r="237" s="60" customFormat="1" x14ac:dyDescent="0.3"/>
    <row r="238" s="60" customFormat="1" x14ac:dyDescent="0.3"/>
    <row r="239" s="60" customFormat="1" x14ac:dyDescent="0.3"/>
    <row r="240" s="60" customFormat="1" x14ac:dyDescent="0.3"/>
    <row r="241" s="60" customFormat="1" x14ac:dyDescent="0.3"/>
    <row r="242" s="60" customFormat="1" x14ac:dyDescent="0.3"/>
    <row r="243" s="60" customFormat="1" x14ac:dyDescent="0.3"/>
    <row r="244" s="60" customFormat="1" x14ac:dyDescent="0.3"/>
    <row r="245" s="60" customFormat="1" x14ac:dyDescent="0.3"/>
    <row r="246" s="60" customFormat="1" x14ac:dyDescent="0.3"/>
    <row r="247" s="60" customFormat="1" x14ac:dyDescent="0.3"/>
    <row r="248" s="60" customFormat="1" x14ac:dyDescent="0.3"/>
    <row r="249" s="60" customFormat="1" x14ac:dyDescent="0.3"/>
    <row r="250" s="60" customFormat="1" x14ac:dyDescent="0.3"/>
    <row r="251" s="60" customFormat="1" x14ac:dyDescent="0.3"/>
    <row r="252" s="60" customFormat="1" x14ac:dyDescent="0.3"/>
    <row r="253" s="60" customFormat="1" x14ac:dyDescent="0.3"/>
    <row r="254" s="60" customFormat="1" x14ac:dyDescent="0.3"/>
    <row r="255" s="60" customFormat="1" x14ac:dyDescent="0.3"/>
    <row r="256" s="60" customFormat="1" x14ac:dyDescent="0.3"/>
    <row r="257" s="60" customFormat="1" x14ac:dyDescent="0.3"/>
    <row r="258" s="60" customFormat="1" x14ac:dyDescent="0.3"/>
    <row r="259" s="60" customFormat="1" x14ac:dyDescent="0.3"/>
    <row r="260" s="60" customFormat="1" x14ac:dyDescent="0.3"/>
    <row r="261" s="60" customFormat="1" x14ac:dyDescent="0.3"/>
    <row r="262" s="60" customFormat="1" x14ac:dyDescent="0.3"/>
    <row r="263" s="60" customFormat="1" x14ac:dyDescent="0.3"/>
    <row r="264" s="60" customFormat="1" x14ac:dyDescent="0.3"/>
    <row r="265" s="60" customFormat="1" x14ac:dyDescent="0.3"/>
    <row r="266" s="60" customFormat="1" x14ac:dyDescent="0.3"/>
    <row r="267" s="60" customFormat="1" x14ac:dyDescent="0.3"/>
    <row r="268" s="60" customFormat="1" x14ac:dyDescent="0.3"/>
    <row r="269" s="60" customFormat="1" x14ac:dyDescent="0.3"/>
    <row r="270" s="60" customFormat="1" x14ac:dyDescent="0.3"/>
    <row r="271" s="60" customFormat="1" x14ac:dyDescent="0.3"/>
    <row r="272" s="60" customFormat="1" x14ac:dyDescent="0.3"/>
    <row r="273" s="60" customFormat="1" x14ac:dyDescent="0.3"/>
    <row r="274" s="60" customFormat="1" x14ac:dyDescent="0.3"/>
    <row r="275" s="60" customFormat="1" x14ac:dyDescent="0.3"/>
    <row r="276" s="60" customFormat="1" x14ac:dyDescent="0.3"/>
    <row r="277" s="60" customFormat="1" x14ac:dyDescent="0.3"/>
    <row r="278" s="60" customFormat="1" x14ac:dyDescent="0.3"/>
    <row r="279" s="60" customFormat="1" x14ac:dyDescent="0.3"/>
    <row r="280" s="60" customFormat="1" x14ac:dyDescent="0.3"/>
    <row r="281" s="60" customFormat="1" x14ac:dyDescent="0.3"/>
    <row r="282" s="60" customFormat="1" x14ac:dyDescent="0.3"/>
    <row r="283" s="60" customFormat="1" x14ac:dyDescent="0.3"/>
    <row r="284" s="60" customFormat="1" x14ac:dyDescent="0.3"/>
    <row r="285" s="60" customFormat="1" x14ac:dyDescent="0.3"/>
    <row r="286" s="60" customFormat="1" x14ac:dyDescent="0.3"/>
    <row r="287" s="60" customFormat="1" x14ac:dyDescent="0.3"/>
    <row r="288" s="60" customFormat="1" x14ac:dyDescent="0.3"/>
    <row r="289" s="60" customFormat="1" x14ac:dyDescent="0.3"/>
    <row r="290" s="60" customFormat="1" x14ac:dyDescent="0.3"/>
    <row r="291" s="60" customFormat="1" x14ac:dyDescent="0.3"/>
    <row r="292" s="60" customFormat="1" x14ac:dyDescent="0.3"/>
    <row r="293" s="60" customFormat="1" x14ac:dyDescent="0.3"/>
    <row r="294" s="60" customFormat="1" x14ac:dyDescent="0.3"/>
    <row r="295" s="60" customFormat="1" x14ac:dyDescent="0.3"/>
    <row r="296" s="60" customFormat="1" x14ac:dyDescent="0.3"/>
    <row r="297" s="60" customFormat="1" x14ac:dyDescent="0.3"/>
    <row r="298" s="60" customFormat="1" x14ac:dyDescent="0.3"/>
    <row r="299" s="60" customFormat="1" x14ac:dyDescent="0.3"/>
    <row r="300" s="60" customFormat="1" x14ac:dyDescent="0.3"/>
    <row r="301" s="60" customFormat="1" x14ac:dyDescent="0.3"/>
    <row r="302" s="60" customFormat="1" x14ac:dyDescent="0.3"/>
    <row r="303" s="60" customFormat="1" x14ac:dyDescent="0.3"/>
    <row r="304" s="60" customFormat="1" x14ac:dyDescent="0.3"/>
    <row r="305" s="60" customFormat="1" x14ac:dyDescent="0.3"/>
    <row r="306" s="60" customFormat="1" x14ac:dyDescent="0.3"/>
    <row r="307" s="60" customFormat="1" x14ac:dyDescent="0.3"/>
    <row r="308" s="60" customFormat="1" x14ac:dyDescent="0.3"/>
    <row r="309" s="60" customFormat="1" x14ac:dyDescent="0.3"/>
    <row r="310" s="60" customFormat="1" x14ac:dyDescent="0.3"/>
    <row r="311" s="60" customFormat="1" x14ac:dyDescent="0.3"/>
    <row r="312" s="60" customFormat="1" x14ac:dyDescent="0.3"/>
    <row r="313" s="60" customFormat="1" x14ac:dyDescent="0.3"/>
    <row r="314" s="60" customFormat="1" x14ac:dyDescent="0.3"/>
    <row r="315" s="60" customFormat="1" x14ac:dyDescent="0.3"/>
    <row r="316" s="60" customFormat="1" x14ac:dyDescent="0.3"/>
  </sheetData>
  <mergeCells count="7">
    <mergeCell ref="B13:D13"/>
    <mergeCell ref="B27:E27"/>
    <mergeCell ref="B46:E46"/>
    <mergeCell ref="C41:E41"/>
    <mergeCell ref="F41:H41"/>
    <mergeCell ref="B26:E26"/>
    <mergeCell ref="B40:H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47F6F4A2ABAF42A93EF9107C395B27" ma:contentTypeVersion="8" ma:contentTypeDescription="Opprett et nytt dokument." ma:contentTypeScope="" ma:versionID="c68b0861378f3dbcaef19989f4f12ab7">
  <xsd:schema xmlns:xsd="http://www.w3.org/2001/XMLSchema" xmlns:xs="http://www.w3.org/2001/XMLSchema" xmlns:p="http://schemas.microsoft.com/office/2006/metadata/properties" xmlns:ns2="c0e5553c-ccb3-434c-b9bd-b56b7df078dd" targetNamespace="http://schemas.microsoft.com/office/2006/metadata/properties" ma:root="true" ma:fieldsID="ae619e8a247e40fe44325dbf8e68f389" ns2:_="">
    <xsd:import namespace="c0e5553c-ccb3-434c-b9bd-b56b7df07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553c-ccb3-434c-b9bd-b56b7df07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802196-30EE-4E07-B2A3-E28F6A50C878}">
  <ds:schemaRefs>
    <ds:schemaRef ds:uri="http://www.w3.org/XML/1998/namespace"/>
    <ds:schemaRef ds:uri="c0e5553c-ccb3-434c-b9bd-b56b7df078dd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7A8C27-EFB5-4B96-97B8-F929D30FE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FE050-849C-4E19-8882-B1F903398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5553c-ccb3-434c-b9bd-b56b7df07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Cover</vt:lpstr>
      <vt:lpstr>Aim &amp; Scope</vt:lpstr>
      <vt:lpstr>Source of CO2</vt:lpstr>
      <vt:lpstr>Manufacturing</vt:lpstr>
      <vt:lpstr>Transport</vt:lpstr>
      <vt:lpstr>Operation</vt:lpstr>
      <vt:lpstr>Calculations</vt:lpstr>
      <vt:lpstr>Diesel engine</vt:lpstr>
      <vt:lpstr>Electric engine</vt:lpstr>
      <vt:lpstr>Electric Battery</vt:lpstr>
      <vt:lpstr>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Helene Moxnes</cp:lastModifiedBy>
  <cp:revision/>
  <dcterms:created xsi:type="dcterms:W3CDTF">2021-01-27T08:51:18Z</dcterms:created>
  <dcterms:modified xsi:type="dcterms:W3CDTF">2021-05-25T11:45:29Z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0x0101007347F6F4A2ABAF42A93EF9107C395B27</vt:lpwstr>
  </property>
</Properties>
</file>