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kumenter\Utdanning\Energiteknologi 17HETK\Semester 6\Bachelor 2020\Innleveringsfiler\Første utkast\"/>
    </mc:Choice>
  </mc:AlternateContent>
  <xr:revisionPtr revIDLastSave="0" documentId="13_ncr:1_{7900D881-C82F-496A-ADFE-65587C2D18D2}" xr6:coauthVersionLast="45" xr6:coauthVersionMax="45" xr10:uidLastSave="{00000000-0000-0000-0000-000000000000}"/>
  <bookViews>
    <workbookView xWindow="-108" yWindow="-108" windowWidth="23256" windowHeight="12576" activeTab="2" xr2:uid="{47748D05-270A-4CEA-9420-04C1DCA942D9}"/>
  </bookViews>
  <sheets>
    <sheet name="Hydrogen" sheetId="2" r:id="rId1"/>
    <sheet name="Hybrid" sheetId="3" r:id="rId2"/>
    <sheet name="DHC-6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3" i="1" s="1"/>
  <c r="C13" i="1" s="1"/>
  <c r="C10" i="2" l="1"/>
  <c r="C11" i="2"/>
  <c r="C34" i="3" l="1"/>
  <c r="K42" i="1"/>
  <c r="K38" i="1" l="1"/>
  <c r="B14" i="1" l="1"/>
  <c r="L15" i="3"/>
  <c r="D22" i="3"/>
  <c r="B39" i="1"/>
  <c r="K17" i="3"/>
  <c r="C39" i="1"/>
  <c r="K6" i="3" l="1"/>
  <c r="K7" i="3"/>
  <c r="K8" i="3"/>
  <c r="K4" i="3"/>
  <c r="K5" i="3"/>
  <c r="L9" i="3"/>
  <c r="K24" i="1"/>
  <c r="L23" i="1"/>
  <c r="K23" i="1" s="1"/>
  <c r="K22" i="1"/>
  <c r="K9" i="3" l="1"/>
  <c r="L18" i="3"/>
  <c r="K18" i="3" s="1"/>
  <c r="L25" i="1"/>
  <c r="L12" i="1" s="1"/>
  <c r="K12" i="1" s="1"/>
  <c r="P9" i="3" l="1"/>
  <c r="Q9" i="3" s="1"/>
  <c r="P8" i="3"/>
  <c r="Q8" i="3" s="1"/>
  <c r="P5" i="3"/>
  <c r="P6" i="3"/>
  <c r="P4" i="3"/>
  <c r="P14" i="3"/>
  <c r="Q5" i="3" s="1"/>
  <c r="P15" i="3"/>
  <c r="Q6" i="3" s="1"/>
  <c r="P16" i="3"/>
  <c r="P17" i="3"/>
  <c r="P13" i="3"/>
  <c r="Q4" i="3" s="1"/>
  <c r="G24" i="1"/>
  <c r="Q7" i="3" l="1"/>
  <c r="P7" i="3"/>
  <c r="P10" i="3" s="1"/>
  <c r="Q10" i="3" s="1"/>
  <c r="L16" i="3" s="1"/>
  <c r="K16" i="3" s="1"/>
  <c r="G9" i="1" l="1"/>
  <c r="C24" i="3" l="1"/>
  <c r="G24" i="3" s="1"/>
  <c r="G22" i="3" l="1"/>
  <c r="D25" i="3"/>
  <c r="C25" i="3" s="1"/>
  <c r="H25" i="3"/>
  <c r="G25" i="3" s="1"/>
  <c r="L25" i="3"/>
  <c r="L26" i="3"/>
  <c r="L27" i="3"/>
  <c r="L29" i="3"/>
  <c r="K24" i="3"/>
  <c r="K28" i="3" s="1"/>
  <c r="L28" i="3" l="1"/>
  <c r="K30" i="3"/>
  <c r="L30" i="3" s="1"/>
  <c r="L24" i="3"/>
  <c r="K7" i="2"/>
  <c r="K6" i="2"/>
  <c r="H5" i="2"/>
  <c r="H6" i="2"/>
  <c r="H4" i="2"/>
  <c r="K20" i="1" l="1"/>
  <c r="K21" i="1"/>
  <c r="K19" i="1"/>
  <c r="K25" i="1" l="1"/>
  <c r="K8" i="2"/>
  <c r="G18" i="1"/>
  <c r="G13" i="1"/>
  <c r="H9" i="1"/>
  <c r="G8" i="1"/>
  <c r="G27" i="1"/>
  <c r="G28" i="1"/>
  <c r="G25" i="1"/>
  <c r="H5" i="1" s="1"/>
  <c r="G26" i="1"/>
  <c r="H6" i="1" s="1"/>
  <c r="G5" i="1"/>
  <c r="G6" i="1"/>
  <c r="G4" i="1"/>
  <c r="H4" i="1"/>
  <c r="H7" i="1" s="1"/>
  <c r="C5" i="1"/>
  <c r="C6" i="1"/>
  <c r="C7" i="1"/>
  <c r="C8" i="1"/>
  <c r="C9" i="1"/>
  <c r="C10" i="1"/>
  <c r="C12" i="1"/>
  <c r="C4" i="1"/>
  <c r="C14" i="1"/>
  <c r="C11" i="1"/>
  <c r="D24" i="3" l="1"/>
  <c r="H24" i="3" s="1"/>
  <c r="H22" i="3"/>
  <c r="G7" i="1"/>
  <c r="G10" i="1" s="1"/>
  <c r="H8" i="1"/>
  <c r="L11" i="1" s="1"/>
  <c r="H10" i="1" l="1"/>
  <c r="C23" i="3"/>
  <c r="F14" i="1"/>
  <c r="F15" i="1" s="1"/>
  <c r="K11" i="1"/>
  <c r="K4" i="1"/>
  <c r="G23" i="3" l="1"/>
  <c r="D23" i="3"/>
  <c r="H23" i="3" s="1"/>
  <c r="L4" i="1"/>
  <c r="K6" i="1" s="1"/>
  <c r="K7" i="1" s="1"/>
  <c r="G14" i="1"/>
  <c r="G15" i="1"/>
  <c r="F17" i="1"/>
  <c r="G17" i="1" s="1"/>
  <c r="F16" i="1"/>
  <c r="G16" i="1" s="1"/>
  <c r="G8" i="3" l="1"/>
  <c r="G9" i="3" s="1"/>
  <c r="K8" i="1"/>
  <c r="L8" i="1" s="1"/>
  <c r="L6" i="1"/>
  <c r="C8" i="3"/>
  <c r="C9" i="3" s="1"/>
  <c r="K5" i="2"/>
  <c r="K9" i="2" s="1"/>
  <c r="C12" i="3" l="1"/>
  <c r="C14" i="3" s="1"/>
  <c r="C11" i="3"/>
  <c r="C13" i="3" s="1"/>
  <c r="D17" i="3" s="1"/>
  <c r="G12" i="3"/>
  <c r="G14" i="3" s="1"/>
  <c r="G11" i="3"/>
  <c r="G13" i="3" s="1"/>
  <c r="F37" i="3" s="1"/>
  <c r="L7" i="1"/>
  <c r="C4" i="2" s="1"/>
  <c r="L10" i="1"/>
  <c r="D9" i="3"/>
  <c r="H9" i="3"/>
  <c r="H8" i="3"/>
  <c r="D8" i="3"/>
  <c r="L15" i="1" l="1"/>
  <c r="L13" i="1"/>
  <c r="L14" i="1" s="1"/>
  <c r="K10" i="1"/>
  <c r="L16" i="1"/>
  <c r="C12" i="2"/>
  <c r="C5" i="2"/>
  <c r="H12" i="3"/>
  <c r="H13" i="3"/>
  <c r="D13" i="3"/>
  <c r="D11" i="3"/>
  <c r="V37" i="1"/>
  <c r="U37" i="1" s="1"/>
  <c r="R52" i="1"/>
  <c r="Q52" i="1" s="1"/>
  <c r="R37" i="1"/>
  <c r="Q37" i="1" s="1"/>
  <c r="V44" i="1"/>
  <c r="U44" i="1" s="1"/>
  <c r="V38" i="1"/>
  <c r="U38" i="1" s="1"/>
  <c r="R51" i="1"/>
  <c r="Q51" i="1" s="1"/>
  <c r="V39" i="1"/>
  <c r="U39" i="1" s="1"/>
  <c r="V40" i="1"/>
  <c r="U40" i="1" s="1"/>
  <c r="V18" i="1"/>
  <c r="U18" i="1" s="1"/>
  <c r="V34" i="1"/>
  <c r="U34" i="1" s="1"/>
  <c r="V23" i="1"/>
  <c r="U23" i="1" s="1"/>
  <c r="V5" i="1"/>
  <c r="U5" i="1" s="1"/>
  <c r="V33" i="1"/>
  <c r="U33" i="1" s="1"/>
  <c r="V20" i="1"/>
  <c r="U20" i="1" s="1"/>
  <c r="V36" i="1"/>
  <c r="U36" i="1" s="1"/>
  <c r="V29" i="1"/>
  <c r="U29" i="1" s="1"/>
  <c r="R10" i="1"/>
  <c r="Q10" i="1" s="1"/>
  <c r="R33" i="1"/>
  <c r="Q33" i="1" s="1"/>
  <c r="R28" i="1"/>
  <c r="Q28" i="1" s="1"/>
  <c r="R19" i="1"/>
  <c r="Q19" i="1" s="1"/>
  <c r="R8" i="1"/>
  <c r="Q8" i="1" s="1"/>
  <c r="R15" i="1"/>
  <c r="Q15" i="1" s="1"/>
  <c r="R17" i="1"/>
  <c r="Q17" i="1" s="1"/>
  <c r="R22" i="1"/>
  <c r="Q22" i="1" s="1"/>
  <c r="V41" i="1"/>
  <c r="U41" i="1" s="1"/>
  <c r="R48" i="1"/>
  <c r="Q48" i="1" s="1"/>
  <c r="V43" i="1"/>
  <c r="U43" i="1" s="1"/>
  <c r="V52" i="1"/>
  <c r="U52" i="1" s="1"/>
  <c r="V42" i="1"/>
  <c r="U42" i="1" s="1"/>
  <c r="R47" i="1"/>
  <c r="Q47" i="1" s="1"/>
  <c r="V47" i="1"/>
  <c r="U47" i="1" s="1"/>
  <c r="V48" i="1"/>
  <c r="U48" i="1" s="1"/>
  <c r="V22" i="1"/>
  <c r="U22" i="1" s="1"/>
  <c r="V4" i="1"/>
  <c r="U4" i="1" s="1"/>
  <c r="V27" i="1"/>
  <c r="U27" i="1" s="1"/>
  <c r="V9" i="1"/>
  <c r="U9" i="1" s="1"/>
  <c r="V7" i="1"/>
  <c r="U7" i="1" s="1"/>
  <c r="V24" i="1"/>
  <c r="U24" i="1" s="1"/>
  <c r="V6" i="1"/>
  <c r="U6" i="1" s="1"/>
  <c r="V3" i="1"/>
  <c r="U3" i="1" s="1"/>
  <c r="R34" i="1"/>
  <c r="Q34" i="1" s="1"/>
  <c r="R29" i="1"/>
  <c r="Q29" i="1" s="1"/>
  <c r="R35" i="1"/>
  <c r="Q35" i="1" s="1"/>
  <c r="R23" i="1"/>
  <c r="Q23" i="1" s="1"/>
  <c r="R18" i="1"/>
  <c r="Q18" i="1" s="1"/>
  <c r="R20" i="1"/>
  <c r="Q20" i="1" s="1"/>
  <c r="R21" i="1"/>
  <c r="Q21" i="1" s="1"/>
  <c r="R9" i="1"/>
  <c r="Q9" i="1" s="1"/>
  <c r="V14" i="1"/>
  <c r="U14" i="1" s="1"/>
  <c r="V45" i="1"/>
  <c r="U45" i="1" s="1"/>
  <c r="R44" i="1"/>
  <c r="Q44" i="1" s="1"/>
  <c r="R50" i="1"/>
  <c r="Q50" i="1" s="1"/>
  <c r="R45" i="1"/>
  <c r="Q45" i="1" s="1"/>
  <c r="V46" i="1"/>
  <c r="U46" i="1" s="1"/>
  <c r="R43" i="1"/>
  <c r="Q43" i="1" s="1"/>
  <c r="V51" i="1"/>
  <c r="U51" i="1" s="1"/>
  <c r="R49" i="1"/>
  <c r="Q49" i="1" s="1"/>
  <c r="V26" i="1"/>
  <c r="U26" i="1" s="1"/>
  <c r="V8" i="1"/>
  <c r="U8" i="1" s="1"/>
  <c r="V31" i="1"/>
  <c r="U31" i="1" s="1"/>
  <c r="V21" i="1"/>
  <c r="U21" i="1" s="1"/>
  <c r="V15" i="1"/>
  <c r="U15" i="1" s="1"/>
  <c r="V28" i="1"/>
  <c r="U28" i="1" s="1"/>
  <c r="V10" i="1"/>
  <c r="U10" i="1" s="1"/>
  <c r="V11" i="1"/>
  <c r="U11" i="1" s="1"/>
  <c r="R30" i="1"/>
  <c r="Q30" i="1" s="1"/>
  <c r="R36" i="1"/>
  <c r="Q36" i="1" s="1"/>
  <c r="R31" i="1"/>
  <c r="Q31" i="1" s="1"/>
  <c r="R6" i="1"/>
  <c r="Q6" i="1" s="1"/>
  <c r="R16" i="1"/>
  <c r="Q16" i="1" s="1"/>
  <c r="R24" i="1"/>
  <c r="Q24" i="1" s="1"/>
  <c r="R25" i="1"/>
  <c r="Q25" i="1" s="1"/>
  <c r="R14" i="1"/>
  <c r="Q14" i="1" s="1"/>
  <c r="V49" i="1"/>
  <c r="U49" i="1" s="1"/>
  <c r="R40" i="1"/>
  <c r="Q40" i="1" s="1"/>
  <c r="R42" i="1"/>
  <c r="Q42" i="1" s="1"/>
  <c r="R38" i="1"/>
  <c r="Q38" i="1" s="1"/>
  <c r="V50" i="1"/>
  <c r="U50" i="1" s="1"/>
  <c r="R39" i="1"/>
  <c r="Q39" i="1" s="1"/>
  <c r="R46" i="1"/>
  <c r="Q46" i="1" s="1"/>
  <c r="R41" i="1"/>
  <c r="Q41" i="1" s="1"/>
  <c r="V30" i="1"/>
  <c r="U30" i="1" s="1"/>
  <c r="V19" i="1"/>
  <c r="U19" i="1" s="1"/>
  <c r="V35" i="1"/>
  <c r="U35" i="1" s="1"/>
  <c r="V25" i="1"/>
  <c r="U25" i="1" s="1"/>
  <c r="V16" i="1"/>
  <c r="U16" i="1" s="1"/>
  <c r="V32" i="1"/>
  <c r="U32" i="1" s="1"/>
  <c r="V17" i="1"/>
  <c r="U17" i="1" s="1"/>
  <c r="R11" i="1"/>
  <c r="Q11" i="1" s="1"/>
  <c r="R26" i="1"/>
  <c r="Q26" i="1" s="1"/>
  <c r="R32" i="1"/>
  <c r="Q32" i="1" s="1"/>
  <c r="R27" i="1"/>
  <c r="Q27" i="1" s="1"/>
  <c r="R3" i="1"/>
  <c r="Q3" i="1" s="1"/>
  <c r="R5" i="1"/>
  <c r="Q5" i="1" s="1"/>
  <c r="R7" i="1"/>
  <c r="Q7" i="1" s="1"/>
  <c r="R4" i="1"/>
  <c r="Q4" i="1" s="1"/>
  <c r="D14" i="3"/>
  <c r="D16" i="3" s="1"/>
  <c r="D12" i="3"/>
  <c r="D18" i="3" l="1"/>
  <c r="C16" i="3"/>
  <c r="D20" i="2"/>
  <c r="C20" i="2" s="1"/>
  <c r="D18" i="2"/>
  <c r="D19" i="2"/>
  <c r="C19" i="2" s="1"/>
  <c r="H11" i="3"/>
  <c r="H14" i="3"/>
  <c r="H16" i="3" s="1"/>
  <c r="H17" i="3"/>
  <c r="G17" i="3" s="1"/>
  <c r="D27" i="3"/>
  <c r="C27" i="3" s="1"/>
  <c r="C22" i="2"/>
  <c r="K15" i="1"/>
  <c r="K16" i="1"/>
  <c r="L31" i="1"/>
  <c r="D26" i="3"/>
  <c r="C26" i="3" s="1"/>
  <c r="C17" i="3"/>
  <c r="C18" i="3"/>
  <c r="L19" i="3" l="1"/>
  <c r="H26" i="3"/>
  <c r="G26" i="3" s="1"/>
  <c r="H18" i="3"/>
  <c r="G16" i="3"/>
  <c r="G18" i="3" s="1"/>
  <c r="H27" i="3"/>
  <c r="G27" i="3" s="1"/>
  <c r="L20" i="3"/>
  <c r="K20" i="3" s="1"/>
  <c r="C28" i="3"/>
  <c r="K13" i="1"/>
  <c r="K14" i="1" s="1"/>
  <c r="K19" i="3"/>
  <c r="D28" i="3"/>
  <c r="K21" i="3" l="1"/>
  <c r="L21" i="3"/>
  <c r="G28" i="3"/>
  <c r="H28" i="3"/>
</calcChain>
</file>

<file path=xl/sharedStrings.xml><?xml version="1.0" encoding="utf-8"?>
<sst xmlns="http://schemas.openxmlformats.org/spreadsheetml/2006/main" count="357" uniqueCount="197">
  <si>
    <t>Hydrogen</t>
  </si>
  <si>
    <t>Data H2</t>
  </si>
  <si>
    <t>ρ (kg/m^3)</t>
  </si>
  <si>
    <t>ρ (kg/l)</t>
  </si>
  <si>
    <t>Data DHC-6 400</t>
  </si>
  <si>
    <t>Energy from combustion engine</t>
  </si>
  <si>
    <t>Wh</t>
  </si>
  <si>
    <t>LH2</t>
  </si>
  <si>
    <t>Fuel capacity DCH-6</t>
  </si>
  <si>
    <t>l</t>
  </si>
  <si>
    <t xml:space="preserve">Energy from fuel cell </t>
  </si>
  <si>
    <t>CGH2 (300 bar)</t>
  </si>
  <si>
    <t>- Fuel</t>
  </si>
  <si>
    <t>kg</t>
  </si>
  <si>
    <t>Motor</t>
  </si>
  <si>
    <t>η</t>
  </si>
  <si>
    <t>CGH2 (700 bar)</t>
  </si>
  <si>
    <t>- Turboprop engines</t>
  </si>
  <si>
    <t>DC-bus</t>
  </si>
  <si>
    <t>+ Electric engine</t>
  </si>
  <si>
    <t>Inverter</t>
  </si>
  <si>
    <t>- Weight savings</t>
  </si>
  <si>
    <t>Fuel cell</t>
  </si>
  <si>
    <t>Pressure</t>
  </si>
  <si>
    <t>Weight percent</t>
  </si>
  <si>
    <t>Available weight</t>
  </si>
  <si>
    <t>Total efficiency</t>
  </si>
  <si>
    <t>300 bar</t>
  </si>
  <si>
    <t>Interpolert</t>
  </si>
  <si>
    <t>Specific energy H2</t>
  </si>
  <si>
    <t>Wh/kg</t>
  </si>
  <si>
    <t>350 bar</t>
  </si>
  <si>
    <t>Kilder i hydrogen-delen av oppgaven</t>
  </si>
  <si>
    <t>Amount of H2 needed</t>
  </si>
  <si>
    <t>700 bar</t>
  </si>
  <si>
    <t>Storage</t>
  </si>
  <si>
    <t>Weight (kg)</t>
  </si>
  <si>
    <t>Volume (l)</t>
  </si>
  <si>
    <t>Weight unknown, probs heavy? low volume</t>
  </si>
  <si>
    <t>-</t>
  </si>
  <si>
    <t>Too heavy, and takes up too much space</t>
  </si>
  <si>
    <t>Needs to be custom made</t>
  </si>
  <si>
    <t>Fuel cells</t>
  </si>
  <si>
    <t>Should not exceed</t>
  </si>
  <si>
    <t>Source</t>
  </si>
  <si>
    <t>https://fuelcellsworks.com/news/exclusive-get-to-know-a-sector-zeroavia/?fbclid=IwAR2bNcKSZzXnLuInXOiXGyAlgYQiT5OcKoTMkOz5ax_ZMKEz6qADntmjf7Y</t>
  </si>
  <si>
    <t>Conclusion; the lower the preassure on H2, the lighter the tanks will be</t>
  </si>
  <si>
    <t>Option 1</t>
  </si>
  <si>
    <t>Option 2</t>
  </si>
  <si>
    <t>It is assumed that there will be no weight gain or reduction on the engines.</t>
  </si>
  <si>
    <t>16-passenger</t>
  </si>
  <si>
    <t>Hybrid</t>
  </si>
  <si>
    <t>Weight savings</t>
  </si>
  <si>
    <t>lbs</t>
  </si>
  <si>
    <t>Pax</t>
  </si>
  <si>
    <t>Amount</t>
  </si>
  <si>
    <t>Relation</t>
  </si>
  <si>
    <t>%</t>
  </si>
  <si>
    <t>Fuel system</t>
  </si>
  <si>
    <t>M</t>
  </si>
  <si>
    <t>Fuel</t>
  </si>
  <si>
    <t>Hydraulic system</t>
  </si>
  <si>
    <t>F</t>
  </si>
  <si>
    <t>Battery</t>
  </si>
  <si>
    <t>Material improvements</t>
  </si>
  <si>
    <t>C</t>
  </si>
  <si>
    <t>J</t>
  </si>
  <si>
    <t>Modernize Avionic system</t>
  </si>
  <si>
    <t>Total pax weight</t>
  </si>
  <si>
    <t>Net energy content</t>
  </si>
  <si>
    <t>Flight Controls system</t>
  </si>
  <si>
    <t>Bags</t>
  </si>
  <si>
    <t>Energy to comb engines</t>
  </si>
  <si>
    <t>Total</t>
  </si>
  <si>
    <t>Crew</t>
  </si>
  <si>
    <t>Total load</t>
  </si>
  <si>
    <t>Useful energy from fuel</t>
  </si>
  <si>
    <t>Useful energy from batteries</t>
  </si>
  <si>
    <t>Weight pax</t>
  </si>
  <si>
    <t>Weight units</t>
  </si>
  <si>
    <t>Conversion</t>
  </si>
  <si>
    <t>Actual energy from fuel</t>
  </si>
  <si>
    <t>With 16 passengers and the same amount of fuel for a 19-seater</t>
  </si>
  <si>
    <t>Male</t>
  </si>
  <si>
    <t>Actual energy from batteries</t>
  </si>
  <si>
    <t>Ibs</t>
  </si>
  <si>
    <t>Female</t>
  </si>
  <si>
    <t>MLW</t>
  </si>
  <si>
    <t>Child</t>
  </si>
  <si>
    <t>Weight of batteries</t>
  </si>
  <si>
    <t xml:space="preserve"> - Load (pax and bags)</t>
  </si>
  <si>
    <t>Baggage</t>
  </si>
  <si>
    <t>Weight of fuel</t>
  </si>
  <si>
    <t xml:space="preserve"> - Empty weight</t>
  </si>
  <si>
    <t xml:space="preserve"> + Weight savings</t>
  </si>
  <si>
    <t xml:space="preserve"> - Fuel</t>
  </si>
  <si>
    <t xml:space="preserve"> - Battery</t>
  </si>
  <si>
    <t xml:space="preserve"> = Available</t>
  </si>
  <si>
    <t>-Load (pax and bags)</t>
  </si>
  <si>
    <t>19 passengers</t>
  </si>
  <si>
    <t>Route data</t>
  </si>
  <si>
    <t>-Empty weight</t>
  </si>
  <si>
    <t>Taxi</t>
  </si>
  <si>
    <t>+Weigth savings</t>
  </si>
  <si>
    <t>+Weight savings</t>
  </si>
  <si>
    <t>Take-off / climb</t>
  </si>
  <si>
    <t>-Fuel</t>
  </si>
  <si>
    <t>Cruise</t>
  </si>
  <si>
    <t/>
  </si>
  <si>
    <t>-Battery</t>
  </si>
  <si>
    <t>Descent</t>
  </si>
  <si>
    <t>= Available</t>
  </si>
  <si>
    <t>Too heavy</t>
  </si>
  <si>
    <t>Trip + taxi</t>
  </si>
  <si>
    <t>Reserve</t>
  </si>
  <si>
    <t>Energy content</t>
  </si>
  <si>
    <t>Specific energy  (J/kg)</t>
  </si>
  <si>
    <t>Assumptions</t>
  </si>
  <si>
    <t>Jet-a1 fuel</t>
  </si>
  <si>
    <t>PT6A34</t>
  </si>
  <si>
    <t>Energy density (Wh/kg)</t>
  </si>
  <si>
    <t>Total efficiency Electric plane</t>
  </si>
  <si>
    <t>Total efficiency for system</t>
  </si>
  <si>
    <t>Energy units</t>
  </si>
  <si>
    <t>Usikre tall</t>
  </si>
  <si>
    <t>Twin Otter</t>
  </si>
  <si>
    <t>NO PAX AND BAGS</t>
  </si>
  <si>
    <t>WITH PAX AND BAGS</t>
  </si>
  <si>
    <t>DHC-6-400</t>
  </si>
  <si>
    <t>Energy density [Wh/kg]</t>
  </si>
  <si>
    <t>Netto weight [kg] (MLW)</t>
  </si>
  <si>
    <t>Battery Weight (kg)</t>
  </si>
  <si>
    <t>Netto weight (kg) (MLW)</t>
  </si>
  <si>
    <t>Battery conversion</t>
  </si>
  <si>
    <t>Comment</t>
  </si>
  <si>
    <t xml:space="preserve">Trip </t>
  </si>
  <si>
    <t>Fuel uplifted</t>
  </si>
  <si>
    <t>+ Dest. Contingency</t>
  </si>
  <si>
    <t>+ Alternate (ENHD)</t>
  </si>
  <si>
    <t>+ Alternate Contingency</t>
  </si>
  <si>
    <t>Energy from comb. engines</t>
  </si>
  <si>
    <t>+ Final Reserve</t>
  </si>
  <si>
    <t>Energy to electric engine</t>
  </si>
  <si>
    <t>+ Holding fuel</t>
  </si>
  <si>
    <t>+ Additional fuel</t>
  </si>
  <si>
    <t>+ Battery weight</t>
  </si>
  <si>
    <t>Minimium take-off fuel</t>
  </si>
  <si>
    <t>Source Rocket Route</t>
  </si>
  <si>
    <t>- Pax and bags</t>
  </si>
  <si>
    <t>Pax and bags</t>
  </si>
  <si>
    <t>+ Taxi fuel</t>
  </si>
  <si>
    <t>Weight plane</t>
  </si>
  <si>
    <t>- Total weight savings</t>
  </si>
  <si>
    <t>Detailed</t>
  </si>
  <si>
    <t>Off-block</t>
  </si>
  <si>
    <t>Empty weight</t>
  </si>
  <si>
    <t>Overweight (takeoff)</t>
  </si>
  <si>
    <t>Exceeding w/o pax+bags</t>
  </si>
  <si>
    <t>Netto weight, no pax and bags (kg)</t>
  </si>
  <si>
    <t>Comments</t>
  </si>
  <si>
    <t xml:space="preserve">Netto weight, incl. pax and bags (kg) </t>
  </si>
  <si>
    <t>Burn (taxi + destination)</t>
  </si>
  <si>
    <t>Zero fuel mass</t>
  </si>
  <si>
    <t>Overweight (landing)</t>
  </si>
  <si>
    <t>Ramp mass</t>
  </si>
  <si>
    <t>Overweight landing (with pax+bags)</t>
  </si>
  <si>
    <t>NB; Fuel number only applies to this pax configuration</t>
  </si>
  <si>
    <t>T/O mass</t>
  </si>
  <si>
    <t>Overweight takeoff (with pax+bags)</t>
  </si>
  <si>
    <t>The battery weight is only sensitive to changes in fuel, not pax</t>
  </si>
  <si>
    <t>Landing mass</t>
  </si>
  <si>
    <t>MTOW</t>
  </si>
  <si>
    <t>zero point</t>
  </si>
  <si>
    <t xml:space="preserve"> 2* weight PT8A34 - 2* weight el engine</t>
  </si>
  <si>
    <t>Propultion systems</t>
  </si>
  <si>
    <t>Modernise Avionic system</t>
  </si>
  <si>
    <t>Color</t>
  </si>
  <si>
    <t>Meaning</t>
  </si>
  <si>
    <t>Do not change</t>
  </si>
  <si>
    <t>Subject to change</t>
  </si>
  <si>
    <t>Explanaition</t>
  </si>
  <si>
    <t>Weight for landing must be 5 579 kg or lower</t>
  </si>
  <si>
    <t>Overall efficiency</t>
  </si>
  <si>
    <t>Reference</t>
  </si>
  <si>
    <t>Rounded down (!)</t>
  </si>
  <si>
    <t xml:space="preserve">Used for overall electric and hybrid </t>
  </si>
  <si>
    <t>Source Viking Air</t>
  </si>
  <si>
    <t>Jet A-1 fuel</t>
  </si>
  <si>
    <t>Abbreviations</t>
  </si>
  <si>
    <t>Dest.</t>
  </si>
  <si>
    <t>Destination</t>
  </si>
  <si>
    <t>Max landing weight</t>
  </si>
  <si>
    <t>Max take-off weight</t>
  </si>
  <si>
    <t>T/O- mass</t>
  </si>
  <si>
    <t>Take-off mass</t>
  </si>
  <si>
    <t>Load</t>
  </si>
  <si>
    <t>Passenger, crew,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</si>
</sst>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"/>
    <numFmt numFmtId="166" formatCode="0.000000"/>
    <numFmt numFmtId="167" formatCode="0.0\ %"/>
    <numFmt numFmtId="168" formatCode="0.0"/>
    <numFmt numFmtId="169" formatCode="0.00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9">
    <xf numFmtId="0" fontId="0" fillId="0" borderId="0" xfId="0"/>
    <xf numFmtId="49" fontId="0" fillId="0" borderId="0" xfId="0" applyNumberFormat="1"/>
    <xf numFmtId="0" fontId="0" fillId="0" borderId="1" xfId="0" applyBorder="1"/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2" fillId="0" borderId="0" xfId="0" applyFont="1"/>
    <xf numFmtId="0" fontId="0" fillId="2" borderId="3" xfId="0" applyFill="1" applyBorder="1"/>
    <xf numFmtId="0" fontId="2" fillId="0" borderId="6" xfId="0" applyFont="1" applyBorder="1"/>
    <xf numFmtId="0" fontId="2" fillId="0" borderId="7" xfId="0" applyFont="1" applyBorder="1"/>
    <xf numFmtId="0" fontId="0" fillId="2" borderId="8" xfId="0" applyFill="1" applyBorder="1"/>
    <xf numFmtId="0" fontId="0" fillId="0" borderId="9" xfId="0" applyBorder="1"/>
    <xf numFmtId="0" fontId="0" fillId="3" borderId="8" xfId="0" applyFill="1" applyBorder="1"/>
    <xf numFmtId="0" fontId="0" fillId="4" borderId="10" xfId="0" applyFill="1" applyBorder="1"/>
    <xf numFmtId="0" fontId="0" fillId="0" borderId="11" xfId="0" applyBorder="1"/>
    <xf numFmtId="0" fontId="0" fillId="4" borderId="12" xfId="0" applyFill="1" applyBorder="1"/>
    <xf numFmtId="0" fontId="0" fillId="0" borderId="5" xfId="0" applyBorder="1"/>
    <xf numFmtId="0" fontId="0" fillId="0" borderId="13" xfId="0" applyBorder="1"/>
    <xf numFmtId="49" fontId="0" fillId="0" borderId="4" xfId="0" applyNumberFormat="1" applyBorder="1"/>
    <xf numFmtId="2" fontId="0" fillId="3" borderId="0" xfId="0" applyNumberFormat="1" applyFill="1" applyBorder="1"/>
    <xf numFmtId="2" fontId="0" fillId="3" borderId="3" xfId="0" applyNumberFormat="1" applyFill="1" applyBorder="1"/>
    <xf numFmtId="49" fontId="2" fillId="0" borderId="14" xfId="0" applyNumberFormat="1" applyFont="1" applyBorder="1"/>
    <xf numFmtId="2" fontId="0" fillId="2" borderId="15" xfId="0" applyNumberFormat="1" applyFill="1" applyBorder="1"/>
    <xf numFmtId="49" fontId="0" fillId="0" borderId="16" xfId="0" applyNumberFormat="1" applyBorder="1"/>
    <xf numFmtId="2" fontId="0" fillId="2" borderId="17" xfId="0" applyNumberFormat="1" applyFill="1" applyBorder="1"/>
    <xf numFmtId="2" fontId="0" fillId="2" borderId="18" xfId="0" applyNumberFormat="1" applyFill="1" applyBorder="1"/>
    <xf numFmtId="2" fontId="0" fillId="2" borderId="3" xfId="0" applyNumberFormat="1" applyFill="1" applyBorder="1"/>
    <xf numFmtId="0" fontId="0" fillId="0" borderId="14" xfId="0" applyBorder="1"/>
    <xf numFmtId="2" fontId="0" fillId="2" borderId="19" xfId="0" applyNumberFormat="1" applyFill="1" applyBorder="1"/>
    <xf numFmtId="0" fontId="0" fillId="0" borderId="4" xfId="0" applyFill="1" applyBorder="1"/>
    <xf numFmtId="0" fontId="2" fillId="0" borderId="20" xfId="0" applyFont="1" applyFill="1" applyBorder="1"/>
    <xf numFmtId="0" fontId="0" fillId="0" borderId="21" xfId="0" applyBorder="1"/>
    <xf numFmtId="0" fontId="0" fillId="2" borderId="21" xfId="0" applyFill="1" applyBorder="1"/>
    <xf numFmtId="3" fontId="0" fillId="2" borderId="0" xfId="0" applyNumberFormat="1" applyFill="1" applyBorder="1"/>
    <xf numFmtId="4" fontId="0" fillId="2" borderId="0" xfId="0" applyNumberFormat="1" applyFill="1" applyBorder="1"/>
    <xf numFmtId="0" fontId="0" fillId="0" borderId="16" xfId="0" applyBorder="1"/>
    <xf numFmtId="0" fontId="0" fillId="2" borderId="17" xfId="0" applyFill="1" applyBorder="1"/>
    <xf numFmtId="49" fontId="0" fillId="4" borderId="12" xfId="0" applyNumberFormat="1" applyFill="1" applyBorder="1"/>
    <xf numFmtId="2" fontId="0" fillId="0" borderId="13" xfId="0" applyNumberFormat="1" applyBorder="1"/>
    <xf numFmtId="2" fontId="0" fillId="0" borderId="4" xfId="0" applyNumberFormat="1" applyBorder="1"/>
    <xf numFmtId="164" fontId="0" fillId="2" borderId="3" xfId="0" applyNumberFormat="1" applyFill="1" applyBorder="1"/>
    <xf numFmtId="2" fontId="0" fillId="0" borderId="3" xfId="0" applyNumberFormat="1" applyBorder="1"/>
    <xf numFmtId="2" fontId="0" fillId="0" borderId="16" xfId="0" applyNumberFormat="1" applyBorder="1"/>
    <xf numFmtId="166" fontId="0" fillId="2" borderId="18" xfId="0" applyNumberFormat="1" applyFill="1" applyBorder="1"/>
    <xf numFmtId="2" fontId="0" fillId="4" borderId="4" xfId="0" applyNumberFormat="1" applyFill="1" applyBorder="1"/>
    <xf numFmtId="9" fontId="0" fillId="3" borderId="0" xfId="1" applyFont="1" applyFill="1" applyBorder="1"/>
    <xf numFmtId="0" fontId="0" fillId="3" borderId="18" xfId="0" applyFill="1" applyBorder="1"/>
    <xf numFmtId="165" fontId="0" fillId="2" borderId="0" xfId="0" applyNumberFormat="1" applyFill="1" applyBorder="1"/>
    <xf numFmtId="0" fontId="0" fillId="3" borderId="3" xfId="0" applyFill="1" applyBorder="1"/>
    <xf numFmtId="2" fontId="0" fillId="2" borderId="24" xfId="0" applyNumberFormat="1" applyFill="1" applyBorder="1"/>
    <xf numFmtId="49" fontId="0" fillId="0" borderId="0" xfId="0" applyNumberFormat="1" applyBorder="1"/>
    <xf numFmtId="0" fontId="3" fillId="0" borderId="0" xfId="0" applyFont="1"/>
    <xf numFmtId="49" fontId="0" fillId="0" borderId="26" xfId="0" applyNumberFormat="1" applyBorder="1"/>
    <xf numFmtId="2" fontId="0" fillId="0" borderId="27" xfId="0" applyNumberFormat="1" applyBorder="1"/>
    <xf numFmtId="0" fontId="0" fillId="0" borderId="28" xfId="0" applyBorder="1"/>
    <xf numFmtId="0" fontId="0" fillId="0" borderId="29" xfId="0" applyBorder="1"/>
    <xf numFmtId="2" fontId="0" fillId="0" borderId="2" xfId="0" applyNumberFormat="1" applyBorder="1"/>
    <xf numFmtId="0" fontId="0" fillId="0" borderId="30" xfId="0" applyBorder="1"/>
    <xf numFmtId="0" fontId="0" fillId="5" borderId="25" xfId="0" applyFill="1" applyBorder="1"/>
    <xf numFmtId="2" fontId="0" fillId="0" borderId="34" xfId="0" applyNumberFormat="1" applyBorder="1"/>
    <xf numFmtId="0" fontId="2" fillId="0" borderId="33" xfId="0" applyFont="1" applyBorder="1"/>
    <xf numFmtId="2" fontId="0" fillId="6" borderId="27" xfId="0" applyNumberFormat="1" applyFill="1" applyBorder="1"/>
    <xf numFmtId="9" fontId="0" fillId="7" borderId="0" xfId="1" applyFont="1" applyFill="1" applyBorder="1"/>
    <xf numFmtId="2" fontId="0" fillId="6" borderId="0" xfId="1" applyNumberFormat="1" applyFont="1" applyFill="1" applyBorder="1"/>
    <xf numFmtId="2" fontId="0" fillId="6" borderId="1" xfId="0" applyNumberFormat="1" applyFill="1" applyBorder="1"/>
    <xf numFmtId="0" fontId="0" fillId="0" borderId="27" xfId="0" applyBorder="1"/>
    <xf numFmtId="0" fontId="0" fillId="5" borderId="26" xfId="0" applyFill="1" applyBorder="1"/>
    <xf numFmtId="165" fontId="0" fillId="6" borderId="2" xfId="0" applyNumberFormat="1" applyFill="1" applyBorder="1"/>
    <xf numFmtId="2" fontId="0" fillId="6" borderId="0" xfId="0" applyNumberFormat="1" applyFill="1" applyBorder="1"/>
    <xf numFmtId="2" fontId="0" fillId="6" borderId="31" xfId="0" applyNumberFormat="1" applyFill="1" applyBorder="1"/>
    <xf numFmtId="165" fontId="0" fillId="6" borderId="32" xfId="0" applyNumberFormat="1" applyFill="1" applyBorder="1"/>
    <xf numFmtId="2" fontId="0" fillId="0" borderId="28" xfId="0" applyNumberFormat="1" applyBorder="1"/>
    <xf numFmtId="49" fontId="0" fillId="0" borderId="29" xfId="0" applyNumberFormat="1" applyBorder="1"/>
    <xf numFmtId="0" fontId="0" fillId="6" borderId="0" xfId="0" applyFill="1" applyBorder="1"/>
    <xf numFmtId="0" fontId="0" fillId="0" borderId="34" xfId="0" applyBorder="1"/>
    <xf numFmtId="49" fontId="2" fillId="0" borderId="33" xfId="0" applyNumberFormat="1" applyFont="1" applyBorder="1"/>
    <xf numFmtId="0" fontId="0" fillId="0" borderId="0" xfId="0" applyFill="1" applyBorder="1"/>
    <xf numFmtId="0" fontId="0" fillId="6" borderId="0" xfId="0" applyFill="1" applyBorder="1" applyAlignment="1">
      <alignment horizontal="center"/>
    </xf>
    <xf numFmtId="49" fontId="0" fillId="8" borderId="35" xfId="0" applyNumberFormat="1" applyFill="1" applyBorder="1"/>
    <xf numFmtId="2" fontId="0" fillId="8" borderId="36" xfId="0" applyNumberFormat="1" applyFill="1" applyBorder="1"/>
    <xf numFmtId="2" fontId="0" fillId="8" borderId="37" xfId="0" applyNumberFormat="1" applyFill="1" applyBorder="1"/>
    <xf numFmtId="49" fontId="0" fillId="8" borderId="38" xfId="0" applyNumberFormat="1" applyFill="1" applyBorder="1"/>
    <xf numFmtId="2" fontId="0" fillId="8" borderId="39" xfId="0" applyNumberFormat="1" applyFill="1" applyBorder="1"/>
    <xf numFmtId="2" fontId="0" fillId="8" borderId="40" xfId="0" applyNumberFormat="1" applyFill="1" applyBorder="1"/>
    <xf numFmtId="0" fontId="0" fillId="6" borderId="0" xfId="0" applyFill="1"/>
    <xf numFmtId="0" fontId="0" fillId="3" borderId="17" xfId="0" applyFill="1" applyBorder="1"/>
    <xf numFmtId="0" fontId="0" fillId="0" borderId="25" xfId="0" applyBorder="1"/>
    <xf numFmtId="2" fontId="0" fillId="6" borderId="0" xfId="0" applyNumberFormat="1" applyFill="1"/>
    <xf numFmtId="0" fontId="0" fillId="0" borderId="25" xfId="0" applyFill="1" applyBorder="1"/>
    <xf numFmtId="9" fontId="0" fillId="3" borderId="31" xfId="1" applyFont="1" applyFill="1" applyBorder="1"/>
    <xf numFmtId="0" fontId="0" fillId="0" borderId="0" xfId="0" applyFill="1"/>
    <xf numFmtId="49" fontId="0" fillId="4" borderId="26" xfId="0" applyNumberFormat="1" applyFill="1" applyBorder="1"/>
    <xf numFmtId="0" fontId="0" fillId="2" borderId="2" xfId="0" applyFill="1" applyBorder="1"/>
    <xf numFmtId="49" fontId="0" fillId="0" borderId="30" xfId="0" applyNumberFormat="1" applyBorder="1"/>
    <xf numFmtId="0" fontId="0" fillId="2" borderId="32" xfId="0" applyFill="1" applyBorder="1"/>
    <xf numFmtId="0" fontId="2" fillId="0" borderId="0" xfId="0" applyFont="1" applyBorder="1"/>
    <xf numFmtId="0" fontId="2" fillId="0" borderId="42" xfId="0" applyFont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0" fillId="0" borderId="41" xfId="0" applyBorder="1"/>
    <xf numFmtId="2" fontId="0" fillId="6" borderId="2" xfId="0" applyNumberFormat="1" applyFill="1" applyBorder="1"/>
    <xf numFmtId="1" fontId="0" fillId="6" borderId="0" xfId="0" applyNumberFormat="1" applyFill="1"/>
    <xf numFmtId="3" fontId="0" fillId="6" borderId="0" xfId="0" applyNumberFormat="1" applyFill="1"/>
    <xf numFmtId="3" fontId="0" fillId="0" borderId="0" xfId="0" applyNumberFormat="1" applyFill="1" applyBorder="1"/>
    <xf numFmtId="49" fontId="0" fillId="0" borderId="0" xfId="0" applyNumberForma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0" xfId="2"/>
    <xf numFmtId="0" fontId="0" fillId="0" borderId="12" xfId="0" applyBorder="1"/>
    <xf numFmtId="0" fontId="0" fillId="9" borderId="4" xfId="0" applyFill="1" applyBorder="1"/>
    <xf numFmtId="0" fontId="0" fillId="9" borderId="16" xfId="0" applyFill="1" applyBorder="1"/>
    <xf numFmtId="10" fontId="0" fillId="9" borderId="3" xfId="0" applyNumberFormat="1" applyFill="1" applyBorder="1"/>
    <xf numFmtId="10" fontId="0" fillId="9" borderId="18" xfId="0" applyNumberFormat="1" applyFill="1" applyBorder="1"/>
    <xf numFmtId="0" fontId="0" fillId="5" borderId="12" xfId="0" applyFill="1" applyBorder="1"/>
    <xf numFmtId="0" fontId="2" fillId="0" borderId="44" xfId="0" applyFont="1" applyFill="1" applyBorder="1"/>
    <xf numFmtId="2" fontId="0" fillId="6" borderId="45" xfId="0" applyNumberFormat="1" applyFill="1" applyBorder="1"/>
    <xf numFmtId="2" fontId="0" fillId="6" borderId="3" xfId="0" applyNumberFormat="1" applyFill="1" applyBorder="1"/>
    <xf numFmtId="0" fontId="0" fillId="0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wrapText="1"/>
    </xf>
    <xf numFmtId="0" fontId="0" fillId="0" borderId="42" xfId="0" applyFill="1" applyBorder="1"/>
    <xf numFmtId="0" fontId="0" fillId="0" borderId="0" xfId="0" quotePrefix="1"/>
    <xf numFmtId="0" fontId="2" fillId="0" borderId="20" xfId="0" applyFont="1" applyBorder="1"/>
    <xf numFmtId="2" fontId="0" fillId="2" borderId="46" xfId="0" applyNumberFormat="1" applyFill="1" applyBorder="1"/>
    <xf numFmtId="0" fontId="5" fillId="0" borderId="0" xfId="0" applyFont="1"/>
    <xf numFmtId="49" fontId="0" fillId="0" borderId="4" xfId="0" applyNumberFormat="1" applyFont="1" applyBorder="1"/>
    <xf numFmtId="165" fontId="0" fillId="2" borderId="0" xfId="0" applyNumberFormat="1" applyFill="1"/>
    <xf numFmtId="2" fontId="0" fillId="0" borderId="0" xfId="0" applyNumberFormat="1" applyFill="1"/>
    <xf numFmtId="2" fontId="0" fillId="0" borderId="25" xfId="0" applyNumberFormat="1" applyFill="1" applyBorder="1"/>
    <xf numFmtId="49" fontId="0" fillId="0" borderId="51" xfId="0" applyNumberFormat="1" applyBorder="1"/>
    <xf numFmtId="0" fontId="0" fillId="2" borderId="53" xfId="0" applyFill="1" applyBorder="1"/>
    <xf numFmtId="49" fontId="0" fillId="0" borderId="54" xfId="0" applyNumberFormat="1" applyBorder="1"/>
    <xf numFmtId="0" fontId="0" fillId="3" borderId="55" xfId="0" applyFill="1" applyBorder="1"/>
    <xf numFmtId="2" fontId="0" fillId="2" borderId="39" xfId="0" applyNumberFormat="1" applyFill="1" applyBorder="1"/>
    <xf numFmtId="2" fontId="0" fillId="2" borderId="52" xfId="0" applyNumberFormat="1" applyFill="1" applyBorder="1"/>
    <xf numFmtId="0" fontId="0" fillId="0" borderId="56" xfId="0" applyBorder="1"/>
    <xf numFmtId="2" fontId="0" fillId="2" borderId="2" xfId="0" applyNumberFormat="1" applyFill="1" applyBorder="1"/>
    <xf numFmtId="2" fontId="0" fillId="2" borderId="57" xfId="0" applyNumberFormat="1" applyFill="1" applyBorder="1"/>
    <xf numFmtId="49" fontId="0" fillId="4" borderId="48" xfId="0" applyNumberFormat="1" applyFill="1" applyBorder="1"/>
    <xf numFmtId="0" fontId="0" fillId="0" borderId="50" xfId="0" applyBorder="1"/>
    <xf numFmtId="49" fontId="0" fillId="4" borderId="25" xfId="0" applyNumberFormat="1" applyFill="1" applyBorder="1"/>
    <xf numFmtId="49" fontId="0" fillId="0" borderId="47" xfId="0" applyNumberFormat="1" applyBorder="1"/>
    <xf numFmtId="49" fontId="2" fillId="0" borderId="58" xfId="0" applyNumberFormat="1" applyFont="1" applyBorder="1"/>
    <xf numFmtId="49" fontId="2" fillId="0" borderId="59" xfId="0" applyNumberFormat="1" applyFont="1" applyBorder="1"/>
    <xf numFmtId="0" fontId="0" fillId="0" borderId="49" xfId="0" applyBorder="1"/>
    <xf numFmtId="2" fontId="0" fillId="2" borderId="21" xfId="0" applyNumberFormat="1" applyFill="1" applyBorder="1"/>
    <xf numFmtId="0" fontId="0" fillId="0" borderId="47" xfId="0" applyBorder="1"/>
    <xf numFmtId="0" fontId="0" fillId="0" borderId="31" xfId="0" applyBorder="1"/>
    <xf numFmtId="0" fontId="0" fillId="5" borderId="41" xfId="0" applyFill="1" applyBorder="1"/>
    <xf numFmtId="0" fontId="0" fillId="0" borderId="60" xfId="0" applyBorder="1"/>
    <xf numFmtId="0" fontId="0" fillId="7" borderId="26" xfId="0" applyFill="1" applyBorder="1"/>
    <xf numFmtId="2" fontId="0" fillId="6" borderId="28" xfId="0" applyNumberFormat="1" applyFill="1" applyBorder="1"/>
    <xf numFmtId="0" fontId="0" fillId="7" borderId="29" xfId="0" applyFill="1" applyBorder="1"/>
    <xf numFmtId="0" fontId="0" fillId="7" borderId="30" xfId="0" applyFill="1" applyBorder="1"/>
    <xf numFmtId="2" fontId="0" fillId="6" borderId="32" xfId="0" applyNumberFormat="1" applyFill="1" applyBorder="1"/>
    <xf numFmtId="0" fontId="0" fillId="5" borderId="28" xfId="0" applyFill="1" applyBorder="1"/>
    <xf numFmtId="3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Border="1"/>
    <xf numFmtId="0" fontId="0" fillId="11" borderId="0" xfId="0" applyFill="1"/>
    <xf numFmtId="0" fontId="0" fillId="3" borderId="3" xfId="0" applyFont="1" applyFill="1" applyBorder="1"/>
    <xf numFmtId="49" fontId="0" fillId="0" borderId="61" xfId="0" applyNumberFormat="1" applyBorder="1"/>
    <xf numFmtId="165" fontId="0" fillId="2" borderId="62" xfId="0" applyNumberFormat="1" applyFill="1" applyBorder="1"/>
    <xf numFmtId="0" fontId="0" fillId="10" borderId="63" xfId="0" applyFill="1" applyBorder="1"/>
    <xf numFmtId="0" fontId="0" fillId="12" borderId="0" xfId="0" applyFill="1"/>
    <xf numFmtId="0" fontId="2" fillId="0" borderId="25" xfId="0" applyFont="1" applyBorder="1"/>
    <xf numFmtId="167" fontId="2" fillId="7" borderId="0" xfId="1" applyNumberFormat="1" applyFont="1" applyFill="1"/>
    <xf numFmtId="9" fontId="2" fillId="7" borderId="0" xfId="1" applyFont="1" applyFill="1"/>
    <xf numFmtId="0" fontId="6" fillId="0" borderId="0" xfId="0" applyFont="1"/>
    <xf numFmtId="0" fontId="2" fillId="0" borderId="16" xfId="0" applyFont="1" applyBorder="1"/>
    <xf numFmtId="0" fontId="2" fillId="3" borderId="57" xfId="0" applyFont="1" applyFill="1" applyBorder="1"/>
    <xf numFmtId="49" fontId="0" fillId="0" borderId="41" xfId="0" applyNumberFormat="1" applyBorder="1"/>
    <xf numFmtId="2" fontId="0" fillId="2" borderId="64" xfId="0" applyNumberFormat="1" applyFill="1" applyBorder="1"/>
    <xf numFmtId="0" fontId="0" fillId="0" borderId="61" xfId="0" applyBorder="1"/>
    <xf numFmtId="0" fontId="0" fillId="6" borderId="25" xfId="0" applyFill="1" applyBorder="1"/>
    <xf numFmtId="0" fontId="0" fillId="6" borderId="41" xfId="0" applyFill="1" applyBorder="1"/>
    <xf numFmtId="0" fontId="0" fillId="6" borderId="63" xfId="0" applyFill="1" applyBorder="1"/>
    <xf numFmtId="0" fontId="0" fillId="6" borderId="52" xfId="0" applyFill="1" applyBorder="1"/>
    <xf numFmtId="0" fontId="7" fillId="0" borderId="0" xfId="0" applyFont="1"/>
    <xf numFmtId="0" fontId="7" fillId="6" borderId="41" xfId="0" applyFont="1" applyFill="1" applyBorder="1"/>
    <xf numFmtId="0" fontId="7" fillId="6" borderId="60" xfId="0" applyFont="1" applyFill="1" applyBorder="1"/>
    <xf numFmtId="168" fontId="0" fillId="2" borderId="3" xfId="0" applyNumberFormat="1" applyFill="1" applyBorder="1"/>
    <xf numFmtId="0" fontId="2" fillId="7" borderId="29" xfId="0" applyFont="1" applyFill="1" applyBorder="1"/>
    <xf numFmtId="2" fontId="2" fillId="6" borderId="0" xfId="0" applyNumberFormat="1" applyFont="1" applyFill="1" applyBorder="1"/>
    <xf numFmtId="2" fontId="2" fillId="6" borderId="2" xfId="0" applyNumberFormat="1" applyFont="1" applyFill="1" applyBorder="1"/>
    <xf numFmtId="0" fontId="2" fillId="0" borderId="29" xfId="0" applyFont="1" applyBorder="1"/>
    <xf numFmtId="0" fontId="0" fillId="0" borderId="6" xfId="0" applyBorder="1"/>
    <xf numFmtId="9" fontId="0" fillId="3" borderId="65" xfId="0" applyNumberFormat="1" applyFill="1" applyBorder="1"/>
    <xf numFmtId="0" fontId="0" fillId="0" borderId="7" xfId="0" applyBorder="1"/>
    <xf numFmtId="49" fontId="0" fillId="0" borderId="8" xfId="0" applyNumberFormat="1" applyBorder="1"/>
    <xf numFmtId="0" fontId="0" fillId="0" borderId="8" xfId="0" applyBorder="1"/>
    <xf numFmtId="169" fontId="0" fillId="3" borderId="0" xfId="0" applyNumberFormat="1" applyFill="1" applyBorder="1"/>
    <xf numFmtId="0" fontId="0" fillId="0" borderId="2" xfId="0" applyFill="1" applyBorder="1"/>
    <xf numFmtId="0" fontId="0" fillId="0" borderId="47" xfId="0" applyFill="1" applyBorder="1"/>
    <xf numFmtId="0" fontId="2" fillId="2" borderId="10" xfId="0" applyFont="1" applyFill="1" applyBorder="1"/>
    <xf numFmtId="9" fontId="2" fillId="2" borderId="66" xfId="0" applyNumberFormat="1" applyFont="1" applyFill="1" applyBorder="1"/>
    <xf numFmtId="0" fontId="0" fillId="2" borderId="11" xfId="0" applyFill="1" applyBorder="1"/>
    <xf numFmtId="0" fontId="0" fillId="0" borderId="67" xfId="0" applyBorder="1"/>
    <xf numFmtId="0" fontId="0" fillId="7" borderId="29" xfId="0" applyFont="1" applyFill="1" applyBorder="1"/>
    <xf numFmtId="2" fontId="0" fillId="6" borderId="0" xfId="0" applyNumberFormat="1" applyFont="1" applyFill="1" applyBorder="1"/>
    <xf numFmtId="2" fontId="0" fillId="6" borderId="2" xfId="0" applyNumberFormat="1" applyFont="1" applyFill="1" applyBorder="1"/>
    <xf numFmtId="0" fontId="0" fillId="0" borderId="22" xfId="0" applyFill="1" applyBorder="1"/>
    <xf numFmtId="9" fontId="0" fillId="0" borderId="24" xfId="0" applyNumberFormat="1" applyFill="1" applyBorder="1"/>
    <xf numFmtId="0" fontId="8" fillId="0" borderId="0" xfId="0" applyFont="1"/>
    <xf numFmtId="49" fontId="2" fillId="0" borderId="22" xfId="0" applyNumberFormat="1" applyFont="1" applyBorder="1"/>
    <xf numFmtId="2" fontId="2" fillId="6" borderId="23" xfId="0" applyNumberFormat="1" applyFont="1" applyFill="1" applyBorder="1"/>
    <xf numFmtId="2" fontId="2" fillId="6" borderId="24" xfId="0" applyNumberFormat="1" applyFont="1" applyFill="1" applyBorder="1"/>
    <xf numFmtId="4" fontId="0" fillId="6" borderId="0" xfId="0" applyNumberFormat="1" applyFill="1"/>
    <xf numFmtId="0" fontId="0" fillId="0" borderId="42" xfId="0" applyFont="1" applyBorder="1"/>
    <xf numFmtId="0" fontId="0" fillId="0" borderId="43" xfId="0" applyFont="1" applyBorder="1"/>
    <xf numFmtId="3" fontId="2" fillId="6" borderId="23" xfId="0" applyNumberFormat="1" applyFont="1" applyFill="1" applyBorder="1"/>
    <xf numFmtId="0" fontId="0" fillId="0" borderId="68" xfId="0" applyFont="1" applyFill="1" applyBorder="1"/>
    <xf numFmtId="2" fontId="0" fillId="6" borderId="5" xfId="0" applyNumberFormat="1" applyFont="1" applyFill="1" applyBorder="1"/>
    <xf numFmtId="2" fontId="0" fillId="0" borderId="13" xfId="0" applyNumberFormat="1" applyFont="1" applyFill="1" applyBorder="1"/>
    <xf numFmtId="0" fontId="0" fillId="6" borderId="0" xfId="0" applyFont="1" applyFill="1" applyBorder="1"/>
    <xf numFmtId="2" fontId="0" fillId="0" borderId="3" xfId="0" applyNumberFormat="1" applyFont="1" applyBorder="1"/>
    <xf numFmtId="2" fontId="2" fillId="0" borderId="18" xfId="0" applyNumberFormat="1" applyFont="1" applyBorder="1"/>
    <xf numFmtId="0" fontId="0" fillId="0" borderId="69" xfId="0" applyFont="1" applyBorder="1"/>
    <xf numFmtId="2" fontId="0" fillId="0" borderId="13" xfId="0" applyNumberFormat="1" applyFont="1" applyBorder="1"/>
    <xf numFmtId="2" fontId="2" fillId="0" borderId="17" xfId="0" applyNumberFormat="1" applyFont="1" applyBorder="1"/>
    <xf numFmtId="0" fontId="0" fillId="0" borderId="68" xfId="0" applyBorder="1"/>
    <xf numFmtId="0" fontId="0" fillId="0" borderId="59" xfId="0" applyBorder="1"/>
    <xf numFmtId="0" fontId="0" fillId="0" borderId="70" xfId="0" applyBorder="1"/>
    <xf numFmtId="0" fontId="0" fillId="0" borderId="71" xfId="0" applyBorder="1"/>
    <xf numFmtId="0" fontId="0" fillId="0" borderId="71" xfId="0" applyFill="1" applyBorder="1"/>
    <xf numFmtId="0" fontId="0" fillId="0" borderId="72" xfId="0" applyFill="1" applyBorder="1"/>
    <xf numFmtId="2" fontId="0" fillId="6" borderId="17" xfId="0" applyNumberFormat="1" applyFill="1" applyBorder="1"/>
    <xf numFmtId="2" fontId="0" fillId="6" borderId="18" xfId="0" applyNumberFormat="1" applyFill="1" applyBorder="1"/>
    <xf numFmtId="2" fontId="2" fillId="6" borderId="17" xfId="0" applyNumberFormat="1" applyFont="1" applyFill="1" applyBorder="1"/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Specific energy density impact</a:t>
            </a:r>
            <a:r>
              <a:rPr lang="en-GB" baseline="0"/>
              <a:t> on DHC6-400 MLW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'DHC-6'!$Q$13</c:f>
              <c:strCache>
                <c:ptCount val="1"/>
                <c:pt idx="0">
                  <c:v>Netto weight, no pax and bags (kg)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'DHC-6'!$P$15:$P$36</c:f>
              <c:numCache>
                <c:formatCode>General</c:formatCode>
                <c:ptCount val="22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678.755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</c:numCache>
            </c:numRef>
          </c:cat>
          <c:val>
            <c:numRef>
              <c:f>'DHC-6'!$Q$15:$Q$36</c:f>
              <c:numCache>
                <c:formatCode>0.00</c:formatCode>
                <c:ptCount val="22"/>
                <c:pt idx="0">
                  <c:v>2963.3101130151513</c:v>
                </c:pt>
                <c:pt idx="1">
                  <c:v>1635.6975655588635</c:v>
                </c:pt>
                <c:pt idx="2">
                  <c:v>839.13003708509075</c:v>
                </c:pt>
                <c:pt idx="3">
                  <c:v>308.08501810257565</c:v>
                </c:pt>
                <c:pt idx="4">
                  <c:v>2.9378971411233579E-3</c:v>
                </c:pt>
                <c:pt idx="5">
                  <c:v>-355.72125562556823</c:v>
                </c:pt>
                <c:pt idx="6">
                  <c:v>-576.99001353494953</c:v>
                </c:pt>
                <c:pt idx="7">
                  <c:v>-754.00501986245456</c:v>
                </c:pt>
                <c:pt idx="8">
                  <c:v>-898.83547958495853</c:v>
                </c:pt>
                <c:pt idx="9">
                  <c:v>-1019.527529353712</c:v>
                </c:pt>
                <c:pt idx="10">
                  <c:v>-1121.6515714657344</c:v>
                </c:pt>
                <c:pt idx="11">
                  <c:v>-1209.1864647046104</c:v>
                </c:pt>
                <c:pt idx="12">
                  <c:v>-1285.0500388449695</c:v>
                </c:pt>
                <c:pt idx="13">
                  <c:v>-1351.4306662177842</c:v>
                </c:pt>
                <c:pt idx="14">
                  <c:v>-1410.0018080173259</c:v>
                </c:pt>
                <c:pt idx="15">
                  <c:v>-1462.0650451724746</c:v>
                </c:pt>
                <c:pt idx="16">
                  <c:v>-1508.6479415744498</c:v>
                </c:pt>
                <c:pt idx="17">
                  <c:v>-1550.5725483362271</c:v>
                </c:pt>
                <c:pt idx="18">
                  <c:v>-1588.5043354064069</c:v>
                </c:pt>
                <c:pt idx="19">
                  <c:v>-1622.9877781974792</c:v>
                </c:pt>
                <c:pt idx="20">
                  <c:v>-1654.4726607458497</c:v>
                </c:pt>
                <c:pt idx="21">
                  <c:v>-1683.3338030818559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D-4A95-8CE5-BC41E0BC0BAB}"/>
            </c:ext>
          </c:extLst>
        </c:ser>
        <c:ser>
          <c:idx val="2"/>
          <c:order val="2"/>
          <c:tx>
            <c:strRef>
              <c:f>'DHC-6'!$U$13</c:f>
              <c:strCache>
                <c:ptCount val="1"/>
                <c:pt idx="0">
                  <c:v>Netto weight, incl. pax and bags (kg) </c:v>
                </c:pt>
              </c:strCache>
            </c:strRef>
          </c:tx>
          <c:spPr>
            <a:ln w="38100" cap="flat" cmpd="dbl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cat>
            <c:numRef>
              <c:f>'DHC-6'!$P$15:$P$36</c:f>
              <c:numCache>
                <c:formatCode>General</c:formatCode>
                <c:ptCount val="22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678.755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</c:numCache>
            </c:numRef>
          </c:cat>
          <c:val>
            <c:numRef>
              <c:f>'DHC-6'!$U$15:$U$36</c:f>
              <c:numCache>
                <c:formatCode>0.00</c:formatCode>
                <c:ptCount val="22"/>
                <c:pt idx="0">
                  <c:v>4682.8787876851511</c:v>
                </c:pt>
                <c:pt idx="1">
                  <c:v>3355.2662402288634</c:v>
                </c:pt>
                <c:pt idx="2">
                  <c:v>2558.6987117550907</c:v>
                </c:pt>
                <c:pt idx="3">
                  <c:v>2027.6536927725756</c:v>
                </c:pt>
                <c:pt idx="4">
                  <c:v>1648.3358220707792</c:v>
                </c:pt>
                <c:pt idx="5">
                  <c:v>1363.8474190444317</c:v>
                </c:pt>
                <c:pt idx="6">
                  <c:v>1142.5786611350504</c:v>
                </c:pt>
                <c:pt idx="7">
                  <c:v>965.56365480754528</c:v>
                </c:pt>
                <c:pt idx="8">
                  <c:v>820.7331950850413</c:v>
                </c:pt>
                <c:pt idx="9">
                  <c:v>700.04114531628773</c:v>
                </c:pt>
                <c:pt idx="10">
                  <c:v>597.91710320426557</c:v>
                </c:pt>
                <c:pt idx="11">
                  <c:v>510.38220996538951</c:v>
                </c:pt>
                <c:pt idx="12">
                  <c:v>434.51863582503017</c:v>
                </c:pt>
                <c:pt idx="13">
                  <c:v>368.13800845221579</c:v>
                </c:pt>
                <c:pt idx="14">
                  <c:v>309.56686665267375</c:v>
                </c:pt>
                <c:pt idx="15">
                  <c:v>257.50362949752514</c:v>
                </c:pt>
                <c:pt idx="16">
                  <c:v>210.92073309555019</c:v>
                </c:pt>
                <c:pt idx="17">
                  <c:v>168.99612633377262</c:v>
                </c:pt>
                <c:pt idx="18">
                  <c:v>131.06433926359296</c:v>
                </c:pt>
                <c:pt idx="19">
                  <c:v>96.580896472520635</c:v>
                </c:pt>
                <c:pt idx="20">
                  <c:v>65.096013924150157</c:v>
                </c:pt>
                <c:pt idx="21">
                  <c:v>36.234871588143847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D-4A95-8CE5-BC41E0BC0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9010463"/>
        <c:axId val="175935614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'DHC-6'!$T$13</c15:sqref>
                        </c15:formulaRef>
                      </c:ext>
                    </c:extLst>
                    <c:strCache>
                      <c:ptCount val="1"/>
                      <c:pt idx="0">
                        <c:v>Energy density (Wh/kg)</c:v>
                      </c:pt>
                    </c:strCache>
                  </c:strRef>
                </c:tx>
                <c:spPr>
                  <a:ln w="38100" cap="flat" cmpd="dbl" algn="ctr">
                    <a:solidFill>
                      <a:schemeClr val="accent4"/>
                    </a:solidFill>
                    <a:miter lim="800000"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4"/>
                    </a:solidFill>
                    <a:ln w="9525" cap="flat" cmpd="sng" algn="ctr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'DHC-6'!$P$15:$P$36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300</c:v>
                      </c:pt>
                      <c:pt idx="1">
                        <c:v>400</c:v>
                      </c:pt>
                      <c:pt idx="2">
                        <c:v>500</c:v>
                      </c:pt>
                      <c:pt idx="3">
                        <c:v>600</c:v>
                      </c:pt>
                      <c:pt idx="4">
                        <c:v>678.755</c:v>
                      </c:pt>
                      <c:pt idx="5">
                        <c:v>800</c:v>
                      </c:pt>
                      <c:pt idx="6">
                        <c:v>900</c:v>
                      </c:pt>
                      <c:pt idx="7">
                        <c:v>1000</c:v>
                      </c:pt>
                      <c:pt idx="8">
                        <c:v>1100</c:v>
                      </c:pt>
                      <c:pt idx="9">
                        <c:v>1200</c:v>
                      </c:pt>
                      <c:pt idx="10">
                        <c:v>1300</c:v>
                      </c:pt>
                      <c:pt idx="11">
                        <c:v>1400</c:v>
                      </c:pt>
                      <c:pt idx="12">
                        <c:v>1500</c:v>
                      </c:pt>
                      <c:pt idx="13">
                        <c:v>1600</c:v>
                      </c:pt>
                      <c:pt idx="14">
                        <c:v>1700</c:v>
                      </c:pt>
                      <c:pt idx="15">
                        <c:v>1800</c:v>
                      </c:pt>
                      <c:pt idx="16">
                        <c:v>1900</c:v>
                      </c:pt>
                      <c:pt idx="17">
                        <c:v>2000</c:v>
                      </c:pt>
                      <c:pt idx="18">
                        <c:v>2100</c:v>
                      </c:pt>
                      <c:pt idx="19">
                        <c:v>2200</c:v>
                      </c:pt>
                      <c:pt idx="20">
                        <c:v>2300</c:v>
                      </c:pt>
                      <c:pt idx="21">
                        <c:v>2400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'DHC-6'!$T$15:$T$36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300</c:v>
                      </c:pt>
                      <c:pt idx="1">
                        <c:v>400</c:v>
                      </c:pt>
                      <c:pt idx="2">
                        <c:v>500</c:v>
                      </c:pt>
                      <c:pt idx="3">
                        <c:v>600</c:v>
                      </c:pt>
                      <c:pt idx="4">
                        <c:v>700</c:v>
                      </c:pt>
                      <c:pt idx="5">
                        <c:v>800</c:v>
                      </c:pt>
                      <c:pt idx="6">
                        <c:v>900</c:v>
                      </c:pt>
                      <c:pt idx="7">
                        <c:v>1000</c:v>
                      </c:pt>
                      <c:pt idx="8">
                        <c:v>1100</c:v>
                      </c:pt>
                      <c:pt idx="9">
                        <c:v>1200</c:v>
                      </c:pt>
                      <c:pt idx="10">
                        <c:v>1300</c:v>
                      </c:pt>
                      <c:pt idx="11">
                        <c:v>1400</c:v>
                      </c:pt>
                      <c:pt idx="12">
                        <c:v>1500</c:v>
                      </c:pt>
                      <c:pt idx="13">
                        <c:v>1600</c:v>
                      </c:pt>
                      <c:pt idx="14">
                        <c:v>1700</c:v>
                      </c:pt>
                      <c:pt idx="15">
                        <c:v>1800</c:v>
                      </c:pt>
                      <c:pt idx="16">
                        <c:v>1900</c:v>
                      </c:pt>
                      <c:pt idx="17">
                        <c:v>2000</c:v>
                      </c:pt>
                      <c:pt idx="18">
                        <c:v>2100</c:v>
                      </c:pt>
                      <c:pt idx="19">
                        <c:v>2200</c:v>
                      </c:pt>
                      <c:pt idx="20">
                        <c:v>2300</c:v>
                      </c:pt>
                      <c:pt idx="21">
                        <c:v>2400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FED-4A95-8CE5-BC41E0BC0BAB}"/>
                  </c:ext>
                </c:extLst>
              </c15:ser>
            </c15:filteredLineSeries>
          </c:ext>
        </c:extLst>
      </c:lineChart>
      <c:catAx>
        <c:axId val="1599010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accent1"/>
                    </a:solidFill>
                  </a:rPr>
                  <a:t>Spesific</a:t>
                </a:r>
                <a:r>
                  <a:rPr lang="en-US" sz="1800" baseline="0">
                    <a:solidFill>
                      <a:schemeClr val="accent1"/>
                    </a:solidFill>
                  </a:rPr>
                  <a:t> energy density [Wh/kg] &lt;--------&gt;</a:t>
                </a:r>
                <a:endParaRPr lang="en-US" sz="1800">
                  <a:solidFill>
                    <a:schemeClr val="accent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5"/>
            </a:solidFill>
            <a:round/>
            <a:tailEnd type="none" w="med" len="lg"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356143"/>
        <c:crosses val="autoZero"/>
        <c:auto val="1"/>
        <c:lblAlgn val="ctr"/>
        <c:lblOffset val="100"/>
        <c:tickMarkSkip val="1"/>
        <c:noMultiLvlLbl val="0"/>
      </c:catAx>
      <c:valAx>
        <c:axId val="175935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MLW [kg] &lt;--------&gt;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01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83819</xdr:colOff>
      <xdr:row>1</xdr:row>
      <xdr:rowOff>175260</xdr:rowOff>
    </xdr:from>
    <xdr:to>
      <xdr:col>16</xdr:col>
      <xdr:colOff>125136</xdr:colOff>
      <xdr:row>9</xdr:row>
      <xdr:rowOff>33020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2BD2A17-B7DF-4A22-B9D8-64FA050A7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8579" y="358140"/>
          <a:ext cx="3180757" cy="1318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883228</xdr:colOff>
      <xdr:row>53</xdr:row>
      <xdr:rowOff>64076</xdr:rowOff>
    </xdr:from>
    <xdr:to>
      <xdr:col>10</xdr:col>
      <xdr:colOff>518681</xdr:colOff>
      <xdr:row>78</xdr:row>
      <xdr:rowOff>105642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FE0B3E43-D6CB-4BC4-BEAD-9EAD67491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0.78112</cdr:x>
      <cdr:y>0.95851</cdr:y>
    </cdr:from>
    <cdr:to>
      <cdr:x>1</cdr:x>
      <cdr:y>0.99299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623EAC10-3FA6-4B5A-911C-DC645DD3E02A}"/>
            </a:ext>
          </a:extLst>
        </cdr:cNvPr>
        <cdr:cNvSpPr txBox="1"/>
      </cdr:nvSpPr>
      <cdr:spPr>
        <a:xfrm xmlns:a="http://schemas.openxmlformats.org/drawingml/2006/main">
          <a:off x="11043898" y="7582688"/>
          <a:ext cx="3094667" cy="272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*</a:t>
          </a:r>
          <a:r>
            <a:rPr lang="en-GB" sz="1100" baseline="0"/>
            <a:t> </a:t>
          </a:r>
          <a:r>
            <a:rPr lang="en-GB" sz="1100"/>
            <a:t>Payload</a:t>
          </a:r>
          <a:r>
            <a:rPr lang="en-GB" sz="1100" baseline="0"/>
            <a:t> = </a:t>
          </a:r>
          <a:r>
            <a:rPr lang="en-GB" sz="1100"/>
            <a:t>19 passenger</a:t>
          </a:r>
          <a:r>
            <a:rPr lang="en-GB" sz="1100" baseline="0"/>
            <a:t> + Crew + Cargo luggage</a:t>
          </a:r>
          <a:r>
            <a:rPr lang="en-GB" sz="11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uelcellsworks.com/news/exclusive-get-to-know-a-sector-zeroavia/?fbclid=IwAR2bNcKSZzXnLuInXOiXGyAlgYQiT5OcKoTMkOz5ax_ZMKEz6qADntmjf7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16BA-7F4D-4CA4-8DCB-C3ED16FD830A}">
  <dimension ref="B3:L25"/>
  <sheetViews>
    <sheetView workbookViewId="0">
      <selection activeCell="C22" sqref="C22"/>
    </sheetView>
  </sheetViews>
  <sheetFormatPr baseColWidth="10" defaultColWidth="11.44140625" defaultRowHeight="14.4" x14ac:dyDescent="0.3"/>
  <cols>
    <col min="2" max="2" width="25" customWidth="1"/>
    <col min="3" max="3" width="20.33203125" customWidth="1"/>
    <col min="6" max="6" width="14.33203125" customWidth="1"/>
    <col min="7" max="7" width="14.6640625" bestFit="1" customWidth="1"/>
    <col min="10" max="10" width="16.6640625" customWidth="1"/>
  </cols>
  <sheetData>
    <row r="3" spans="2:12" x14ac:dyDescent="0.3">
      <c r="B3" s="67" t="s">
        <v>0</v>
      </c>
      <c r="F3" s="75" t="s">
        <v>1</v>
      </c>
      <c r="G3" s="74" t="s">
        <v>2</v>
      </c>
      <c r="H3" s="63" t="s">
        <v>3</v>
      </c>
      <c r="J3" s="75" t="s">
        <v>4</v>
      </c>
      <c r="K3" s="62"/>
      <c r="L3" s="80"/>
    </row>
    <row r="4" spans="2:12" x14ac:dyDescent="0.3">
      <c r="B4" s="61" t="s">
        <v>5</v>
      </c>
      <c r="C4" s="70">
        <f>'DHC-6'!L7</f>
        <v>1386027.4995443646</v>
      </c>
      <c r="D4" s="63" t="s">
        <v>6</v>
      </c>
      <c r="F4" s="64" t="s">
        <v>7</v>
      </c>
      <c r="G4" s="72">
        <v>71</v>
      </c>
      <c r="H4" s="76">
        <f>G4/10^3</f>
        <v>7.0999999999999994E-2</v>
      </c>
      <c r="J4" s="81" t="s">
        <v>8</v>
      </c>
      <c r="K4" s="77">
        <v>1466</v>
      </c>
      <c r="L4" s="65" t="s">
        <v>9</v>
      </c>
    </row>
    <row r="5" spans="2:12" x14ac:dyDescent="0.3">
      <c r="B5" s="81" t="s">
        <v>10</v>
      </c>
      <c r="C5" s="77">
        <f>C4/(C6*C7*C8)</f>
        <v>1488599.4442504414</v>
      </c>
      <c r="D5" s="6" t="s">
        <v>6</v>
      </c>
      <c r="F5" s="64" t="s">
        <v>11</v>
      </c>
      <c r="G5" s="77">
        <v>20</v>
      </c>
      <c r="H5" s="76">
        <f t="shared" ref="H5:H6" si="0">G5/10^3</f>
        <v>0.02</v>
      </c>
      <c r="J5" s="81" t="s">
        <v>12</v>
      </c>
      <c r="K5" s="77">
        <f>'DHC-6'!L4</f>
        <v>463.57140214000003</v>
      </c>
      <c r="L5" s="6" t="s">
        <v>13</v>
      </c>
    </row>
    <row r="6" spans="2:12" x14ac:dyDescent="0.3">
      <c r="B6" s="81" t="s">
        <v>14</v>
      </c>
      <c r="C6" s="71">
        <v>0.95</v>
      </c>
      <c r="D6" s="6" t="s">
        <v>15</v>
      </c>
      <c r="E6" s="3"/>
      <c r="F6" s="66" t="s">
        <v>16</v>
      </c>
      <c r="G6" s="78">
        <v>40</v>
      </c>
      <c r="H6" s="79">
        <f t="shared" si="0"/>
        <v>0.04</v>
      </c>
      <c r="J6" s="81" t="s">
        <v>17</v>
      </c>
      <c r="K6" s="82">
        <f>2*'DHC-6'!L29</f>
        <v>308</v>
      </c>
      <c r="L6" s="6" t="s">
        <v>13</v>
      </c>
    </row>
    <row r="7" spans="2:12" x14ac:dyDescent="0.3">
      <c r="B7" s="81" t="s">
        <v>18</v>
      </c>
      <c r="C7" s="71">
        <v>0.99</v>
      </c>
      <c r="D7" s="6" t="s">
        <v>15</v>
      </c>
      <c r="E7" s="3"/>
      <c r="J7" s="81" t="s">
        <v>19</v>
      </c>
      <c r="K7" s="82">
        <f>2*'DHC-6'!L30</f>
        <v>233</v>
      </c>
      <c r="L7" s="6" t="s">
        <v>13</v>
      </c>
    </row>
    <row r="8" spans="2:12" x14ac:dyDescent="0.3">
      <c r="B8" s="81" t="s">
        <v>20</v>
      </c>
      <c r="C8" s="71">
        <v>0.99</v>
      </c>
      <c r="D8" s="6" t="s">
        <v>15</v>
      </c>
      <c r="E8" s="3"/>
      <c r="J8" s="81" t="s">
        <v>21</v>
      </c>
      <c r="K8" s="82">
        <f>'DHC-6'!L25</f>
        <v>255</v>
      </c>
      <c r="L8" s="6" t="s">
        <v>13</v>
      </c>
    </row>
    <row r="9" spans="2:12" ht="15" thickBot="1" x14ac:dyDescent="0.35">
      <c r="B9" s="64" t="s">
        <v>22</v>
      </c>
      <c r="C9" s="71">
        <v>0.5</v>
      </c>
      <c r="D9" s="6" t="s">
        <v>15</v>
      </c>
      <c r="E9" s="3"/>
      <c r="F9" s="118" t="s">
        <v>23</v>
      </c>
      <c r="G9" s="26" t="s">
        <v>24</v>
      </c>
      <c r="J9" s="84" t="s">
        <v>25</v>
      </c>
      <c r="K9" s="73">
        <f>K5+K6+K8-K7</f>
        <v>793.57140213999992</v>
      </c>
      <c r="L9" s="83" t="s">
        <v>13</v>
      </c>
    </row>
    <row r="10" spans="2:12" ht="15" thickTop="1" x14ac:dyDescent="0.3">
      <c r="B10" s="195" t="s">
        <v>26</v>
      </c>
      <c r="C10" s="71">
        <f>C6*C7*C8*C9</f>
        <v>0.4655475</v>
      </c>
      <c r="D10" s="6" t="s">
        <v>15</v>
      </c>
      <c r="E10" s="3"/>
      <c r="F10" s="119" t="s">
        <v>27</v>
      </c>
      <c r="G10" s="121">
        <v>8.3000000000000004E-2</v>
      </c>
      <c r="H10" t="s">
        <v>28</v>
      </c>
      <c r="J10" s="1"/>
    </row>
    <row r="11" spans="2:12" x14ac:dyDescent="0.3">
      <c r="B11" s="64" t="s">
        <v>29</v>
      </c>
      <c r="C11" s="72">
        <f>33.33*10^3</f>
        <v>33330</v>
      </c>
      <c r="D11" s="65" t="s">
        <v>30</v>
      </c>
      <c r="E11" s="3"/>
      <c r="F11" s="119" t="s">
        <v>31</v>
      </c>
      <c r="G11" s="121">
        <v>0.08</v>
      </c>
      <c r="H11" t="s">
        <v>32</v>
      </c>
      <c r="J11" s="1"/>
    </row>
    <row r="12" spans="2:12" ht="15" thickBot="1" x14ac:dyDescent="0.35">
      <c r="B12" s="69" t="s">
        <v>33</v>
      </c>
      <c r="C12" s="73">
        <f>C4/(C6*C7*C8*C9*C11)</f>
        <v>89.324899144940971</v>
      </c>
      <c r="D12" s="68" t="s">
        <v>13</v>
      </c>
      <c r="E12" s="3"/>
      <c r="F12" s="120" t="s">
        <v>34</v>
      </c>
      <c r="G12" s="122">
        <v>0.06</v>
      </c>
      <c r="J12" s="1"/>
    </row>
    <row r="13" spans="2:12" ht="15" thickTop="1" x14ac:dyDescent="0.3">
      <c r="C13" s="3"/>
      <c r="D13" s="3"/>
      <c r="E13" s="3"/>
      <c r="J13" s="1"/>
    </row>
    <row r="14" spans="2:12" x14ac:dyDescent="0.3">
      <c r="B14" s="85"/>
      <c r="C14" s="106"/>
      <c r="D14" s="106"/>
      <c r="E14" s="3"/>
      <c r="J14" s="1"/>
    </row>
    <row r="15" spans="2:12" x14ac:dyDescent="0.3">
      <c r="B15" s="85"/>
      <c r="C15" s="106"/>
      <c r="D15" s="106"/>
      <c r="J15" s="1"/>
    </row>
    <row r="16" spans="2:12" x14ac:dyDescent="0.3">
      <c r="B16" s="85"/>
      <c r="C16" s="106"/>
      <c r="D16" s="106"/>
      <c r="J16" s="1"/>
    </row>
    <row r="17" spans="2:5" x14ac:dyDescent="0.3">
      <c r="B17" s="123" t="s">
        <v>35</v>
      </c>
      <c r="C17" s="25" t="s">
        <v>36</v>
      </c>
      <c r="D17" s="26" t="s">
        <v>37</v>
      </c>
      <c r="E17" s="85" t="s">
        <v>38</v>
      </c>
    </row>
    <row r="18" spans="2:5" x14ac:dyDescent="0.3">
      <c r="B18" s="9" t="s">
        <v>7</v>
      </c>
      <c r="C18" s="86" t="s">
        <v>39</v>
      </c>
      <c r="D18" s="126">
        <f>C12/H4</f>
        <v>1258.0971710555068</v>
      </c>
      <c r="E18" t="s">
        <v>40</v>
      </c>
    </row>
    <row r="19" spans="2:5" x14ac:dyDescent="0.3">
      <c r="B19" s="9" t="s">
        <v>11</v>
      </c>
      <c r="C19" s="77">
        <f>(D19/G10)*H5</f>
        <v>1076.2036041559152</v>
      </c>
      <c r="D19" s="126">
        <f>C12/H5</f>
        <v>4466.2449572470487</v>
      </c>
      <c r="E19" t="s">
        <v>40</v>
      </c>
    </row>
    <row r="20" spans="2:5" x14ac:dyDescent="0.3">
      <c r="B20" s="9" t="s">
        <v>16</v>
      </c>
      <c r="C20" s="77">
        <f>(D20/G12)*H6</f>
        <v>1488.7483190823496</v>
      </c>
      <c r="D20" s="126">
        <f>C12/H6</f>
        <v>2233.1224786235243</v>
      </c>
      <c r="E20" s="85" t="s">
        <v>41</v>
      </c>
    </row>
    <row r="21" spans="2:5" x14ac:dyDescent="0.3">
      <c r="B21" s="127" t="s">
        <v>42</v>
      </c>
      <c r="C21" s="128" t="s">
        <v>39</v>
      </c>
      <c r="D21" s="129" t="s">
        <v>39</v>
      </c>
    </row>
    <row r="22" spans="2:5" x14ac:dyDescent="0.3">
      <c r="B22" s="124" t="s">
        <v>43</v>
      </c>
      <c r="C22" s="125">
        <f>K9-C12</f>
        <v>704.2465029950589</v>
      </c>
      <c r="D22" s="130">
        <v>1466</v>
      </c>
    </row>
    <row r="23" spans="2:5" x14ac:dyDescent="0.3">
      <c r="B23" s="85" t="s">
        <v>44</v>
      </c>
    </row>
    <row r="24" spans="2:5" x14ac:dyDescent="0.3">
      <c r="B24" s="117" t="s">
        <v>45</v>
      </c>
    </row>
    <row r="25" spans="2:5" x14ac:dyDescent="0.3">
      <c r="B25" t="s">
        <v>46</v>
      </c>
    </row>
  </sheetData>
  <hyperlinks>
    <hyperlink ref="B24" r:id="rId1" xr:uid="{3E6301E7-C759-4788-A68D-3F54F3AE893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F8F39-D38D-BD45-BAAB-4B586653D88F}">
  <dimension ref="B2:R48"/>
  <sheetViews>
    <sheetView zoomScale="70" zoomScaleNormal="70" workbookViewId="0">
      <selection activeCell="D18" sqref="D18"/>
    </sheetView>
  </sheetViews>
  <sheetFormatPr baseColWidth="10" defaultColWidth="11.44140625" defaultRowHeight="14.4" x14ac:dyDescent="0.3"/>
  <cols>
    <col min="2" max="2" width="27.109375" bestFit="1" customWidth="1"/>
    <col min="3" max="3" width="20.6640625" customWidth="1"/>
    <col min="5" max="5" width="22.6640625" bestFit="1" customWidth="1"/>
    <col min="6" max="6" width="27.109375" bestFit="1" customWidth="1"/>
    <col min="7" max="7" width="19.6640625" customWidth="1"/>
    <col min="8" max="8" width="13.33203125" bestFit="1" customWidth="1"/>
    <col min="9" max="9" width="15.33203125" bestFit="1" customWidth="1"/>
    <col min="10" max="10" width="26.33203125" customWidth="1"/>
    <col min="13" max="13" width="23.6640625" bestFit="1" customWidth="1"/>
    <col min="15" max="15" width="12.6640625" bestFit="1" customWidth="1"/>
  </cols>
  <sheetData>
    <row r="2" spans="2:18" x14ac:dyDescent="0.3">
      <c r="B2" s="174" t="s">
        <v>47</v>
      </c>
      <c r="F2" s="174" t="s">
        <v>48</v>
      </c>
      <c r="J2" s="213" t="s">
        <v>49</v>
      </c>
      <c r="K2" s="213"/>
      <c r="L2" s="213"/>
      <c r="M2" s="213"/>
      <c r="O2" s="174" t="s">
        <v>50</v>
      </c>
    </row>
    <row r="3" spans="2:18" x14ac:dyDescent="0.3">
      <c r="B3" s="95" t="s">
        <v>51</v>
      </c>
      <c r="F3" s="95" t="s">
        <v>51</v>
      </c>
      <c r="J3" s="46" t="s">
        <v>52</v>
      </c>
      <c r="K3" s="25" t="s">
        <v>53</v>
      </c>
      <c r="L3" s="26" t="s">
        <v>13</v>
      </c>
      <c r="N3" s="24" t="s">
        <v>54</v>
      </c>
      <c r="O3" s="25" t="s">
        <v>55</v>
      </c>
      <c r="P3" s="25" t="s">
        <v>53</v>
      </c>
      <c r="Q3" s="26" t="s">
        <v>13</v>
      </c>
    </row>
    <row r="4" spans="2:18" x14ac:dyDescent="0.3">
      <c r="B4" s="95" t="s">
        <v>56</v>
      </c>
      <c r="C4" s="95" t="s">
        <v>57</v>
      </c>
      <c r="F4" s="95" t="s">
        <v>56</v>
      </c>
      <c r="G4" s="95" t="s">
        <v>57</v>
      </c>
      <c r="J4" s="135" t="s">
        <v>58</v>
      </c>
      <c r="K4" s="56">
        <f>L4/$C$40</f>
        <v>55.115565546219393</v>
      </c>
      <c r="L4" s="57">
        <v>25</v>
      </c>
      <c r="N4" s="9" t="s">
        <v>59</v>
      </c>
      <c r="O4" s="10">
        <v>8</v>
      </c>
      <c r="P4" s="10">
        <f>O13*O4</f>
        <v>1656</v>
      </c>
      <c r="Q4" s="35">
        <f>P13*O4</f>
        <v>751.14896471999998</v>
      </c>
    </row>
    <row r="5" spans="2:18" x14ac:dyDescent="0.3">
      <c r="B5" s="175" t="s">
        <v>60</v>
      </c>
      <c r="C5" s="177">
        <v>0.5</v>
      </c>
      <c r="F5" s="175" t="s">
        <v>60</v>
      </c>
      <c r="G5" s="176">
        <v>0.81599999999999995</v>
      </c>
      <c r="J5" s="135" t="s">
        <v>61</v>
      </c>
      <c r="K5" s="136">
        <f>L5/$C$40</f>
        <v>44.092452436975513</v>
      </c>
      <c r="L5" s="170">
        <v>20</v>
      </c>
      <c r="N5" s="9" t="s">
        <v>62</v>
      </c>
      <c r="O5" s="10">
        <v>7</v>
      </c>
      <c r="P5" s="10">
        <f>O14*O5</f>
        <v>1155</v>
      </c>
      <c r="Q5" s="35">
        <f>P14*O5</f>
        <v>523.89918735000003</v>
      </c>
    </row>
    <row r="6" spans="2:18" x14ac:dyDescent="0.3">
      <c r="B6" s="175" t="s">
        <v>63</v>
      </c>
      <c r="C6" s="177">
        <v>0.5</v>
      </c>
      <c r="F6" s="175" t="s">
        <v>63</v>
      </c>
      <c r="G6" s="176">
        <v>0.184</v>
      </c>
      <c r="J6" s="135" t="s">
        <v>64</v>
      </c>
      <c r="K6" s="136">
        <f t="shared" ref="K6:K8" si="0">L6/$C$40</f>
        <v>110.23113109243879</v>
      </c>
      <c r="L6" s="170">
        <v>50</v>
      </c>
      <c r="N6" s="9" t="s">
        <v>65</v>
      </c>
      <c r="O6" s="10">
        <v>1</v>
      </c>
      <c r="P6" s="10">
        <f>O15*O6</f>
        <v>73</v>
      </c>
      <c r="Q6" s="35">
        <f>P15*O6</f>
        <v>33.11224301</v>
      </c>
    </row>
    <row r="7" spans="2:18" ht="15" thickBot="1" x14ac:dyDescent="0.35">
      <c r="C7" s="95" t="s">
        <v>66</v>
      </c>
      <c r="D7" s="95" t="s">
        <v>6</v>
      </c>
      <c r="G7" s="95" t="s">
        <v>66</v>
      </c>
      <c r="H7" s="95" t="s">
        <v>6</v>
      </c>
      <c r="J7" s="27" t="s">
        <v>67</v>
      </c>
      <c r="K7" s="136">
        <f t="shared" si="0"/>
        <v>11.023113109243878</v>
      </c>
      <c r="L7" s="57">
        <v>5</v>
      </c>
      <c r="N7" s="36" t="s">
        <v>68</v>
      </c>
      <c r="O7" s="2"/>
      <c r="P7" s="11">
        <f>SUM(P4:P6)</f>
        <v>2884</v>
      </c>
      <c r="Q7" s="37">
        <f>SUM(Q4:Q6)</f>
        <v>1308.1603950799999</v>
      </c>
    </row>
    <row r="8" spans="2:18" ht="15.6" thickTop="1" thickBot="1" x14ac:dyDescent="0.35">
      <c r="B8" s="95" t="s">
        <v>69</v>
      </c>
      <c r="C8" s="93">
        <f>'DHC-6'!K6</f>
        <v>19942841720.062801</v>
      </c>
      <c r="D8">
        <f>C8*C43</f>
        <v>5544109.9981774585</v>
      </c>
      <c r="F8" s="108" t="s">
        <v>69</v>
      </c>
      <c r="G8" s="93">
        <f>'DHC-6'!K6</f>
        <v>19942841720.062801</v>
      </c>
      <c r="H8" s="96">
        <f>G8*$C$43</f>
        <v>5544109.9981774585</v>
      </c>
      <c r="J8" s="27" t="s">
        <v>70</v>
      </c>
      <c r="K8" s="136">
        <f t="shared" si="0"/>
        <v>110.23113109243879</v>
      </c>
      <c r="L8" s="57">
        <v>50</v>
      </c>
      <c r="N8" s="9" t="s">
        <v>71</v>
      </c>
      <c r="O8" s="10">
        <v>10</v>
      </c>
      <c r="P8" s="10">
        <f>O16*O8</f>
        <v>370</v>
      </c>
      <c r="Q8" s="35">
        <f>P8*$R$14</f>
        <v>167.82917690000002</v>
      </c>
    </row>
    <row r="9" spans="2:18" ht="15" thickBot="1" x14ac:dyDescent="0.35">
      <c r="B9" s="97" t="s">
        <v>72</v>
      </c>
      <c r="C9" s="93">
        <f>C8*F34</f>
        <v>4985710430.0157003</v>
      </c>
      <c r="D9" s="99">
        <f>C9*$C$43</f>
        <v>1386027.4995443646</v>
      </c>
      <c r="F9" s="95" t="s">
        <v>72</v>
      </c>
      <c r="G9" s="110">
        <f>G8*F34</f>
        <v>4985710430.0157003</v>
      </c>
      <c r="H9" s="96">
        <f>G9*$C$43</f>
        <v>1386027.4995443646</v>
      </c>
      <c r="J9" s="171" t="s">
        <v>73</v>
      </c>
      <c r="K9" s="172">
        <f>L9/$C$40</f>
        <v>330.69339327731637</v>
      </c>
      <c r="L9" s="173">
        <f>SUM(L4:L8)</f>
        <v>150</v>
      </c>
      <c r="N9" s="9" t="s">
        <v>74</v>
      </c>
      <c r="O9" s="10">
        <v>2</v>
      </c>
      <c r="P9" s="10">
        <f>O17*O9</f>
        <v>340</v>
      </c>
      <c r="Q9" s="133">
        <f>P9*$R$14</f>
        <v>154.22140580000001</v>
      </c>
    </row>
    <row r="10" spans="2:18" ht="15.6" thickTop="1" thickBot="1" x14ac:dyDescent="0.35">
      <c r="B10" s="85"/>
      <c r="C10" s="97" t="s">
        <v>66</v>
      </c>
      <c r="D10" s="97" t="s">
        <v>6</v>
      </c>
      <c r="G10" s="95" t="s">
        <v>66</v>
      </c>
      <c r="H10" s="95" t="s">
        <v>6</v>
      </c>
      <c r="N10" s="132" t="s">
        <v>75</v>
      </c>
      <c r="O10" s="40"/>
      <c r="P10" s="41">
        <f>P8+P9+P7</f>
        <v>3594</v>
      </c>
      <c r="Q10" s="31">
        <f>P10*$R$14</f>
        <v>1630.2109777800001</v>
      </c>
    </row>
    <row r="11" spans="2:18" ht="15" thickTop="1" x14ac:dyDescent="0.3">
      <c r="B11" s="97" t="s">
        <v>76</v>
      </c>
      <c r="C11" s="82">
        <f>C9*C5</f>
        <v>2492855215.0078502</v>
      </c>
      <c r="D11" s="99">
        <f>C11*$C$43</f>
        <v>693013.74977218232</v>
      </c>
      <c r="F11" s="95" t="s">
        <v>76</v>
      </c>
      <c r="G11" s="110">
        <f>G9*G5</f>
        <v>4068339710.8928113</v>
      </c>
      <c r="H11" s="3">
        <f>G11*$C$43</f>
        <v>1130998.4396282015</v>
      </c>
    </row>
    <row r="12" spans="2:18" x14ac:dyDescent="0.3">
      <c r="B12" s="97" t="s">
        <v>77</v>
      </c>
      <c r="C12" s="82">
        <f>C9*C6</f>
        <v>2492855215.0078502</v>
      </c>
      <c r="D12" s="99">
        <f>C12*$C$43</f>
        <v>693013.74977218232</v>
      </c>
      <c r="F12" s="108" t="s">
        <v>77</v>
      </c>
      <c r="G12" s="110">
        <f>G9*G6</f>
        <v>917370719.1228888</v>
      </c>
      <c r="H12" s="3">
        <f>G12*$C$43</f>
        <v>255029.05991616307</v>
      </c>
      <c r="N12" s="24" t="s">
        <v>78</v>
      </c>
      <c r="O12" s="25" t="s">
        <v>53</v>
      </c>
      <c r="P12" s="26" t="s">
        <v>13</v>
      </c>
      <c r="Q12" s="46" t="s">
        <v>79</v>
      </c>
      <c r="R12" s="47" t="s">
        <v>80</v>
      </c>
    </row>
    <row r="13" spans="2:18" x14ac:dyDescent="0.3">
      <c r="B13" s="97" t="s">
        <v>81</v>
      </c>
      <c r="C13" s="82">
        <f>C11/F34</f>
        <v>9971420860.0314007</v>
      </c>
      <c r="D13" s="137">
        <f>C13*C43</f>
        <v>2772054.9990887293</v>
      </c>
      <c r="F13" s="95" t="s">
        <v>81</v>
      </c>
      <c r="G13" s="93">
        <f>G11/F34</f>
        <v>16273358843.571245</v>
      </c>
      <c r="H13" s="96">
        <f>G13*C43</f>
        <v>4523993.7585128061</v>
      </c>
      <c r="J13" s="178" t="s">
        <v>82</v>
      </c>
      <c r="N13" s="9" t="s">
        <v>83</v>
      </c>
      <c r="O13" s="10">
        <v>207</v>
      </c>
      <c r="P13" s="35">
        <f>O13*$R$14</f>
        <v>93.893620589999998</v>
      </c>
      <c r="Q13" s="27" t="s">
        <v>53</v>
      </c>
      <c r="R13" s="35">
        <v>1</v>
      </c>
    </row>
    <row r="14" spans="2:18" x14ac:dyDescent="0.3">
      <c r="B14" s="97" t="s">
        <v>84</v>
      </c>
      <c r="C14" s="82">
        <f>C12/F35</f>
        <v>2865350821.8481035</v>
      </c>
      <c r="D14" s="137">
        <f>C14*C43</f>
        <v>796567.52847377269</v>
      </c>
      <c r="F14" s="95" t="s">
        <v>84</v>
      </c>
      <c r="G14" s="93">
        <f>G12/F35</f>
        <v>1054449102.4401021</v>
      </c>
      <c r="H14" s="96">
        <f>G14*C43</f>
        <v>293136.85047834838</v>
      </c>
      <c r="J14" s="114"/>
      <c r="K14" s="115" t="s">
        <v>85</v>
      </c>
      <c r="L14" s="116" t="s">
        <v>13</v>
      </c>
      <c r="N14" s="9" t="s">
        <v>86</v>
      </c>
      <c r="O14" s="10">
        <v>165</v>
      </c>
      <c r="P14" s="35">
        <f>O14*$R$14</f>
        <v>74.842741050000001</v>
      </c>
      <c r="Q14" s="48" t="s">
        <v>13</v>
      </c>
      <c r="R14" s="49">
        <v>0.45359237000000002</v>
      </c>
    </row>
    <row r="15" spans="2:18" x14ac:dyDescent="0.3">
      <c r="B15" s="85"/>
      <c r="C15" s="97" t="s">
        <v>53</v>
      </c>
      <c r="D15" s="138" t="s">
        <v>13</v>
      </c>
      <c r="G15" s="95" t="s">
        <v>53</v>
      </c>
      <c r="H15" s="95" t="s">
        <v>13</v>
      </c>
      <c r="J15" s="9" t="s">
        <v>87</v>
      </c>
      <c r="K15" s="14">
        <v>12300</v>
      </c>
      <c r="L15" s="35">
        <f>'DHC-6'!C38</f>
        <v>5579</v>
      </c>
      <c r="N15" s="9" t="s">
        <v>88</v>
      </c>
      <c r="O15" s="10">
        <v>73</v>
      </c>
      <c r="P15" s="35">
        <f>O15*$R$14</f>
        <v>33.11224301</v>
      </c>
    </row>
    <row r="16" spans="2:18" x14ac:dyDescent="0.3">
      <c r="B16" s="221" t="s">
        <v>89</v>
      </c>
      <c r="C16" s="222">
        <f>D16/$C$40</f>
        <v>3512.261586206896</v>
      </c>
      <c r="D16" s="223">
        <f>D14/C36</f>
        <v>1593.1350569475453</v>
      </c>
      <c r="F16" s="227" t="s">
        <v>89</v>
      </c>
      <c r="G16" s="222">
        <f>H16/$C$40</f>
        <v>1292.5122637241379</v>
      </c>
      <c r="H16" s="228">
        <f>H14/C36</f>
        <v>586.27370095669676</v>
      </c>
      <c r="J16" s="48" t="s">
        <v>90</v>
      </c>
      <c r="K16" s="14">
        <f t="shared" ref="K16:K17" si="1">L16/$C$40</f>
        <v>3594</v>
      </c>
      <c r="L16" s="35">
        <f>Q10</f>
        <v>1630.2109777800001</v>
      </c>
      <c r="N16" s="9" t="s">
        <v>91</v>
      </c>
      <c r="O16" s="10">
        <v>37</v>
      </c>
      <c r="P16" s="35">
        <f>O16*$R$14</f>
        <v>16.782917690000001</v>
      </c>
    </row>
    <row r="17" spans="2:16" x14ac:dyDescent="0.3">
      <c r="B17" s="218" t="s">
        <v>92</v>
      </c>
      <c r="C17" s="224">
        <f>D17/$C$40</f>
        <v>511</v>
      </c>
      <c r="D17" s="225">
        <f>C13/C34</f>
        <v>231.78570107000002</v>
      </c>
      <c r="F17" s="219" t="s">
        <v>92</v>
      </c>
      <c r="G17" s="209">
        <f t="shared" ref="G17" si="2">H17/$C$40</f>
        <v>833.952</v>
      </c>
      <c r="H17" s="225">
        <f>G13/C34</f>
        <v>378.27426414624</v>
      </c>
      <c r="J17" s="9" t="s">
        <v>93</v>
      </c>
      <c r="K17" s="14">
        <f t="shared" si="1"/>
        <v>6850.0049945725495</v>
      </c>
      <c r="L17" s="16">
        <v>3107.11</v>
      </c>
      <c r="N17" s="44" t="s">
        <v>74</v>
      </c>
      <c r="O17" s="45">
        <v>170</v>
      </c>
      <c r="P17" s="34">
        <f>O17*$R$14</f>
        <v>77.110702900000007</v>
      </c>
    </row>
    <row r="18" spans="2:16" x14ac:dyDescent="0.3">
      <c r="B18" s="105" t="s">
        <v>73</v>
      </c>
      <c r="C18" s="238">
        <f>D18/$C$40</f>
        <v>4023.261586206896</v>
      </c>
      <c r="D18" s="226">
        <f>D16+D17</f>
        <v>1824.9207580175453</v>
      </c>
      <c r="F18" s="105" t="s">
        <v>73</v>
      </c>
      <c r="G18" s="229">
        <f>G16+G17</f>
        <v>2126.4642637241377</v>
      </c>
      <c r="H18" s="226">
        <f>H16+H17</f>
        <v>964.54796510293681</v>
      </c>
      <c r="J18" s="9" t="s">
        <v>94</v>
      </c>
      <c r="K18" s="14">
        <f>L18/$C$40</f>
        <v>330.69339327731637</v>
      </c>
      <c r="L18" s="16">
        <f>L9</f>
        <v>150</v>
      </c>
    </row>
    <row r="19" spans="2:16" x14ac:dyDescent="0.3">
      <c r="B19" s="104"/>
      <c r="C19" s="15"/>
      <c r="D19" s="15"/>
      <c r="F19" s="104"/>
      <c r="G19" s="15"/>
      <c r="H19" s="15"/>
      <c r="J19" s="9" t="s">
        <v>95</v>
      </c>
      <c r="K19" s="14">
        <f t="shared" ref="K19:K20" si="3">L19/$C$40</f>
        <v>833.952</v>
      </c>
      <c r="L19" s="35">
        <f>H17</f>
        <v>378.27426414624</v>
      </c>
    </row>
    <row r="20" spans="2:16" x14ac:dyDescent="0.3">
      <c r="B20" s="104"/>
      <c r="C20" s="15"/>
      <c r="D20" s="15"/>
      <c r="J20" s="9" t="s">
        <v>96</v>
      </c>
      <c r="K20" s="14">
        <f t="shared" si="3"/>
        <v>1292.5122637241379</v>
      </c>
      <c r="L20" s="35">
        <f>H16</f>
        <v>586.27370095669676</v>
      </c>
    </row>
    <row r="21" spans="2:16" x14ac:dyDescent="0.3">
      <c r="B21" s="114"/>
      <c r="C21" s="115" t="s">
        <v>53</v>
      </c>
      <c r="D21" s="116" t="s">
        <v>13</v>
      </c>
      <c r="F21" s="114"/>
      <c r="G21" s="115" t="s">
        <v>53</v>
      </c>
      <c r="H21" s="116" t="s">
        <v>13</v>
      </c>
      <c r="J21" s="114" t="s">
        <v>97</v>
      </c>
      <c r="K21" s="58">
        <f>K15-K16-K17+K18-K19-K20</f>
        <v>60.224134980628833</v>
      </c>
      <c r="L21" s="58">
        <f>L15-L16-L17+L18-L19-L20</f>
        <v>27.131057117062937</v>
      </c>
    </row>
    <row r="22" spans="2:16" x14ac:dyDescent="0.3">
      <c r="B22" s="64" t="s">
        <v>87</v>
      </c>
      <c r="C22" s="93">
        <v>12300</v>
      </c>
      <c r="D22" s="109">
        <f>'DHC-6'!C38</f>
        <v>5579</v>
      </c>
      <c r="F22" s="64" t="s">
        <v>87</v>
      </c>
      <c r="G22" s="96">
        <f t="shared" ref="G22:H24" si="4">C22</f>
        <v>12300</v>
      </c>
      <c r="H22" s="109">
        <f t="shared" si="4"/>
        <v>5579</v>
      </c>
    </row>
    <row r="23" spans="2:16" x14ac:dyDescent="0.3">
      <c r="B23" s="81" t="s">
        <v>98</v>
      </c>
      <c r="C23" s="93">
        <f>'DHC-6'!G10</f>
        <v>4131</v>
      </c>
      <c r="D23" s="109">
        <f>'DHC-6'!H10</f>
        <v>1873.7900804699998</v>
      </c>
      <c r="E23" t="s">
        <v>99</v>
      </c>
      <c r="F23" s="81" t="s">
        <v>98</v>
      </c>
      <c r="G23" s="96">
        <f t="shared" si="4"/>
        <v>4131</v>
      </c>
      <c r="H23" s="109">
        <f t="shared" si="4"/>
        <v>1873.7900804699998</v>
      </c>
      <c r="J23" s="230" t="s">
        <v>100</v>
      </c>
      <c r="K23" s="231" t="s">
        <v>53</v>
      </c>
      <c r="L23" s="232" t="s">
        <v>13</v>
      </c>
    </row>
    <row r="24" spans="2:16" x14ac:dyDescent="0.3">
      <c r="B24" s="81" t="s">
        <v>101</v>
      </c>
      <c r="C24" s="111">
        <f>'DHC-6'!F13</f>
        <v>6850</v>
      </c>
      <c r="D24" s="109">
        <f>'DHC-6'!G13</f>
        <v>3107.1077345000003</v>
      </c>
      <c r="F24" s="81" t="s">
        <v>101</v>
      </c>
      <c r="G24" s="96">
        <f t="shared" si="4"/>
        <v>6850</v>
      </c>
      <c r="H24" s="109">
        <f t="shared" si="4"/>
        <v>3107.1077345000003</v>
      </c>
      <c r="J24" s="233" t="s">
        <v>102</v>
      </c>
      <c r="K24" s="77">
        <f>'DHC-6'!B12</f>
        <v>100</v>
      </c>
      <c r="L24" s="126">
        <f t="shared" ref="L24:L30" si="5">K24*$C$40</f>
        <v>45.359237</v>
      </c>
    </row>
    <row r="25" spans="2:16" x14ac:dyDescent="0.3">
      <c r="B25" s="81" t="s">
        <v>103</v>
      </c>
      <c r="C25" s="217">
        <f>D25/C40</f>
        <v>330.69339327731637</v>
      </c>
      <c r="D25" s="109">
        <f>L9</f>
        <v>150</v>
      </c>
      <c r="F25" s="81" t="s">
        <v>104</v>
      </c>
      <c r="G25" s="96">
        <f>H25/C40</f>
        <v>330.69339327731637</v>
      </c>
      <c r="H25" s="109">
        <f>L9</f>
        <v>150</v>
      </c>
      <c r="J25" s="233" t="s">
        <v>105</v>
      </c>
      <c r="K25" s="82">
        <v>88</v>
      </c>
      <c r="L25" s="126">
        <f t="shared" si="5"/>
        <v>39.916128560000004</v>
      </c>
    </row>
    <row r="26" spans="2:16" x14ac:dyDescent="0.3">
      <c r="B26" s="81" t="s">
        <v>106</v>
      </c>
      <c r="C26" s="111">
        <f>D26/C40</f>
        <v>511</v>
      </c>
      <c r="D26" s="109">
        <f>D17</f>
        <v>231.78570107000002</v>
      </c>
      <c r="F26" s="81" t="s">
        <v>106</v>
      </c>
      <c r="G26" s="96">
        <f>H26/C40</f>
        <v>833.952</v>
      </c>
      <c r="H26" s="109">
        <f>H17</f>
        <v>378.27426414624</v>
      </c>
      <c r="J26" s="233" t="s">
        <v>107</v>
      </c>
      <c r="K26" s="82">
        <v>63</v>
      </c>
      <c r="L26" s="126">
        <f t="shared" si="5"/>
        <v>28.576319310000002</v>
      </c>
      <c r="M26" s="131" t="s">
        <v>108</v>
      </c>
    </row>
    <row r="27" spans="2:16" x14ac:dyDescent="0.3">
      <c r="B27" s="81" t="s">
        <v>109</v>
      </c>
      <c r="C27" s="111">
        <f>D27/C40</f>
        <v>3512.261586206896</v>
      </c>
      <c r="D27" s="109">
        <f>D16</f>
        <v>1593.1350569475453</v>
      </c>
      <c r="F27" s="81" t="s">
        <v>109</v>
      </c>
      <c r="G27" s="96">
        <f>H27/C40</f>
        <v>1292.5122637241379</v>
      </c>
      <c r="H27" s="109">
        <f>H16</f>
        <v>586.27370095669676</v>
      </c>
      <c r="J27" s="233" t="s">
        <v>110</v>
      </c>
      <c r="K27" s="82">
        <v>154</v>
      </c>
      <c r="L27" s="126">
        <f t="shared" si="5"/>
        <v>69.853224980000007</v>
      </c>
    </row>
    <row r="28" spans="2:16" x14ac:dyDescent="0.3">
      <c r="B28" s="214" t="s">
        <v>111</v>
      </c>
      <c r="C28" s="220">
        <f>C22-C23-C24+C25-C26-C27</f>
        <v>-2373.5681929295797</v>
      </c>
      <c r="D28" s="216">
        <f>D22-D23-D24+D25-D26-D27</f>
        <v>-1076.8185729875454</v>
      </c>
      <c r="E28" t="s">
        <v>112</v>
      </c>
      <c r="F28" s="214" t="s">
        <v>111</v>
      </c>
      <c r="G28" s="215">
        <f>G22-G23-G24+G25-G26-G27</f>
        <v>-476.77087044682162</v>
      </c>
      <c r="H28" s="216">
        <f>H22-H23-H24+H25-H26-H27</f>
        <v>-216.44578007293688</v>
      </c>
      <c r="J28" s="233" t="s">
        <v>113</v>
      </c>
      <c r="K28" s="77">
        <f>SUM(K24:K27)</f>
        <v>405</v>
      </c>
      <c r="L28" s="126">
        <f t="shared" si="5"/>
        <v>183.70490985000001</v>
      </c>
    </row>
    <row r="29" spans="2:16" x14ac:dyDescent="0.3">
      <c r="B29" s="104"/>
      <c r="C29" s="15"/>
      <c r="J29" s="234" t="s">
        <v>114</v>
      </c>
      <c r="K29" s="82">
        <v>617</v>
      </c>
      <c r="L29" s="126">
        <f t="shared" si="5"/>
        <v>279.86649229</v>
      </c>
    </row>
    <row r="30" spans="2:16" x14ac:dyDescent="0.3">
      <c r="B30" s="104"/>
      <c r="C30" s="15"/>
      <c r="J30" s="235" t="s">
        <v>73</v>
      </c>
      <c r="K30" s="236">
        <f>SUM(K28:K29)</f>
        <v>1022</v>
      </c>
      <c r="L30" s="237">
        <f t="shared" si="5"/>
        <v>463.57140214000003</v>
      </c>
    </row>
    <row r="31" spans="2:16" x14ac:dyDescent="0.3">
      <c r="B31" s="104"/>
      <c r="C31" s="15"/>
    </row>
    <row r="32" spans="2:16" x14ac:dyDescent="0.3">
      <c r="H32" s="3"/>
    </row>
    <row r="33" spans="2:11" x14ac:dyDescent="0.3">
      <c r="B33" s="24" t="s">
        <v>115</v>
      </c>
      <c r="C33" s="26" t="s">
        <v>116</v>
      </c>
      <c r="E33" s="100" t="s">
        <v>117</v>
      </c>
      <c r="F33" s="74" t="s">
        <v>15</v>
      </c>
      <c r="G33" s="63" t="s">
        <v>13</v>
      </c>
    </row>
    <row r="34" spans="2:11" x14ac:dyDescent="0.3">
      <c r="B34" s="9" t="s">
        <v>118</v>
      </c>
      <c r="C34" s="16">
        <f>43.02*10^6</f>
        <v>43020000</v>
      </c>
      <c r="E34" s="81" t="s">
        <v>119</v>
      </c>
      <c r="F34" s="54">
        <v>0.25</v>
      </c>
      <c r="G34" s="101">
        <v>154</v>
      </c>
    </row>
    <row r="35" spans="2:11" x14ac:dyDescent="0.3">
      <c r="B35" s="9"/>
      <c r="C35" s="8" t="s">
        <v>120</v>
      </c>
      <c r="E35" s="102" t="s">
        <v>121</v>
      </c>
      <c r="F35" s="98">
        <v>0.87</v>
      </c>
      <c r="G35" s="103">
        <v>50</v>
      </c>
    </row>
    <row r="36" spans="2:11" x14ac:dyDescent="0.3">
      <c r="B36" s="44" t="s">
        <v>63</v>
      </c>
      <c r="C36" s="55">
        <v>500</v>
      </c>
    </row>
    <row r="37" spans="2:11" x14ac:dyDescent="0.3">
      <c r="E37" s="211" t="s">
        <v>122</v>
      </c>
      <c r="F37" s="212">
        <f>G9/(G13+G14)</f>
        <v>0.28772886019684624</v>
      </c>
      <c r="G37" s="85"/>
    </row>
    <row r="38" spans="2:11" x14ac:dyDescent="0.3">
      <c r="B38" s="46" t="s">
        <v>79</v>
      </c>
      <c r="C38" s="47" t="s">
        <v>80</v>
      </c>
      <c r="E38" s="85"/>
      <c r="F38" s="85"/>
      <c r="G38" s="106"/>
    </row>
    <row r="39" spans="2:11" x14ac:dyDescent="0.3">
      <c r="B39" s="27" t="s">
        <v>53</v>
      </c>
      <c r="C39" s="35">
        <v>1</v>
      </c>
      <c r="E39" s="113"/>
      <c r="F39" s="85"/>
      <c r="G39" s="106"/>
    </row>
    <row r="40" spans="2:11" x14ac:dyDescent="0.3">
      <c r="B40" s="48" t="s">
        <v>13</v>
      </c>
      <c r="C40" s="49">
        <v>0.45359237000000002</v>
      </c>
      <c r="E40" s="113"/>
      <c r="F40" s="112"/>
      <c r="G40" s="106"/>
    </row>
    <row r="41" spans="2:11" x14ac:dyDescent="0.3">
      <c r="B41" s="53" t="s">
        <v>123</v>
      </c>
      <c r="C41" s="50" t="s">
        <v>80</v>
      </c>
      <c r="E41" s="113"/>
      <c r="F41" s="112"/>
      <c r="G41" s="106"/>
    </row>
    <row r="42" spans="2:11" x14ac:dyDescent="0.3">
      <c r="B42" s="48" t="s">
        <v>66</v>
      </c>
      <c r="C42" s="35">
        <v>1</v>
      </c>
      <c r="E42" s="113"/>
      <c r="F42" s="112"/>
      <c r="G42" s="106"/>
    </row>
    <row r="43" spans="2:11" x14ac:dyDescent="0.3">
      <c r="B43" s="51" t="s">
        <v>6</v>
      </c>
      <c r="C43" s="52">
        <v>2.7799999999999998E-4</v>
      </c>
      <c r="E43" s="113"/>
      <c r="F43" s="112"/>
      <c r="G43" s="106"/>
    </row>
    <row r="44" spans="2:11" x14ac:dyDescent="0.3">
      <c r="E44" s="85"/>
      <c r="F44" s="85"/>
      <c r="G44" s="106"/>
      <c r="K44" s="3"/>
    </row>
    <row r="45" spans="2:11" x14ac:dyDescent="0.3">
      <c r="E45" s="85"/>
      <c r="F45" s="85"/>
      <c r="G45" s="106"/>
    </row>
    <row r="46" spans="2:11" x14ac:dyDescent="0.3">
      <c r="E46" s="107"/>
      <c r="F46" s="85"/>
      <c r="G46" s="85"/>
    </row>
    <row r="48" spans="2:11" x14ac:dyDescent="0.3">
      <c r="B48" s="134" t="s">
        <v>124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2D94-0EFF-463A-8BA1-315FA819689B}">
  <dimension ref="A1:W52"/>
  <sheetViews>
    <sheetView tabSelected="1" zoomScale="40" zoomScaleNormal="40" workbookViewId="0">
      <selection activeCell="M59" sqref="M59"/>
    </sheetView>
  </sheetViews>
  <sheetFormatPr baseColWidth="10" defaultColWidth="11.44140625" defaultRowHeight="14.4" x14ac:dyDescent="0.3"/>
  <cols>
    <col min="1" max="1" width="29.44140625" customWidth="1"/>
    <col min="2" max="2" width="22.6640625" bestFit="1" customWidth="1"/>
    <col min="3" max="3" width="23.33203125" bestFit="1" customWidth="1"/>
    <col min="5" max="5" width="17.6640625" customWidth="1"/>
    <col min="8" max="8" width="20.88671875" bestFit="1" customWidth="1"/>
    <col min="9" max="9" width="12.6640625" customWidth="1"/>
    <col min="10" max="10" width="42.109375" bestFit="1" customWidth="1"/>
    <col min="11" max="11" width="20.44140625" customWidth="1"/>
    <col min="12" max="12" width="12.33203125" customWidth="1"/>
    <col min="13" max="13" width="21.109375" customWidth="1"/>
    <col min="14" max="14" width="22.6640625" customWidth="1"/>
    <col min="15" max="15" width="5.33203125" customWidth="1"/>
    <col min="16" max="16" width="22.44140625" bestFit="1" customWidth="1"/>
    <col min="17" max="17" width="27.6640625" bestFit="1" customWidth="1"/>
    <col min="18" max="18" width="18.6640625" bestFit="1" customWidth="1"/>
    <col min="20" max="20" width="22.44140625" bestFit="1" customWidth="1"/>
    <col min="21" max="21" width="31" bestFit="1" customWidth="1"/>
    <col min="22" max="22" width="18.6640625" bestFit="1" customWidth="1"/>
  </cols>
  <sheetData>
    <row r="1" spans="1:23" x14ac:dyDescent="0.3">
      <c r="A1" s="15" t="s">
        <v>125</v>
      </c>
      <c r="Q1" s="169" t="s">
        <v>126</v>
      </c>
      <c r="S1" s="7"/>
      <c r="U1" s="169" t="s">
        <v>127</v>
      </c>
    </row>
    <row r="2" spans="1:23" x14ac:dyDescent="0.3">
      <c r="A2" s="15" t="s">
        <v>128</v>
      </c>
      <c r="I2" s="108"/>
      <c r="J2" s="74"/>
      <c r="K2" s="74"/>
      <c r="L2" s="74"/>
      <c r="M2" s="74"/>
      <c r="N2" s="63"/>
      <c r="P2" s="158" t="s">
        <v>129</v>
      </c>
      <c r="Q2" s="75" t="s">
        <v>130</v>
      </c>
      <c r="R2" s="158" t="s">
        <v>131</v>
      </c>
      <c r="S2" s="7"/>
      <c r="T2" s="158" t="s">
        <v>120</v>
      </c>
      <c r="U2" s="165" t="s">
        <v>132</v>
      </c>
      <c r="V2" s="158" t="s">
        <v>131</v>
      </c>
    </row>
    <row r="3" spans="1:23" x14ac:dyDescent="0.3">
      <c r="A3" s="24" t="s">
        <v>60</v>
      </c>
      <c r="B3" s="25" t="s">
        <v>53</v>
      </c>
      <c r="C3" s="26" t="s">
        <v>13</v>
      </c>
      <c r="E3" s="24" t="s">
        <v>54</v>
      </c>
      <c r="F3" s="25" t="s">
        <v>55</v>
      </c>
      <c r="G3" s="25" t="s">
        <v>53</v>
      </c>
      <c r="H3" s="25" t="s">
        <v>13</v>
      </c>
      <c r="I3" s="156"/>
      <c r="J3" s="150" t="s">
        <v>133</v>
      </c>
      <c r="K3" s="149" t="s">
        <v>53</v>
      </c>
      <c r="L3" s="149" t="s">
        <v>13</v>
      </c>
      <c r="M3" s="7" t="s">
        <v>134</v>
      </c>
      <c r="N3" s="6"/>
      <c r="P3" s="160">
        <v>250</v>
      </c>
      <c r="Q3" s="70">
        <f t="shared" ref="Q3:Q11" si="0">R3-$L$11-$L$12-$L$4+$C$39</f>
        <v>4025.4001509801819</v>
      </c>
      <c r="R3" s="161">
        <f t="shared" ref="R3:R11" si="1">$L$8/P3</f>
        <v>6372.5402277901812</v>
      </c>
      <c r="S3" s="7"/>
      <c r="T3" s="160">
        <v>250</v>
      </c>
      <c r="U3" s="70">
        <f t="shared" ref="U3:U11" si="2">V3-$L$12-$L$4+$C$39</f>
        <v>5744.9688256501813</v>
      </c>
      <c r="V3" s="161">
        <f t="shared" ref="V3:V11" si="3">$L$8/T3</f>
        <v>6372.5402277901812</v>
      </c>
    </row>
    <row r="4" spans="1:23" x14ac:dyDescent="0.3">
      <c r="A4" s="27" t="s">
        <v>135</v>
      </c>
      <c r="B4" s="28">
        <v>305</v>
      </c>
      <c r="C4" s="29">
        <f t="shared" ref="C4:C14" si="4">B4*$B$25</f>
        <v>138.34567285</v>
      </c>
      <c r="E4" s="9" t="s">
        <v>59</v>
      </c>
      <c r="F4" s="13">
        <v>9</v>
      </c>
      <c r="G4" s="13">
        <f>F4*F24</f>
        <v>1863</v>
      </c>
      <c r="H4" s="14">
        <f>F4*G24</f>
        <v>845.04258530999994</v>
      </c>
      <c r="I4" s="156"/>
      <c r="J4" s="151" t="s">
        <v>136</v>
      </c>
      <c r="K4" s="146">
        <f>B13</f>
        <v>1022</v>
      </c>
      <c r="L4" s="35">
        <f>C13</f>
        <v>463.57140214000003</v>
      </c>
      <c r="M4" s="7"/>
      <c r="N4" s="6"/>
      <c r="P4" s="162">
        <v>500</v>
      </c>
      <c r="Q4" s="77">
        <f t="shared" si="0"/>
        <v>839.13003708509075</v>
      </c>
      <c r="R4" s="109">
        <f t="shared" si="1"/>
        <v>3186.2701138950906</v>
      </c>
      <c r="S4" s="7"/>
      <c r="T4" s="162">
        <v>500</v>
      </c>
      <c r="U4" s="77">
        <f t="shared" si="2"/>
        <v>2558.6987117550907</v>
      </c>
      <c r="V4" s="109">
        <f t="shared" si="3"/>
        <v>3186.2701138950906</v>
      </c>
    </row>
    <row r="5" spans="1:23" x14ac:dyDescent="0.3">
      <c r="A5" s="27" t="s">
        <v>137</v>
      </c>
      <c r="B5" s="28">
        <v>9</v>
      </c>
      <c r="C5" s="29">
        <f t="shared" si="4"/>
        <v>4.0823313300000006</v>
      </c>
      <c r="E5" s="9" t="s">
        <v>62</v>
      </c>
      <c r="F5" s="13">
        <v>9</v>
      </c>
      <c r="G5" s="13">
        <f>F5*F25</f>
        <v>1485</v>
      </c>
      <c r="H5" s="14">
        <f>F5*G25</f>
        <v>673.58466944999998</v>
      </c>
      <c r="I5" s="156"/>
      <c r="J5" s="151"/>
      <c r="K5" s="6" t="s">
        <v>66</v>
      </c>
      <c r="L5" s="8" t="s">
        <v>6</v>
      </c>
      <c r="M5" s="7"/>
      <c r="N5" s="6"/>
      <c r="P5" s="162">
        <v>750</v>
      </c>
      <c r="Q5" s="77">
        <f t="shared" si="0"/>
        <v>-222.96000087993946</v>
      </c>
      <c r="R5" s="109">
        <f t="shared" si="1"/>
        <v>2124.1800759300604</v>
      </c>
      <c r="S5" s="7"/>
      <c r="T5" s="162">
        <v>750</v>
      </c>
      <c r="U5" s="77">
        <f t="shared" si="2"/>
        <v>1496.6086737900605</v>
      </c>
      <c r="V5" s="109">
        <f t="shared" si="3"/>
        <v>2124.1800759300604</v>
      </c>
    </row>
    <row r="6" spans="1:23" x14ac:dyDescent="0.3">
      <c r="A6" s="27" t="s">
        <v>138</v>
      </c>
      <c r="B6" s="28">
        <v>118</v>
      </c>
      <c r="C6" s="29">
        <f t="shared" si="4"/>
        <v>53.523899660000005</v>
      </c>
      <c r="E6" s="9" t="s">
        <v>65</v>
      </c>
      <c r="F6" s="13">
        <v>1</v>
      </c>
      <c r="G6" s="13">
        <f>F6*F26</f>
        <v>73</v>
      </c>
      <c r="H6" s="14">
        <f>F6*G26</f>
        <v>33.11224301</v>
      </c>
      <c r="I6" s="156"/>
      <c r="J6" s="151" t="s">
        <v>69</v>
      </c>
      <c r="K6" s="101">
        <f>(L4*K42)</f>
        <v>19942841720.062801</v>
      </c>
      <c r="L6" s="35">
        <f>K6*B28</f>
        <v>5544109.9981774585</v>
      </c>
      <c r="M6" s="7"/>
      <c r="N6" s="6"/>
      <c r="P6" s="162">
        <v>1000</v>
      </c>
      <c r="Q6" s="77">
        <f t="shared" si="0"/>
        <v>-754.00501986245456</v>
      </c>
      <c r="R6" s="109">
        <f t="shared" si="1"/>
        <v>1593.1350569475453</v>
      </c>
      <c r="S6" s="7"/>
      <c r="T6" s="162">
        <v>1000</v>
      </c>
      <c r="U6" s="77">
        <f t="shared" si="2"/>
        <v>965.56365480754528</v>
      </c>
      <c r="V6" s="109">
        <f t="shared" si="3"/>
        <v>1593.1350569475453</v>
      </c>
    </row>
    <row r="7" spans="1:23" ht="15" thickBot="1" x14ac:dyDescent="0.35">
      <c r="A7" s="27" t="s">
        <v>139</v>
      </c>
      <c r="B7" s="28">
        <v>4</v>
      </c>
      <c r="C7" s="29">
        <f t="shared" si="4"/>
        <v>1.8143694800000001</v>
      </c>
      <c r="E7" s="36" t="s">
        <v>68</v>
      </c>
      <c r="F7" s="2"/>
      <c r="G7" s="11">
        <f>SUM(G4:G6)</f>
        <v>3421</v>
      </c>
      <c r="H7" s="12">
        <f>SUM(H4:H6)</f>
        <v>1551.7394977699998</v>
      </c>
      <c r="I7" s="156"/>
      <c r="J7" s="151" t="s">
        <v>140</v>
      </c>
      <c r="K7" s="101">
        <f>K6*K29</f>
        <v>4985710430.0157003</v>
      </c>
      <c r="L7" s="35">
        <f>K7*B28</f>
        <v>1386027.4995443646</v>
      </c>
      <c r="M7" s="7"/>
      <c r="N7" s="6"/>
      <c r="P7" s="162">
        <v>1250</v>
      </c>
      <c r="Q7" s="77">
        <f t="shared" si="0"/>
        <v>-1072.6320312519638</v>
      </c>
      <c r="R7" s="109">
        <f t="shared" si="1"/>
        <v>1274.5080455580362</v>
      </c>
      <c r="S7" s="7"/>
      <c r="T7" s="162">
        <v>1250</v>
      </c>
      <c r="U7" s="77">
        <f t="shared" si="2"/>
        <v>646.93664341803617</v>
      </c>
      <c r="V7" s="109">
        <f t="shared" si="3"/>
        <v>1274.5080455580362</v>
      </c>
    </row>
    <row r="8" spans="1:23" ht="15" thickTop="1" x14ac:dyDescent="0.3">
      <c r="A8" s="27" t="s">
        <v>141</v>
      </c>
      <c r="B8" s="28">
        <v>240</v>
      </c>
      <c r="C8" s="29">
        <f t="shared" si="4"/>
        <v>108.86216880000001</v>
      </c>
      <c r="E8" s="38" t="s">
        <v>71</v>
      </c>
      <c r="F8" s="10">
        <v>10</v>
      </c>
      <c r="G8" s="13">
        <f>F27*F8</f>
        <v>370</v>
      </c>
      <c r="H8" s="14">
        <f>G8*$B$25</f>
        <v>167.82917690000002</v>
      </c>
      <c r="I8" s="156"/>
      <c r="J8" s="151" t="s">
        <v>142</v>
      </c>
      <c r="K8" s="101">
        <f>K7/K30</f>
        <v>5730701643.696207</v>
      </c>
      <c r="L8" s="191">
        <f>K8*B28</f>
        <v>1593135.0569475454</v>
      </c>
      <c r="M8" s="7"/>
      <c r="N8" s="6"/>
      <c r="P8" s="162">
        <v>1500</v>
      </c>
      <c r="Q8" s="77">
        <f t="shared" si="0"/>
        <v>-1285.0500388449695</v>
      </c>
      <c r="R8" s="109">
        <f t="shared" si="1"/>
        <v>1062.0900379650302</v>
      </c>
      <c r="S8" s="7"/>
      <c r="T8" s="162">
        <v>1500</v>
      </c>
      <c r="U8" s="77">
        <f t="shared" si="2"/>
        <v>434.51863582503017</v>
      </c>
      <c r="V8" s="109">
        <f t="shared" si="3"/>
        <v>1062.0900379650302</v>
      </c>
    </row>
    <row r="9" spans="1:23" ht="15" thickBot="1" x14ac:dyDescent="0.35">
      <c r="A9" s="27" t="s">
        <v>143</v>
      </c>
      <c r="B9" s="28">
        <v>246</v>
      </c>
      <c r="C9" s="29">
        <f t="shared" si="4"/>
        <v>111.58372302000001</v>
      </c>
      <c r="E9" s="38" t="s">
        <v>74</v>
      </c>
      <c r="F9" s="10">
        <v>2</v>
      </c>
      <c r="G9" s="13">
        <f>F28*F9</f>
        <v>340</v>
      </c>
      <c r="H9" s="14">
        <f>G9*$B$25</f>
        <v>154.22140580000001</v>
      </c>
      <c r="I9" s="156"/>
      <c r="J9" s="181"/>
      <c r="K9" s="63" t="s">
        <v>53</v>
      </c>
      <c r="L9" s="63" t="s">
        <v>13</v>
      </c>
      <c r="M9" s="7"/>
      <c r="N9" s="6"/>
      <c r="P9" s="162">
        <v>1750</v>
      </c>
      <c r="Q9" s="77">
        <f t="shared" si="0"/>
        <v>-1436.7771871256882</v>
      </c>
      <c r="R9" s="109">
        <f t="shared" si="1"/>
        <v>910.36288968431165</v>
      </c>
      <c r="S9" s="7"/>
      <c r="T9" s="162">
        <v>1750</v>
      </c>
      <c r="U9" s="77">
        <f t="shared" si="2"/>
        <v>282.79148754431162</v>
      </c>
      <c r="V9" s="109">
        <f t="shared" si="3"/>
        <v>910.36288968431165</v>
      </c>
    </row>
    <row r="10" spans="1:23" ht="15" thickBot="1" x14ac:dyDescent="0.35">
      <c r="A10" s="27" t="s">
        <v>144</v>
      </c>
      <c r="B10" s="28">
        <v>0</v>
      </c>
      <c r="C10" s="29">
        <f t="shared" si="4"/>
        <v>0</v>
      </c>
      <c r="E10" s="39" t="s">
        <v>75</v>
      </c>
      <c r="F10" s="40"/>
      <c r="G10" s="41">
        <f>G8+G9+G7</f>
        <v>4131</v>
      </c>
      <c r="H10" s="155">
        <f>H7+H8+H9</f>
        <v>1873.7900804699998</v>
      </c>
      <c r="I10" s="156"/>
      <c r="J10" s="151" t="s">
        <v>145</v>
      </c>
      <c r="K10" s="146">
        <f>L10/B25</f>
        <v>7024.5231724137921</v>
      </c>
      <c r="L10" s="146">
        <f>L8/K44</f>
        <v>3186.2701138950906</v>
      </c>
      <c r="M10" s="7"/>
      <c r="N10" s="6"/>
      <c r="P10" s="162">
        <v>2000</v>
      </c>
      <c r="Q10" s="77">
        <f t="shared" si="0"/>
        <v>-1550.5725483362271</v>
      </c>
      <c r="R10" s="109">
        <f t="shared" si="1"/>
        <v>796.56752847377265</v>
      </c>
      <c r="S10" s="7"/>
      <c r="T10" s="162">
        <v>2000</v>
      </c>
      <c r="U10" s="77">
        <f t="shared" si="2"/>
        <v>168.99612633377262</v>
      </c>
      <c r="V10" s="109">
        <f t="shared" si="3"/>
        <v>796.56752847377265</v>
      </c>
    </row>
    <row r="11" spans="1:23" ht="15.6" thickTop="1" thickBot="1" x14ac:dyDescent="0.35">
      <c r="A11" s="30" t="s">
        <v>146</v>
      </c>
      <c r="B11" s="12">
        <f>SUM(B4:B10)</f>
        <v>922</v>
      </c>
      <c r="C11" s="31">
        <f t="shared" si="4"/>
        <v>418.21216514000002</v>
      </c>
      <c r="E11" s="60" t="s">
        <v>147</v>
      </c>
      <c r="I11" s="156"/>
      <c r="J11" s="151" t="s">
        <v>148</v>
      </c>
      <c r="K11" s="101">
        <f>G10</f>
        <v>4131</v>
      </c>
      <c r="L11" s="146">
        <f>H7+H8</f>
        <v>1719.5686746699998</v>
      </c>
      <c r="M11" s="7" t="s">
        <v>149</v>
      </c>
      <c r="N11" s="6"/>
      <c r="P11" s="163">
        <v>3000</v>
      </c>
      <c r="Q11" s="78">
        <f t="shared" si="0"/>
        <v>-1816.0950578274847</v>
      </c>
      <c r="R11" s="164">
        <f t="shared" si="1"/>
        <v>531.0450189825151</v>
      </c>
      <c r="S11" s="7"/>
      <c r="T11" s="163">
        <v>3000</v>
      </c>
      <c r="U11" s="78">
        <f t="shared" si="2"/>
        <v>-96.526383157484929</v>
      </c>
      <c r="V11" s="164">
        <f t="shared" si="3"/>
        <v>531.0450189825151</v>
      </c>
    </row>
    <row r="12" spans="1:23" ht="15" thickTop="1" x14ac:dyDescent="0.3">
      <c r="A12" s="27" t="s">
        <v>150</v>
      </c>
      <c r="B12" s="28">
        <v>100</v>
      </c>
      <c r="C12" s="29">
        <f t="shared" si="4"/>
        <v>45.359237</v>
      </c>
      <c r="E12" s="24" t="s">
        <v>151</v>
      </c>
      <c r="F12" s="25" t="s">
        <v>53</v>
      </c>
      <c r="G12" s="26" t="s">
        <v>13</v>
      </c>
      <c r="I12" s="156"/>
      <c r="J12" s="151" t="s">
        <v>152</v>
      </c>
      <c r="K12" s="146">
        <f>L12/B25</f>
        <v>562.17876857143779</v>
      </c>
      <c r="L12" s="109">
        <f>L25</f>
        <v>255</v>
      </c>
      <c r="M12" s="7" t="s">
        <v>52</v>
      </c>
      <c r="N12" s="6"/>
      <c r="Q12" t="s">
        <v>153</v>
      </c>
      <c r="R12" s="159"/>
      <c r="S12" s="7"/>
      <c r="T12" s="159"/>
      <c r="U12" t="s">
        <v>153</v>
      </c>
    </row>
    <row r="13" spans="1:23" ht="15" thickBot="1" x14ac:dyDescent="0.35">
      <c r="A13" s="30" t="s">
        <v>154</v>
      </c>
      <c r="B13" s="12">
        <f>B11+B12</f>
        <v>1022</v>
      </c>
      <c r="C13" s="31">
        <f>B13*$B$25</f>
        <v>463.57140214000003</v>
      </c>
      <c r="E13" s="9" t="s">
        <v>155</v>
      </c>
      <c r="F13" s="42">
        <v>6850</v>
      </c>
      <c r="G13" s="35">
        <f t="shared" ref="G13:G18" si="5">F13*$B$25</f>
        <v>3107.1077345000003</v>
      </c>
      <c r="I13" s="156"/>
      <c r="J13" s="152" t="s">
        <v>156</v>
      </c>
      <c r="K13" s="147">
        <f>L13/B25</f>
        <v>1649.3444038423545</v>
      </c>
      <c r="L13" s="147">
        <f>L10-L11-L4-L12</f>
        <v>748.13003708509075</v>
      </c>
      <c r="M13" s="7" t="s">
        <v>157</v>
      </c>
      <c r="N13" s="6"/>
      <c r="P13" s="158" t="s">
        <v>129</v>
      </c>
      <c r="Q13" s="75" t="s">
        <v>158</v>
      </c>
      <c r="R13" s="158" t="s">
        <v>131</v>
      </c>
      <c r="S13" s="202" t="s">
        <v>159</v>
      </c>
      <c r="T13" s="158" t="s">
        <v>120</v>
      </c>
      <c r="U13" s="165" t="s">
        <v>160</v>
      </c>
      <c r="V13" s="158" t="s">
        <v>131</v>
      </c>
      <c r="W13" s="203" t="s">
        <v>159</v>
      </c>
    </row>
    <row r="14" spans="1:23" ht="15" thickTop="1" x14ac:dyDescent="0.3">
      <c r="A14" s="32" t="s">
        <v>161</v>
      </c>
      <c r="B14" s="33">
        <f>B4+B12</f>
        <v>405</v>
      </c>
      <c r="C14" s="34">
        <f t="shared" si="4"/>
        <v>183.70490985000001</v>
      </c>
      <c r="E14" s="9" t="s">
        <v>162</v>
      </c>
      <c r="F14" s="42">
        <f>F13+G10</f>
        <v>10981</v>
      </c>
      <c r="G14" s="35">
        <f t="shared" si="5"/>
        <v>4980.8978149700006</v>
      </c>
      <c r="I14" s="156"/>
      <c r="J14" s="152" t="s">
        <v>163</v>
      </c>
      <c r="K14" s="147">
        <f>K13+B39</f>
        <v>1849.3444038423545</v>
      </c>
      <c r="L14" s="147">
        <f>L13+C39</f>
        <v>839.13003708509075</v>
      </c>
      <c r="M14" s="7" t="s">
        <v>157</v>
      </c>
      <c r="N14" s="6"/>
      <c r="P14" s="160">
        <v>200</v>
      </c>
      <c r="Q14" s="70">
        <f t="shared" ref="Q14:Q40" si="6">R14-$L$11-$L$12-$L$4+$C$39</f>
        <v>5618.5352079277272</v>
      </c>
      <c r="R14" s="161">
        <f t="shared" ref="R14:R52" si="7">$L$8/P14</f>
        <v>7965.6752847377265</v>
      </c>
      <c r="S14" s="7"/>
      <c r="T14" s="160">
        <v>200</v>
      </c>
      <c r="U14" s="70">
        <f t="shared" ref="U14:U36" si="8">V14-$L$12-$L$4+$C$39</f>
        <v>7338.1038825977266</v>
      </c>
      <c r="V14" s="161">
        <f t="shared" ref="V14:V36" si="9">$L$8/T14</f>
        <v>7965.6752847377265</v>
      </c>
    </row>
    <row r="15" spans="1:23" ht="15" thickBot="1" x14ac:dyDescent="0.35">
      <c r="A15" s="1"/>
      <c r="B15" s="3"/>
      <c r="C15" s="3"/>
      <c r="E15" s="9" t="s">
        <v>164</v>
      </c>
      <c r="F15" s="43">
        <f>F14+B13</f>
        <v>12003</v>
      </c>
      <c r="G15" s="35">
        <f t="shared" si="5"/>
        <v>5444.4692171100005</v>
      </c>
      <c r="I15" s="156"/>
      <c r="J15" s="153" t="s">
        <v>165</v>
      </c>
      <c r="K15" s="182">
        <f>L15/B25</f>
        <v>5640.9650624305932</v>
      </c>
      <c r="L15" s="182">
        <f>L10-L4-L12+C39</f>
        <v>2558.6987117550907</v>
      </c>
      <c r="M15" s="7"/>
      <c r="N15" s="6"/>
      <c r="P15" s="160">
        <v>300</v>
      </c>
      <c r="Q15" s="70">
        <f t="shared" si="6"/>
        <v>2963.3101130151513</v>
      </c>
      <c r="R15" s="161">
        <f t="shared" si="7"/>
        <v>5310.450189825151</v>
      </c>
      <c r="S15" s="7"/>
      <c r="T15" s="160">
        <v>300</v>
      </c>
      <c r="U15" s="70">
        <f t="shared" si="8"/>
        <v>4682.8787876851511</v>
      </c>
      <c r="V15" s="161">
        <f t="shared" si="9"/>
        <v>5310.450189825151</v>
      </c>
    </row>
    <row r="16" spans="1:23" x14ac:dyDescent="0.3">
      <c r="A16" s="87" t="s">
        <v>166</v>
      </c>
      <c r="B16" s="88"/>
      <c r="C16" s="89"/>
      <c r="E16" s="9" t="s">
        <v>167</v>
      </c>
      <c r="F16" s="43">
        <f>F15-B12</f>
        <v>11903</v>
      </c>
      <c r="G16" s="16">
        <f t="shared" si="5"/>
        <v>5399.1099801099999</v>
      </c>
      <c r="I16" s="156"/>
      <c r="J16" s="153" t="s">
        <v>168</v>
      </c>
      <c r="K16" s="33">
        <f>K10-K4-K12</f>
        <v>5440.344403842354</v>
      </c>
      <c r="L16" s="34">
        <f>L10-L4-L12</f>
        <v>2467.6987117550907</v>
      </c>
      <c r="M16" s="7"/>
      <c r="N16" s="6"/>
      <c r="P16" s="162">
        <v>400</v>
      </c>
      <c r="Q16" s="77">
        <f t="shared" si="6"/>
        <v>1635.6975655588635</v>
      </c>
      <c r="R16" s="109">
        <f t="shared" si="7"/>
        <v>3982.8376423688633</v>
      </c>
      <c r="S16" s="7"/>
      <c r="T16" s="162">
        <v>400</v>
      </c>
      <c r="U16" s="77">
        <f t="shared" si="8"/>
        <v>3355.2662402288634</v>
      </c>
      <c r="V16" s="109">
        <f t="shared" si="9"/>
        <v>3982.8376423688633</v>
      </c>
    </row>
    <row r="17" spans="1:22" ht="15" thickBot="1" x14ac:dyDescent="0.35">
      <c r="A17" s="90" t="s">
        <v>169</v>
      </c>
      <c r="B17" s="91"/>
      <c r="C17" s="92"/>
      <c r="E17" s="9" t="s">
        <v>170</v>
      </c>
      <c r="F17" s="43">
        <f>F15-B14</f>
        <v>11598</v>
      </c>
      <c r="G17" s="35">
        <f t="shared" si="5"/>
        <v>5260.7643072600004</v>
      </c>
      <c r="I17" s="156"/>
      <c r="J17" s="59"/>
      <c r="K17" s="7"/>
      <c r="L17" s="7"/>
      <c r="M17" s="7"/>
      <c r="N17" s="6"/>
      <c r="P17" s="162">
        <v>500</v>
      </c>
      <c r="Q17" s="77">
        <f t="shared" si="6"/>
        <v>839.13003708509075</v>
      </c>
      <c r="R17" s="109">
        <f t="shared" si="7"/>
        <v>3186.2701138950906</v>
      </c>
      <c r="S17" s="7"/>
      <c r="T17" s="162">
        <v>500</v>
      </c>
      <c r="U17" s="77">
        <f t="shared" si="8"/>
        <v>2558.6987117550907</v>
      </c>
      <c r="V17" s="109">
        <f t="shared" si="9"/>
        <v>3186.2701138950906</v>
      </c>
    </row>
    <row r="18" spans="1:22" x14ac:dyDescent="0.3">
      <c r="A18" s="1"/>
      <c r="B18" s="3"/>
      <c r="C18" s="3"/>
      <c r="E18" s="44" t="s">
        <v>171</v>
      </c>
      <c r="F18" s="45">
        <v>12500</v>
      </c>
      <c r="G18" s="34">
        <f t="shared" si="5"/>
        <v>5669.9046250000001</v>
      </c>
      <c r="I18" s="156"/>
      <c r="J18" s="148" t="s">
        <v>52</v>
      </c>
      <c r="K18" s="154" t="s">
        <v>53</v>
      </c>
      <c r="L18" s="149" t="s">
        <v>13</v>
      </c>
      <c r="M18" s="7"/>
      <c r="N18" s="6"/>
      <c r="P18" s="162">
        <v>600</v>
      </c>
      <c r="Q18" s="77">
        <f t="shared" si="6"/>
        <v>308.08501810257565</v>
      </c>
      <c r="R18" s="109">
        <f t="shared" si="7"/>
        <v>2655.2250949125755</v>
      </c>
      <c r="S18" s="7"/>
      <c r="T18" s="162">
        <v>600</v>
      </c>
      <c r="U18" s="77">
        <f t="shared" si="8"/>
        <v>2027.6536927725756</v>
      </c>
      <c r="V18" s="109">
        <f t="shared" si="9"/>
        <v>2655.2250949125755</v>
      </c>
    </row>
    <row r="19" spans="1:22" x14ac:dyDescent="0.3">
      <c r="A19" s="1"/>
      <c r="B19" s="3"/>
      <c r="C19" s="3"/>
      <c r="E19" s="60" t="s">
        <v>147</v>
      </c>
      <c r="I19" s="156"/>
      <c r="J19" s="27" t="s">
        <v>58</v>
      </c>
      <c r="K19" s="14">
        <f>L19/$B$25</f>
        <v>110.23113109243879</v>
      </c>
      <c r="L19" s="57">
        <v>50</v>
      </c>
      <c r="M19" s="7"/>
      <c r="N19" s="6"/>
      <c r="P19" s="192">
        <v>678.755</v>
      </c>
      <c r="Q19" s="193">
        <f t="shared" si="6"/>
        <v>2.9378971411233579E-3</v>
      </c>
      <c r="R19" s="194">
        <f t="shared" si="7"/>
        <v>2347.143014707141</v>
      </c>
      <c r="S19" s="7" t="s">
        <v>172</v>
      </c>
      <c r="T19" s="162">
        <v>700</v>
      </c>
      <c r="U19" s="77">
        <f t="shared" si="8"/>
        <v>1648.3358220707792</v>
      </c>
      <c r="V19" s="109">
        <f t="shared" si="9"/>
        <v>2275.9072242107791</v>
      </c>
    </row>
    <row r="20" spans="1:22" x14ac:dyDescent="0.3">
      <c r="A20" s="1"/>
      <c r="B20" s="3"/>
      <c r="C20" s="3"/>
      <c r="E20" s="60"/>
      <c r="I20" s="156"/>
      <c r="J20" s="27" t="s">
        <v>61</v>
      </c>
      <c r="K20" s="14">
        <f>L20/$B$25</f>
        <v>44.092452436975513</v>
      </c>
      <c r="L20" s="57">
        <v>20</v>
      </c>
      <c r="M20" s="7"/>
      <c r="N20" s="6"/>
      <c r="P20" s="162">
        <v>800</v>
      </c>
      <c r="Q20" s="77">
        <f t="shared" si="6"/>
        <v>-355.72125562556823</v>
      </c>
      <c r="R20" s="109">
        <f t="shared" si="7"/>
        <v>1991.4188211844316</v>
      </c>
      <c r="S20" s="7"/>
      <c r="T20" s="162">
        <v>800</v>
      </c>
      <c r="U20" s="77">
        <f t="shared" si="8"/>
        <v>1363.8474190444317</v>
      </c>
      <c r="V20" s="109">
        <f t="shared" si="9"/>
        <v>1991.4188211844316</v>
      </c>
    </row>
    <row r="21" spans="1:22" x14ac:dyDescent="0.3">
      <c r="A21" s="1"/>
      <c r="B21" s="3"/>
      <c r="C21" s="3"/>
      <c r="I21" s="156"/>
      <c r="J21" s="27" t="s">
        <v>70</v>
      </c>
      <c r="K21" s="14">
        <f>L21/$B$25</f>
        <v>110.23113109243879</v>
      </c>
      <c r="L21" s="57">
        <v>50</v>
      </c>
      <c r="M21" s="7"/>
      <c r="N21" s="6"/>
      <c r="P21" s="162">
        <v>900</v>
      </c>
      <c r="Q21" s="77">
        <f t="shared" si="6"/>
        <v>-576.99001353494953</v>
      </c>
      <c r="R21" s="109">
        <f t="shared" si="7"/>
        <v>1770.1500632750503</v>
      </c>
      <c r="S21" s="7"/>
      <c r="T21" s="162">
        <v>900</v>
      </c>
      <c r="U21" s="77">
        <f t="shared" si="8"/>
        <v>1142.5786611350504</v>
      </c>
      <c r="V21" s="109">
        <f t="shared" si="9"/>
        <v>1770.1500632750503</v>
      </c>
    </row>
    <row r="22" spans="1:22" x14ac:dyDescent="0.3">
      <c r="A22" s="1"/>
      <c r="B22" s="3"/>
      <c r="C22" s="3"/>
      <c r="I22" s="156"/>
      <c r="J22" s="27" t="s">
        <v>64</v>
      </c>
      <c r="K22" s="14">
        <f t="shared" ref="K22:K24" si="10">L22/$B$25</f>
        <v>110.23113109243879</v>
      </c>
      <c r="L22" s="57">
        <v>50</v>
      </c>
      <c r="M22" s="7" t="s">
        <v>173</v>
      </c>
      <c r="N22" s="6"/>
      <c r="P22" s="162">
        <v>1000</v>
      </c>
      <c r="Q22" s="77">
        <f t="shared" si="6"/>
        <v>-754.00501986245456</v>
      </c>
      <c r="R22" s="109">
        <f t="shared" si="7"/>
        <v>1593.1350569475453</v>
      </c>
      <c r="S22" s="7"/>
      <c r="T22" s="162">
        <v>1000</v>
      </c>
      <c r="U22" s="77">
        <f t="shared" si="8"/>
        <v>965.56365480754528</v>
      </c>
      <c r="V22" s="109">
        <f t="shared" si="9"/>
        <v>1593.1350569475453</v>
      </c>
    </row>
    <row r="23" spans="1:22" x14ac:dyDescent="0.3">
      <c r="A23" s="46" t="s">
        <v>79</v>
      </c>
      <c r="B23" s="47" t="s">
        <v>80</v>
      </c>
      <c r="C23" s="3"/>
      <c r="E23" s="24" t="s">
        <v>78</v>
      </c>
      <c r="F23" s="25" t="s">
        <v>53</v>
      </c>
      <c r="G23" s="26" t="s">
        <v>13</v>
      </c>
      <c r="I23" s="156"/>
      <c r="J23" s="27" t="s">
        <v>174</v>
      </c>
      <c r="K23" s="14">
        <f t="shared" si="10"/>
        <v>165.34669663865819</v>
      </c>
      <c r="L23" s="57">
        <f>(2*L29)-(2*L30)</f>
        <v>75</v>
      </c>
      <c r="M23" s="7"/>
      <c r="N23" s="6"/>
      <c r="P23" s="162">
        <v>1100</v>
      </c>
      <c r="Q23" s="77">
        <f t="shared" si="6"/>
        <v>-898.83547958495853</v>
      </c>
      <c r="R23" s="109">
        <f t="shared" si="7"/>
        <v>1448.3045972250413</v>
      </c>
      <c r="S23" s="7"/>
      <c r="T23" s="162">
        <v>1100</v>
      </c>
      <c r="U23" s="77">
        <f t="shared" si="8"/>
        <v>820.7331950850413</v>
      </c>
      <c r="V23" s="109">
        <f t="shared" si="9"/>
        <v>1448.3045972250413</v>
      </c>
    </row>
    <row r="24" spans="1:22" ht="15" thickBot="1" x14ac:dyDescent="0.35">
      <c r="A24" s="27" t="s">
        <v>53</v>
      </c>
      <c r="B24" s="35">
        <v>1</v>
      </c>
      <c r="C24" s="4"/>
      <c r="E24" s="9" t="s">
        <v>83</v>
      </c>
      <c r="F24" s="13">
        <v>207</v>
      </c>
      <c r="G24" s="35">
        <f>F24*$B$25</f>
        <v>93.893620589999998</v>
      </c>
      <c r="I24" s="156"/>
      <c r="J24" s="141" t="s">
        <v>175</v>
      </c>
      <c r="K24" s="143">
        <f t="shared" si="10"/>
        <v>22.046226218487757</v>
      </c>
      <c r="L24" s="142">
        <v>10</v>
      </c>
      <c r="M24" s="7"/>
      <c r="N24" s="6"/>
      <c r="P24" s="162">
        <v>1200</v>
      </c>
      <c r="Q24" s="77">
        <f t="shared" si="6"/>
        <v>-1019.527529353712</v>
      </c>
      <c r="R24" s="109">
        <f t="shared" si="7"/>
        <v>1327.6125474562878</v>
      </c>
      <c r="S24" s="7"/>
      <c r="T24" s="162">
        <v>1200</v>
      </c>
      <c r="U24" s="77">
        <f t="shared" si="8"/>
        <v>700.04114531628773</v>
      </c>
      <c r="V24" s="109">
        <f t="shared" si="9"/>
        <v>1327.6125474562878</v>
      </c>
    </row>
    <row r="25" spans="1:22" ht="15" thickBot="1" x14ac:dyDescent="0.35">
      <c r="A25" s="48" t="s">
        <v>13</v>
      </c>
      <c r="B25" s="49">
        <v>0.45359237000000002</v>
      </c>
      <c r="C25" s="3"/>
      <c r="E25" s="9" t="s">
        <v>86</v>
      </c>
      <c r="F25" s="13">
        <v>165</v>
      </c>
      <c r="G25" s="35">
        <f t="shared" ref="G25:G28" si="11">F25*$B$25</f>
        <v>74.842741050000001</v>
      </c>
      <c r="I25" s="156"/>
      <c r="J25" s="139" t="s">
        <v>73</v>
      </c>
      <c r="K25" s="144">
        <f>SUM(K19:K24)</f>
        <v>562.17876857143779</v>
      </c>
      <c r="L25" s="140">
        <f>SUM(L19:L24)</f>
        <v>255</v>
      </c>
      <c r="M25" s="7"/>
      <c r="N25" s="6"/>
      <c r="O25" s="5"/>
      <c r="P25" s="162">
        <v>1300</v>
      </c>
      <c r="Q25" s="77">
        <f t="shared" si="6"/>
        <v>-1121.6515714657344</v>
      </c>
      <c r="R25" s="109">
        <f t="shared" si="7"/>
        <v>1225.4885053442656</v>
      </c>
      <c r="S25" s="7"/>
      <c r="T25" s="162">
        <v>1300</v>
      </c>
      <c r="U25" s="77">
        <f t="shared" si="8"/>
        <v>597.91710320426557</v>
      </c>
      <c r="V25" s="109">
        <f t="shared" si="9"/>
        <v>1225.4885053442656</v>
      </c>
    </row>
    <row r="26" spans="1:22" ht="15" thickTop="1" x14ac:dyDescent="0.3">
      <c r="A26" s="53" t="s">
        <v>123</v>
      </c>
      <c r="B26" s="50" t="s">
        <v>80</v>
      </c>
      <c r="E26" s="9" t="s">
        <v>88</v>
      </c>
      <c r="F26" s="13">
        <v>73</v>
      </c>
      <c r="G26" s="35">
        <f t="shared" si="11"/>
        <v>33.11224301</v>
      </c>
      <c r="I26" s="156"/>
      <c r="J26" s="59"/>
      <c r="K26" s="7"/>
      <c r="L26" s="7"/>
      <c r="M26" s="7"/>
      <c r="N26" s="6"/>
      <c r="O26" s="5"/>
      <c r="P26" s="162">
        <v>1400</v>
      </c>
      <c r="Q26" s="77">
        <f t="shared" si="6"/>
        <v>-1209.1864647046104</v>
      </c>
      <c r="R26" s="109">
        <f t="shared" si="7"/>
        <v>1137.9536121053895</v>
      </c>
      <c r="S26" s="7"/>
      <c r="T26" s="162">
        <v>1400</v>
      </c>
      <c r="U26" s="77">
        <f t="shared" si="8"/>
        <v>510.38220996538951</v>
      </c>
      <c r="V26" s="109">
        <f t="shared" si="9"/>
        <v>1137.9536121053895</v>
      </c>
    </row>
    <row r="27" spans="1:22" x14ac:dyDescent="0.3">
      <c r="A27" s="48" t="s">
        <v>66</v>
      </c>
      <c r="B27" s="35">
        <v>1</v>
      </c>
      <c r="E27" s="9" t="s">
        <v>91</v>
      </c>
      <c r="F27" s="13">
        <v>37</v>
      </c>
      <c r="G27" s="35">
        <f t="shared" si="11"/>
        <v>16.782917690000001</v>
      </c>
      <c r="I27" s="156"/>
      <c r="J27" s="59"/>
      <c r="K27" s="7"/>
      <c r="L27" s="7"/>
      <c r="M27" s="7"/>
      <c r="N27" s="6"/>
      <c r="O27" s="5"/>
      <c r="P27" s="162">
        <v>1500</v>
      </c>
      <c r="Q27" s="77">
        <f t="shared" si="6"/>
        <v>-1285.0500388449695</v>
      </c>
      <c r="R27" s="109">
        <f t="shared" si="7"/>
        <v>1062.0900379650302</v>
      </c>
      <c r="S27" s="7"/>
      <c r="T27" s="162">
        <v>1500</v>
      </c>
      <c r="U27" s="77">
        <f t="shared" si="8"/>
        <v>434.51863582503017</v>
      </c>
      <c r="V27" s="109">
        <f t="shared" si="9"/>
        <v>1062.0900379650302</v>
      </c>
    </row>
    <row r="28" spans="1:22" x14ac:dyDescent="0.3">
      <c r="A28" s="51" t="s">
        <v>6</v>
      </c>
      <c r="B28" s="52">
        <v>2.7799999999999998E-4</v>
      </c>
      <c r="E28" s="44" t="s">
        <v>74</v>
      </c>
      <c r="F28" s="45">
        <v>170</v>
      </c>
      <c r="G28" s="34">
        <f t="shared" si="11"/>
        <v>77.110702900000007</v>
      </c>
      <c r="I28" s="156"/>
      <c r="J28" s="46" t="s">
        <v>117</v>
      </c>
      <c r="K28" s="25" t="s">
        <v>15</v>
      </c>
      <c r="L28" s="26" t="s">
        <v>13</v>
      </c>
      <c r="N28" s="8"/>
      <c r="O28" s="5"/>
      <c r="P28" s="162">
        <v>1600</v>
      </c>
      <c r="Q28" s="77">
        <f t="shared" si="6"/>
        <v>-1351.4306662177842</v>
      </c>
      <c r="R28" s="109">
        <f t="shared" si="7"/>
        <v>995.70941059221582</v>
      </c>
      <c r="S28" s="7"/>
      <c r="T28" s="162">
        <v>1600</v>
      </c>
      <c r="U28" s="77">
        <f t="shared" si="8"/>
        <v>368.13800845221579</v>
      </c>
      <c r="V28" s="109">
        <f t="shared" si="9"/>
        <v>995.70941059221582</v>
      </c>
    </row>
    <row r="29" spans="1:22" x14ac:dyDescent="0.3">
      <c r="A29" s="3"/>
      <c r="B29" s="3"/>
      <c r="E29" s="60" t="s">
        <v>147</v>
      </c>
      <c r="I29" s="156"/>
      <c r="J29" s="27" t="s">
        <v>119</v>
      </c>
      <c r="K29" s="54">
        <v>0.25</v>
      </c>
      <c r="L29" s="16">
        <v>154</v>
      </c>
      <c r="N29" s="8"/>
      <c r="O29" s="5"/>
      <c r="P29" s="162">
        <v>1700</v>
      </c>
      <c r="Q29" s="77">
        <f t="shared" si="6"/>
        <v>-1410.0018080173259</v>
      </c>
      <c r="R29" s="109">
        <f t="shared" si="7"/>
        <v>937.13826879267378</v>
      </c>
      <c r="S29" s="7"/>
      <c r="T29" s="162">
        <v>1700</v>
      </c>
      <c r="U29" s="77">
        <f t="shared" si="8"/>
        <v>309.56686665267375</v>
      </c>
      <c r="V29" s="109">
        <f t="shared" si="9"/>
        <v>937.13826879267378</v>
      </c>
    </row>
    <row r="30" spans="1:22" x14ac:dyDescent="0.3">
      <c r="A30" s="1"/>
      <c r="I30" s="156"/>
      <c r="J30" s="27" t="s">
        <v>121</v>
      </c>
      <c r="K30" s="54">
        <v>0.87</v>
      </c>
      <c r="L30" s="16">
        <v>116.5</v>
      </c>
      <c r="N30" s="8"/>
      <c r="P30" s="162">
        <v>1800</v>
      </c>
      <c r="Q30" s="77">
        <f t="shared" si="6"/>
        <v>-1462.0650451724746</v>
      </c>
      <c r="R30" s="109">
        <f t="shared" si="7"/>
        <v>885.07503163752517</v>
      </c>
      <c r="S30" s="7"/>
      <c r="T30" s="162">
        <v>1800</v>
      </c>
      <c r="U30" s="77">
        <f t="shared" si="8"/>
        <v>257.50362949752514</v>
      </c>
      <c r="V30" s="109">
        <f t="shared" si="9"/>
        <v>885.07503163752517</v>
      </c>
    </row>
    <row r="31" spans="1:22" x14ac:dyDescent="0.3">
      <c r="A31" s="17" t="s">
        <v>176</v>
      </c>
      <c r="B31" s="18" t="s">
        <v>177</v>
      </c>
      <c r="I31" s="64"/>
      <c r="J31" s="32"/>
      <c r="K31" s="94"/>
      <c r="L31" s="33">
        <f>L10</f>
        <v>3186.2701138950906</v>
      </c>
      <c r="N31" s="8"/>
      <c r="O31" s="5"/>
      <c r="P31" s="162">
        <v>1900</v>
      </c>
      <c r="Q31" s="77">
        <f t="shared" si="6"/>
        <v>-1508.6479415744498</v>
      </c>
      <c r="R31" s="109">
        <f t="shared" si="7"/>
        <v>838.49213523555022</v>
      </c>
      <c r="S31" s="7"/>
      <c r="T31" s="162">
        <v>1900</v>
      </c>
      <c r="U31" s="77">
        <f t="shared" si="8"/>
        <v>210.92073309555019</v>
      </c>
      <c r="V31" s="109">
        <f t="shared" si="9"/>
        <v>838.49213523555022</v>
      </c>
    </row>
    <row r="32" spans="1:22" x14ac:dyDescent="0.3">
      <c r="A32" s="19"/>
      <c r="B32" s="20" t="s">
        <v>178</v>
      </c>
      <c r="I32" s="66"/>
      <c r="J32" s="157"/>
      <c r="K32" s="157"/>
      <c r="L32" s="157"/>
      <c r="M32" s="157"/>
      <c r="N32" s="207"/>
      <c r="P32" s="162">
        <v>2000</v>
      </c>
      <c r="Q32" s="77">
        <f t="shared" si="6"/>
        <v>-1550.5725483362271</v>
      </c>
      <c r="R32" s="109">
        <f t="shared" si="7"/>
        <v>796.56752847377265</v>
      </c>
      <c r="S32" s="7"/>
      <c r="T32" s="162">
        <v>2000</v>
      </c>
      <c r="U32" s="77">
        <f t="shared" si="8"/>
        <v>168.99612633377262</v>
      </c>
      <c r="V32" s="109">
        <f t="shared" si="9"/>
        <v>796.56752847377265</v>
      </c>
    </row>
    <row r="33" spans="1:23" x14ac:dyDescent="0.3">
      <c r="A33" s="21"/>
      <c r="B33" s="20" t="s">
        <v>179</v>
      </c>
      <c r="M33" t="s">
        <v>159</v>
      </c>
      <c r="P33" s="162">
        <v>2100</v>
      </c>
      <c r="Q33" s="77">
        <f t="shared" si="6"/>
        <v>-1588.5043354064069</v>
      </c>
      <c r="R33" s="109">
        <f t="shared" si="7"/>
        <v>758.63574140359299</v>
      </c>
      <c r="S33" s="7"/>
      <c r="T33" s="162">
        <v>2100</v>
      </c>
      <c r="U33" s="77">
        <f t="shared" si="8"/>
        <v>131.06433926359296</v>
      </c>
      <c r="V33" s="109">
        <f t="shared" si="9"/>
        <v>758.63574140359299</v>
      </c>
    </row>
    <row r="34" spans="1:23" x14ac:dyDescent="0.3">
      <c r="A34" s="22"/>
      <c r="B34" s="23" t="s">
        <v>180</v>
      </c>
      <c r="J34" s="196" t="s">
        <v>63</v>
      </c>
      <c r="K34" s="197">
        <v>0.95</v>
      </c>
      <c r="L34" s="198" t="s">
        <v>15</v>
      </c>
      <c r="P34" s="162">
        <v>2200</v>
      </c>
      <c r="Q34" s="77">
        <f t="shared" si="6"/>
        <v>-1622.9877781974792</v>
      </c>
      <c r="R34" s="109">
        <f t="shared" si="7"/>
        <v>724.15229861252067</v>
      </c>
      <c r="S34" s="7"/>
      <c r="T34" s="162">
        <v>2200</v>
      </c>
      <c r="U34" s="77">
        <f t="shared" si="8"/>
        <v>96.580896472520635</v>
      </c>
      <c r="V34" s="109">
        <f t="shared" si="9"/>
        <v>724.15229861252067</v>
      </c>
    </row>
    <row r="35" spans="1:23" x14ac:dyDescent="0.3">
      <c r="A35" s="1"/>
      <c r="J35" s="199" t="s">
        <v>14</v>
      </c>
      <c r="K35" s="71">
        <v>0.95</v>
      </c>
      <c r="L35" s="20" t="s">
        <v>15</v>
      </c>
      <c r="P35" s="162">
        <v>2300</v>
      </c>
      <c r="Q35" s="77">
        <f t="shared" si="6"/>
        <v>-1654.4726607458497</v>
      </c>
      <c r="R35" s="109">
        <f t="shared" si="7"/>
        <v>692.66741606415019</v>
      </c>
      <c r="S35" s="7"/>
      <c r="T35" s="162">
        <v>2300</v>
      </c>
      <c r="U35" s="77">
        <f t="shared" si="8"/>
        <v>65.096013924150157</v>
      </c>
      <c r="V35" s="109">
        <f t="shared" si="9"/>
        <v>692.66741606415019</v>
      </c>
    </row>
    <row r="36" spans="1:23" x14ac:dyDescent="0.3">
      <c r="A36" s="59"/>
      <c r="B36" s="7"/>
      <c r="C36" s="7"/>
      <c r="D36" t="s">
        <v>134</v>
      </c>
      <c r="J36" s="199" t="s">
        <v>18</v>
      </c>
      <c r="K36" s="71">
        <v>0.99</v>
      </c>
      <c r="L36" s="20" t="s">
        <v>15</v>
      </c>
      <c r="P36" s="162">
        <v>2400</v>
      </c>
      <c r="Q36" s="77">
        <f t="shared" si="6"/>
        <v>-1683.3338030818559</v>
      </c>
      <c r="R36" s="109">
        <f t="shared" si="7"/>
        <v>663.80627372814388</v>
      </c>
      <c r="S36" s="7"/>
      <c r="T36" s="162">
        <v>2400</v>
      </c>
      <c r="U36" s="77">
        <f t="shared" si="8"/>
        <v>36.234871588143847</v>
      </c>
      <c r="V36" s="109">
        <f t="shared" si="9"/>
        <v>663.80627372814388</v>
      </c>
    </row>
    <row r="37" spans="1:23" x14ac:dyDescent="0.3">
      <c r="A37" s="108" t="s">
        <v>171</v>
      </c>
      <c r="B37" s="184">
        <v>12500</v>
      </c>
      <c r="C37" s="185">
        <v>5670</v>
      </c>
      <c r="J37" s="199" t="s">
        <v>20</v>
      </c>
      <c r="K37" s="71">
        <v>0.99</v>
      </c>
      <c r="L37" s="20" t="s">
        <v>15</v>
      </c>
      <c r="P37" s="162">
        <v>2500</v>
      </c>
      <c r="Q37" s="77">
        <f t="shared" si="6"/>
        <v>-1709.8860540309815</v>
      </c>
      <c r="R37" s="109">
        <f t="shared" si="7"/>
        <v>637.2540227790181</v>
      </c>
      <c r="T37" s="208">
        <v>2520</v>
      </c>
      <c r="U37" s="209">
        <f t="shared" ref="U37:U52" si="12">V37-$L$12-$L$4+$C$39</f>
        <v>4.6250490296608859</v>
      </c>
      <c r="V37" s="210">
        <f t="shared" ref="V37:V52" si="13">$L$8/T37</f>
        <v>632.19645116966092</v>
      </c>
    </row>
    <row r="38" spans="1:23" ht="15" thickBot="1" x14ac:dyDescent="0.35">
      <c r="A38" s="188" t="s">
        <v>87</v>
      </c>
      <c r="B38" s="189">
        <v>12300</v>
      </c>
      <c r="C38" s="190">
        <v>5579</v>
      </c>
      <c r="D38" t="s">
        <v>181</v>
      </c>
      <c r="J38" s="200" t="s">
        <v>182</v>
      </c>
      <c r="K38" s="201">
        <f>K34*K35*K36*K37</f>
        <v>0.88454024999999992</v>
      </c>
      <c r="L38" s="20" t="s">
        <v>15</v>
      </c>
      <c r="P38" s="162">
        <v>2600</v>
      </c>
      <c r="Q38" s="77">
        <f t="shared" si="6"/>
        <v>-1734.3958241378668</v>
      </c>
      <c r="R38" s="109">
        <f t="shared" si="7"/>
        <v>612.7442526721328</v>
      </c>
      <c r="T38" s="192">
        <v>2538.56</v>
      </c>
      <c r="U38" s="193">
        <f t="shared" si="12"/>
        <v>2.9143809982770108E-3</v>
      </c>
      <c r="V38" s="194">
        <f t="shared" si="13"/>
        <v>627.57431652099831</v>
      </c>
      <c r="W38" t="s">
        <v>172</v>
      </c>
    </row>
    <row r="39" spans="1:23" ht="15" thickBot="1" x14ac:dyDescent="0.35">
      <c r="A39" s="183" t="s">
        <v>183</v>
      </c>
      <c r="B39" s="186">
        <f>(B37-B38)</f>
        <v>200</v>
      </c>
      <c r="C39" s="187">
        <f>(C37-C38)</f>
        <v>91</v>
      </c>
      <c r="J39" s="204" t="s">
        <v>184</v>
      </c>
      <c r="K39" s="205">
        <v>0.87</v>
      </c>
      <c r="L39" s="206" t="s">
        <v>15</v>
      </c>
      <c r="M39" t="s">
        <v>185</v>
      </c>
      <c r="P39" s="162">
        <v>2700</v>
      </c>
      <c r="Q39" s="77">
        <f t="shared" si="6"/>
        <v>-1757.0900557183163</v>
      </c>
      <c r="R39" s="109">
        <f t="shared" si="7"/>
        <v>590.05002109168345</v>
      </c>
      <c r="T39" s="162">
        <v>2700</v>
      </c>
      <c r="U39" s="77">
        <f t="shared" si="12"/>
        <v>-37.521381048316584</v>
      </c>
      <c r="V39" s="109">
        <f t="shared" si="13"/>
        <v>590.05002109168345</v>
      </c>
    </row>
    <row r="40" spans="1:23" x14ac:dyDescent="0.3">
      <c r="A40" s="60" t="s">
        <v>186</v>
      </c>
      <c r="P40" s="162">
        <v>2800</v>
      </c>
      <c r="Q40" s="77">
        <f t="shared" si="6"/>
        <v>-1778.1632707573049</v>
      </c>
      <c r="R40" s="109">
        <f t="shared" si="7"/>
        <v>568.97680605269477</v>
      </c>
      <c r="T40" s="162">
        <v>2800</v>
      </c>
      <c r="U40" s="77">
        <f t="shared" si="12"/>
        <v>-58.594596087305263</v>
      </c>
      <c r="V40" s="109">
        <f t="shared" si="13"/>
        <v>568.97680605269477</v>
      </c>
    </row>
    <row r="41" spans="1:23" x14ac:dyDescent="0.3">
      <c r="A41" s="7"/>
      <c r="B41" s="166"/>
      <c r="C41" s="167"/>
      <c r="J41" s="24" t="s">
        <v>115</v>
      </c>
      <c r="K41" s="145" t="s">
        <v>116</v>
      </c>
      <c r="P41" s="162">
        <v>2900</v>
      </c>
      <c r="Q41" s="77">
        <f t="shared" ref="Q41:Q52" si="14">R41-$L$11-$L$12-$L$4+$C$39</f>
        <v>-1797.7831606211912</v>
      </c>
      <c r="R41" s="109">
        <f t="shared" si="7"/>
        <v>549.35691618880878</v>
      </c>
      <c r="T41" s="162">
        <v>2900</v>
      </c>
      <c r="U41" s="77">
        <f t="shared" si="12"/>
        <v>-78.21448595119125</v>
      </c>
      <c r="V41" s="109">
        <f t="shared" si="13"/>
        <v>549.35691618880878</v>
      </c>
    </row>
    <row r="42" spans="1:23" x14ac:dyDescent="0.3">
      <c r="C42" s="168"/>
      <c r="J42" s="9" t="s">
        <v>187</v>
      </c>
      <c r="K42" s="101">
        <f>43.02*10^6</f>
        <v>43020000</v>
      </c>
      <c r="P42" s="162">
        <v>3000</v>
      </c>
      <c r="Q42" s="77">
        <f t="shared" si="14"/>
        <v>-1816.0950578274847</v>
      </c>
      <c r="R42" s="109">
        <f t="shared" si="7"/>
        <v>531.0450189825151</v>
      </c>
      <c r="T42" s="162">
        <v>3000</v>
      </c>
      <c r="U42" s="77">
        <f t="shared" si="12"/>
        <v>-96.526383157484929</v>
      </c>
      <c r="V42" s="109">
        <f t="shared" si="13"/>
        <v>531.0450189825151</v>
      </c>
    </row>
    <row r="43" spans="1:23" x14ac:dyDescent="0.3">
      <c r="A43" s="15" t="s">
        <v>188</v>
      </c>
      <c r="C43" s="168"/>
      <c r="J43" s="9"/>
      <c r="K43" s="6" t="s">
        <v>120</v>
      </c>
      <c r="P43" s="162">
        <v>3100</v>
      </c>
      <c r="Q43" s="77">
        <f t="shared" si="14"/>
        <v>-1833.2255423107918</v>
      </c>
      <c r="R43" s="109">
        <f t="shared" si="7"/>
        <v>513.91453449920823</v>
      </c>
      <c r="T43" s="162">
        <v>3100</v>
      </c>
      <c r="U43" s="77">
        <f t="shared" si="12"/>
        <v>-113.6568676407918</v>
      </c>
      <c r="V43" s="109">
        <f t="shared" si="13"/>
        <v>513.91453449920823</v>
      </c>
    </row>
    <row r="44" spans="1:23" x14ac:dyDescent="0.3">
      <c r="A44" t="s">
        <v>189</v>
      </c>
      <c r="B44" t="s">
        <v>190</v>
      </c>
      <c r="J44" s="179" t="s">
        <v>63</v>
      </c>
      <c r="K44" s="180">
        <v>500</v>
      </c>
      <c r="P44" s="162">
        <v>3200</v>
      </c>
      <c r="Q44" s="77">
        <f t="shared" si="14"/>
        <v>-1849.2853715138917</v>
      </c>
      <c r="R44" s="109">
        <f t="shared" si="7"/>
        <v>497.85470529610791</v>
      </c>
      <c r="T44" s="162">
        <v>3200</v>
      </c>
      <c r="U44" s="77">
        <f t="shared" si="12"/>
        <v>-129.71669684389212</v>
      </c>
      <c r="V44" s="109">
        <f t="shared" si="13"/>
        <v>497.85470529610791</v>
      </c>
    </row>
    <row r="45" spans="1:23" x14ac:dyDescent="0.3">
      <c r="A45" t="s">
        <v>87</v>
      </c>
      <c r="B45" t="s">
        <v>191</v>
      </c>
      <c r="P45" s="162">
        <v>3300</v>
      </c>
      <c r="Q45" s="77">
        <f t="shared" si="14"/>
        <v>-1864.3718777349859</v>
      </c>
      <c r="R45" s="109">
        <f t="shared" si="7"/>
        <v>482.76819907501374</v>
      </c>
      <c r="T45" s="162">
        <v>3300</v>
      </c>
      <c r="U45" s="77">
        <f t="shared" si="12"/>
        <v>-144.80320306498629</v>
      </c>
      <c r="V45" s="109">
        <f t="shared" si="13"/>
        <v>482.76819907501374</v>
      </c>
    </row>
    <row r="46" spans="1:23" x14ac:dyDescent="0.3">
      <c r="A46" t="s">
        <v>171</v>
      </c>
      <c r="B46" t="s">
        <v>192</v>
      </c>
      <c r="P46" s="162">
        <v>3400</v>
      </c>
      <c r="Q46" s="77">
        <f t="shared" si="14"/>
        <v>-1878.570942413663</v>
      </c>
      <c r="R46" s="109">
        <f t="shared" si="7"/>
        <v>468.56913439633689</v>
      </c>
      <c r="T46" s="162">
        <v>3400</v>
      </c>
      <c r="U46" s="77">
        <f t="shared" si="12"/>
        <v>-159.00226774366314</v>
      </c>
      <c r="V46" s="109">
        <f t="shared" si="13"/>
        <v>468.56913439633689</v>
      </c>
    </row>
    <row r="47" spans="1:23" x14ac:dyDescent="0.3">
      <c r="A47" t="s">
        <v>193</v>
      </c>
      <c r="B47" t="s">
        <v>194</v>
      </c>
      <c r="P47" s="162">
        <v>3500</v>
      </c>
      <c r="Q47" s="77">
        <f t="shared" si="14"/>
        <v>-1891.9586319678442</v>
      </c>
      <c r="R47" s="109">
        <f t="shared" si="7"/>
        <v>455.18144484215583</v>
      </c>
      <c r="T47" s="162">
        <v>3500</v>
      </c>
      <c r="U47" s="77">
        <f t="shared" si="12"/>
        <v>-172.38995729784421</v>
      </c>
      <c r="V47" s="109">
        <f t="shared" si="13"/>
        <v>455.18144484215583</v>
      </c>
    </row>
    <row r="48" spans="1:23" x14ac:dyDescent="0.3">
      <c r="A48" t="s">
        <v>195</v>
      </c>
      <c r="B48" t="s">
        <v>196</v>
      </c>
      <c r="P48" s="162">
        <v>3600</v>
      </c>
      <c r="Q48" s="77">
        <f t="shared" si="14"/>
        <v>-1904.6025609912372</v>
      </c>
      <c r="R48" s="109">
        <f t="shared" si="7"/>
        <v>442.53751581876259</v>
      </c>
      <c r="T48" s="162">
        <v>3600</v>
      </c>
      <c r="U48" s="77">
        <f t="shared" si="12"/>
        <v>-185.03388632123745</v>
      </c>
      <c r="V48" s="109">
        <f t="shared" si="13"/>
        <v>442.53751581876259</v>
      </c>
    </row>
    <row r="49" spans="16:22" x14ac:dyDescent="0.3">
      <c r="P49" s="162">
        <v>3700</v>
      </c>
      <c r="Q49" s="77">
        <f t="shared" si="14"/>
        <v>-1916.5630343917442</v>
      </c>
      <c r="R49" s="109">
        <f t="shared" si="7"/>
        <v>430.57704241825553</v>
      </c>
      <c r="T49" s="162">
        <v>3700</v>
      </c>
      <c r="U49" s="77">
        <f t="shared" si="12"/>
        <v>-196.9943597217445</v>
      </c>
      <c r="V49" s="109">
        <f t="shared" si="13"/>
        <v>430.57704241825553</v>
      </c>
    </row>
    <row r="50" spans="16:22" x14ac:dyDescent="0.3">
      <c r="P50" s="162">
        <v>3800</v>
      </c>
      <c r="Q50" s="77">
        <f t="shared" si="14"/>
        <v>-1927.8940091922245</v>
      </c>
      <c r="R50" s="109">
        <f t="shared" si="7"/>
        <v>419.24606761777511</v>
      </c>
      <c r="T50" s="162">
        <v>3800</v>
      </c>
      <c r="U50" s="77">
        <f t="shared" si="12"/>
        <v>-208.32533452222492</v>
      </c>
      <c r="V50" s="109">
        <f t="shared" si="13"/>
        <v>419.24606761777511</v>
      </c>
    </row>
    <row r="51" spans="16:22" x14ac:dyDescent="0.3">
      <c r="P51" s="162">
        <v>3900</v>
      </c>
      <c r="Q51" s="77">
        <f t="shared" si="14"/>
        <v>-1938.6439083619111</v>
      </c>
      <c r="R51" s="109">
        <f t="shared" si="7"/>
        <v>408.49616844808855</v>
      </c>
      <c r="T51" s="162">
        <v>3900</v>
      </c>
      <c r="U51" s="77">
        <f t="shared" si="12"/>
        <v>-219.07523369191148</v>
      </c>
      <c r="V51" s="109">
        <f t="shared" si="13"/>
        <v>408.49616844808855</v>
      </c>
    </row>
    <row r="52" spans="16:22" x14ac:dyDescent="0.3">
      <c r="P52" s="163">
        <v>4000</v>
      </c>
      <c r="Q52" s="78">
        <f t="shared" si="14"/>
        <v>-1948.8563125731134</v>
      </c>
      <c r="R52" s="164">
        <f t="shared" si="7"/>
        <v>398.28376423688633</v>
      </c>
      <c r="T52" s="163">
        <v>4000</v>
      </c>
      <c r="U52" s="78">
        <f t="shared" si="12"/>
        <v>-229.2876379031137</v>
      </c>
      <c r="V52" s="164">
        <f t="shared" si="13"/>
        <v>398.28376423688633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AEDA617D65824F8EEDEA4885F679E1" ma:contentTypeVersion="10" ma:contentTypeDescription="Opprett et nytt dokument." ma:contentTypeScope="" ma:versionID="48641291e429503888afca549b284b31">
  <xsd:schema xmlns:xsd="http://www.w3.org/2001/XMLSchema" xmlns:xs="http://www.w3.org/2001/XMLSchema" xmlns:p="http://schemas.microsoft.com/office/2006/metadata/properties" xmlns:ns2="36a446fe-056a-420c-b638-cbbbb275b707" xmlns:ns3="e1d0e8ba-074c-4c90-8099-9edf8413f733" targetNamespace="http://schemas.microsoft.com/office/2006/metadata/properties" ma:root="true" ma:fieldsID="7396d4b1570a64bd3c319ed5ea5f1e2d" ns2:_="" ns3:_="">
    <xsd:import namespace="36a446fe-056a-420c-b638-cbbbb275b707"/>
    <xsd:import namespace="e1d0e8ba-074c-4c90-8099-9edf8413f7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446fe-056a-420c-b638-cbbbb275b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0e8ba-074c-4c90-8099-9edf8413f7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1AB21F-B00A-4505-9B2F-5ADFACE57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446fe-056a-420c-b638-cbbbb275b707"/>
    <ds:schemaRef ds:uri="e1d0e8ba-074c-4c90-8099-9edf8413f7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CE7077-9E5E-4335-A9D6-D2A741B7EF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892D52-0456-4929-8BA9-63EB5DF96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Hydrogen</vt:lpstr>
      <vt:lpstr>Hybrid</vt:lpstr>
      <vt:lpstr>DHC-6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Sondre Haug</dc:creator>
  <cp:keywords/>
  <dc:description/>
  <cp:lastModifiedBy>Sondre Haug</cp:lastModifiedBy>
  <cp:revision/>
  <dcterms:created xsi:type="dcterms:W3CDTF">2020-03-30T09:21:08Z</dcterms:created>
  <dcterms:modified xsi:type="dcterms:W3CDTF">2020-05-24T19:50:02Z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0x0101007AAEDA617D65824F8EEDEA4885F679E1</vt:lpwstr>
  </property>
</Properties>
</file>