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gnusvestrheim/Desktop/Bachelor/Til innlevering /"/>
    </mc:Choice>
  </mc:AlternateContent>
  <xr:revisionPtr revIDLastSave="0" documentId="13_ncr:1_{1DD02416-BD0E-6440-8CB8-772EA0BE339A}" xr6:coauthVersionLast="45" xr6:coauthVersionMax="45" xr10:uidLastSave="{00000000-0000-0000-0000-000000000000}"/>
  <bookViews>
    <workbookView xWindow="0" yWindow="460" windowWidth="28800" windowHeight="17540" activeTab="6" xr2:uid="{8778E753-4A03-48D8-AB10-34FEADE1B8B7}"/>
  </bookViews>
  <sheets>
    <sheet name="Data Kystruten" sheetId="1" r:id="rId1"/>
    <sheet name="Assumptions" sheetId="2" r:id="rId2"/>
    <sheet name="Route and energy requirements 2" sheetId="9" r:id="rId3"/>
    <sheet name="Route" sheetId="11" r:id="rId4"/>
    <sheet name="Storage tanks" sheetId="7" r:id="rId5"/>
    <sheet name="SMR" sheetId="5" r:id="rId6"/>
    <sheet name="Emissions" sheetId="4" r:id="rId7"/>
    <sheet name="Power path " sheetId="6" r:id="rId8"/>
    <sheet name="NOx" sheetId="8" r:id="rId9"/>
    <sheet name="SOx" sheetId="12" r:id="rId10"/>
    <sheet name="OPEX costs fuel" sheetId="10" r:id="rId11"/>
    <sheet name="Hydrogen production" sheetId="14" r:id="rId12"/>
    <sheet name="IGNORE" sheetId="3" r:id="rId13"/>
    <sheet name="IGNORE 2" sheetId="13" r:id="rId1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5" l="1"/>
  <c r="B4" i="5"/>
  <c r="K4" i="9" l="1"/>
  <c r="I136" i="9"/>
  <c r="I110" i="9"/>
  <c r="H70" i="9"/>
  <c r="H72" i="3"/>
  <c r="H74" i="3"/>
  <c r="G55" i="11"/>
  <c r="B17" i="10"/>
  <c r="B10" i="10"/>
  <c r="B11" i="10"/>
  <c r="W76" i="6"/>
  <c r="M72" i="6"/>
  <c r="M74" i="6"/>
  <c r="M76" i="6"/>
  <c r="M78" i="6"/>
  <c r="M80" i="6"/>
  <c r="M82" i="6"/>
  <c r="M84" i="6"/>
  <c r="M70" i="6"/>
  <c r="B39" i="7"/>
  <c r="B42" i="1" l="1"/>
  <c r="B43" i="1"/>
  <c r="D3" i="10"/>
  <c r="B5" i="8"/>
  <c r="B20" i="13"/>
  <c r="B18" i="13"/>
  <c r="B19" i="13" s="1"/>
  <c r="B21" i="13" s="1"/>
  <c r="B3" i="12"/>
  <c r="B35" i="7"/>
  <c r="B37" i="7" s="1"/>
  <c r="B9" i="10"/>
  <c r="F3" i="10"/>
  <c r="E3" i="10"/>
  <c r="C3" i="10"/>
  <c r="B3" i="10"/>
  <c r="F2" i="10"/>
  <c r="E2" i="10"/>
  <c r="C2" i="10"/>
  <c r="B5" i="10"/>
  <c r="B18" i="1"/>
  <c r="B36" i="7" l="1"/>
  <c r="B19" i="2"/>
  <c r="G67" i="11" l="1"/>
  <c r="F67" i="11"/>
  <c r="G66" i="11"/>
  <c r="F66" i="11"/>
  <c r="G65" i="11"/>
  <c r="F65" i="11"/>
  <c r="G64" i="11"/>
  <c r="F63" i="11"/>
  <c r="G62" i="11"/>
  <c r="F62" i="11"/>
  <c r="G61" i="11"/>
  <c r="F60" i="11"/>
  <c r="G59" i="11"/>
  <c r="F59" i="11"/>
  <c r="G58" i="11"/>
  <c r="F58" i="11"/>
  <c r="G57" i="11"/>
  <c r="F57" i="11"/>
  <c r="G56" i="11"/>
  <c r="F56" i="11"/>
  <c r="F55" i="11"/>
  <c r="F61" i="11" s="1"/>
  <c r="F64" i="11" s="1"/>
  <c r="F54" i="11"/>
  <c r="G53" i="11"/>
  <c r="F53" i="11"/>
  <c r="G52" i="11"/>
  <c r="F52" i="11"/>
  <c r="G51" i="11"/>
  <c r="F51" i="11"/>
  <c r="G50" i="11"/>
  <c r="F50" i="11"/>
  <c r="G49" i="11"/>
  <c r="F49" i="11"/>
  <c r="G48" i="11"/>
  <c r="F48" i="11"/>
  <c r="G47" i="11"/>
  <c r="G46" i="11"/>
  <c r="F46" i="11"/>
  <c r="G45" i="11"/>
  <c r="F45" i="11"/>
  <c r="G44" i="11"/>
  <c r="F44" i="11"/>
  <c r="G43" i="11"/>
  <c r="F43" i="11"/>
  <c r="G42" i="11"/>
  <c r="G41" i="11"/>
  <c r="F41" i="11"/>
  <c r="G40" i="11"/>
  <c r="F40" i="11"/>
  <c r="F39" i="11"/>
  <c r="G38" i="11"/>
  <c r="F38" i="11"/>
  <c r="G37" i="11"/>
  <c r="F37" i="11"/>
  <c r="F36" i="11"/>
  <c r="G35" i="11"/>
  <c r="F35" i="11"/>
  <c r="G34" i="11"/>
  <c r="F34" i="11"/>
  <c r="G33" i="11"/>
  <c r="F33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F25" i="11"/>
  <c r="G24" i="11"/>
  <c r="F24" i="11"/>
  <c r="G23" i="11"/>
  <c r="F23" i="11"/>
  <c r="G22" i="11"/>
  <c r="F22" i="11"/>
  <c r="G21" i="11"/>
  <c r="F21" i="11"/>
  <c r="G20" i="11"/>
  <c r="F20" i="11"/>
  <c r="G19" i="11"/>
  <c r="F19" i="11"/>
  <c r="F18" i="11"/>
  <c r="G17" i="11"/>
  <c r="F17" i="11"/>
  <c r="G16" i="11"/>
  <c r="G15" i="11"/>
  <c r="F15" i="11"/>
  <c r="G14" i="11"/>
  <c r="F14" i="11"/>
  <c r="G13" i="11"/>
  <c r="F13" i="11"/>
  <c r="F12" i="11"/>
  <c r="F11" i="11"/>
  <c r="G10" i="11"/>
  <c r="G8" i="11"/>
  <c r="F8" i="11"/>
  <c r="F7" i="11"/>
  <c r="F6" i="11"/>
  <c r="F5" i="11"/>
  <c r="G4" i="11"/>
  <c r="F4" i="11"/>
  <c r="F3" i="11"/>
  <c r="Y136" i="9"/>
  <c r="S119" i="9"/>
  <c r="P5" i="9"/>
  <c r="S29" i="9" s="1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1" i="9"/>
  <c r="M22" i="9"/>
  <c r="M23" i="9"/>
  <c r="M24" i="9"/>
  <c r="M25" i="9"/>
  <c r="M26" i="9"/>
  <c r="M27" i="9"/>
  <c r="M28" i="9"/>
  <c r="M29" i="9"/>
  <c r="M30" i="9"/>
  <c r="M31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N83" i="9" s="1"/>
  <c r="O83" i="9" s="1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M130" i="9"/>
  <c r="M131" i="9"/>
  <c r="M132" i="9"/>
  <c r="M133" i="9"/>
  <c r="M134" i="9"/>
  <c r="M135" i="9"/>
  <c r="M6" i="9"/>
  <c r="L6" i="3"/>
  <c r="P14" i="9"/>
  <c r="R14" i="9" s="1"/>
  <c r="S14" i="9" s="1"/>
  <c r="F128" i="9"/>
  <c r="I128" i="9"/>
  <c r="F122" i="9"/>
  <c r="I122" i="9"/>
  <c r="F110" i="9"/>
  <c r="I84" i="9"/>
  <c r="I32" i="9"/>
  <c r="I20" i="9"/>
  <c r="G135" i="9"/>
  <c r="F134" i="9"/>
  <c r="G133" i="9"/>
  <c r="F132" i="9"/>
  <c r="G131" i="9"/>
  <c r="F130" i="9"/>
  <c r="G129" i="9"/>
  <c r="H128" i="9"/>
  <c r="F126" i="9"/>
  <c r="G125" i="9"/>
  <c r="F124" i="9"/>
  <c r="G123" i="9"/>
  <c r="H122" i="9"/>
  <c r="F120" i="9"/>
  <c r="G119" i="9"/>
  <c r="F118" i="9"/>
  <c r="H118" i="9" s="1"/>
  <c r="G117" i="9"/>
  <c r="F116" i="9"/>
  <c r="G115" i="9"/>
  <c r="F114" i="9"/>
  <c r="G113" i="9"/>
  <c r="F112" i="9"/>
  <c r="G111" i="9"/>
  <c r="H110" i="9"/>
  <c r="F108" i="9"/>
  <c r="G107" i="9"/>
  <c r="F106" i="9"/>
  <c r="H106" i="9" s="1"/>
  <c r="G105" i="9"/>
  <c r="F104" i="9"/>
  <c r="H104" i="9" s="1"/>
  <c r="G103" i="9"/>
  <c r="F102" i="9"/>
  <c r="G101" i="9"/>
  <c r="F100" i="9"/>
  <c r="G99" i="9"/>
  <c r="F98" i="9"/>
  <c r="G97" i="9"/>
  <c r="F96" i="9"/>
  <c r="G95" i="9"/>
  <c r="H94" i="9"/>
  <c r="G93" i="9"/>
  <c r="F92" i="9"/>
  <c r="G91" i="9"/>
  <c r="F90" i="9"/>
  <c r="G89" i="9"/>
  <c r="H88" i="9"/>
  <c r="F88" i="9"/>
  <c r="G87" i="9"/>
  <c r="F86" i="9"/>
  <c r="G85" i="9"/>
  <c r="G83" i="9"/>
  <c r="F82" i="9"/>
  <c r="G81" i="9"/>
  <c r="F80" i="9"/>
  <c r="F78" i="9"/>
  <c r="G77" i="9"/>
  <c r="F76" i="9"/>
  <c r="G75" i="9"/>
  <c r="H74" i="9"/>
  <c r="F74" i="9"/>
  <c r="F72" i="9"/>
  <c r="H72" i="9" s="1"/>
  <c r="G71" i="9"/>
  <c r="F70" i="9"/>
  <c r="G69" i="9"/>
  <c r="F68" i="9"/>
  <c r="G67" i="9"/>
  <c r="F66" i="9"/>
  <c r="F64" i="9"/>
  <c r="G63" i="9"/>
  <c r="F62" i="9"/>
  <c r="G61" i="9"/>
  <c r="F60" i="9"/>
  <c r="G59" i="9"/>
  <c r="F58" i="9"/>
  <c r="H58" i="9" s="1"/>
  <c r="G57" i="9"/>
  <c r="F56" i="9"/>
  <c r="G55" i="9"/>
  <c r="F54" i="9"/>
  <c r="G53" i="9"/>
  <c r="F52" i="9"/>
  <c r="F50" i="9"/>
  <c r="G49" i="9"/>
  <c r="H48" i="9"/>
  <c r="F48" i="9"/>
  <c r="G47" i="9"/>
  <c r="F46" i="9"/>
  <c r="G45" i="9"/>
  <c r="F44" i="9"/>
  <c r="H44" i="9" s="1"/>
  <c r="G43" i="9"/>
  <c r="F42" i="9"/>
  <c r="G41" i="9"/>
  <c r="F40" i="9"/>
  <c r="G39" i="9"/>
  <c r="F38" i="9"/>
  <c r="F36" i="9"/>
  <c r="H36" i="9" s="1"/>
  <c r="G35" i="9"/>
  <c r="F34" i="9"/>
  <c r="G33" i="9"/>
  <c r="G31" i="9"/>
  <c r="F30" i="9"/>
  <c r="G29" i="9"/>
  <c r="F28" i="9"/>
  <c r="G27" i="9"/>
  <c r="F26" i="9"/>
  <c r="G25" i="9"/>
  <c r="F24" i="9"/>
  <c r="F22" i="9"/>
  <c r="G21" i="9"/>
  <c r="G19" i="9"/>
  <c r="H18" i="9"/>
  <c r="G17" i="9"/>
  <c r="F16" i="9"/>
  <c r="H16" i="9" s="1"/>
  <c r="G15" i="9"/>
  <c r="H14" i="9"/>
  <c r="F14" i="9"/>
  <c r="G13" i="9"/>
  <c r="F12" i="9"/>
  <c r="G11" i="9"/>
  <c r="F10" i="9"/>
  <c r="G9" i="9"/>
  <c r="F8" i="9"/>
  <c r="F6" i="9"/>
  <c r="H6" i="9" s="1"/>
  <c r="B6" i="5"/>
  <c r="T72" i="6"/>
  <c r="T74" i="6"/>
  <c r="T76" i="6"/>
  <c r="T78" i="6"/>
  <c r="T80" i="6"/>
  <c r="T82" i="6"/>
  <c r="T84" i="6"/>
  <c r="T70" i="6"/>
  <c r="P72" i="6"/>
  <c r="P74" i="6"/>
  <c r="P76" i="6"/>
  <c r="P78" i="6"/>
  <c r="P80" i="6"/>
  <c r="P82" i="6"/>
  <c r="P84" i="6"/>
  <c r="P70" i="6"/>
  <c r="Q72" i="6"/>
  <c r="Q74" i="6"/>
  <c r="Q76" i="6"/>
  <c r="Q78" i="6"/>
  <c r="Q80" i="6"/>
  <c r="Q82" i="6"/>
  <c r="Q84" i="6"/>
  <c r="Q70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4" i="6"/>
  <c r="D32" i="6"/>
  <c r="D29" i="6"/>
  <c r="D28" i="6"/>
  <c r="D25" i="6"/>
  <c r="D24" i="6"/>
  <c r="D21" i="6"/>
  <c r="D20" i="6"/>
  <c r="D17" i="6"/>
  <c r="D16" i="6"/>
  <c r="D13" i="6"/>
  <c r="D12" i="6"/>
  <c r="D8" i="6"/>
  <c r="D7" i="6"/>
  <c r="D11" i="6" s="1"/>
  <c r="D15" i="6" s="1"/>
  <c r="D19" i="6" s="1"/>
  <c r="D23" i="6" s="1"/>
  <c r="D27" i="6" s="1"/>
  <c r="D31" i="6" s="1"/>
  <c r="D6" i="6"/>
  <c r="D14" i="6" s="1"/>
  <c r="D18" i="6" s="1"/>
  <c r="D22" i="6" s="1"/>
  <c r="D26" i="6" s="1"/>
  <c r="D30" i="6" s="1"/>
  <c r="D5" i="6"/>
  <c r="S93" i="9" l="1"/>
  <c r="S120" i="9"/>
  <c r="S71" i="9"/>
  <c r="S108" i="9"/>
  <c r="S46" i="9"/>
  <c r="S136" i="9"/>
  <c r="S107" i="9"/>
  <c r="S31" i="9"/>
  <c r="D10" i="6"/>
  <c r="S121" i="9"/>
  <c r="S109" i="9"/>
  <c r="S105" i="9"/>
  <c r="S83" i="9"/>
  <c r="S47" i="9"/>
  <c r="S57" i="9"/>
  <c r="S45" i="9"/>
  <c r="S30" i="9"/>
  <c r="S19" i="9"/>
  <c r="S106" i="9"/>
  <c r="S70" i="9"/>
  <c r="S44" i="9"/>
  <c r="N97" i="9"/>
  <c r="O97" i="9" s="1"/>
  <c r="N92" i="9"/>
  <c r="O92" i="9" s="1"/>
  <c r="N11" i="9"/>
  <c r="O11" i="9" s="1"/>
  <c r="N23" i="9"/>
  <c r="O23" i="9" s="1"/>
  <c r="N127" i="9"/>
  <c r="O127" i="9" s="1"/>
  <c r="N67" i="9"/>
  <c r="O67" i="9" s="1"/>
  <c r="N40" i="9"/>
  <c r="O40" i="9" s="1"/>
  <c r="N68" i="9"/>
  <c r="O68" i="9" s="1"/>
  <c r="N27" i="9"/>
  <c r="O27" i="9" s="1"/>
  <c r="N45" i="9"/>
  <c r="O45" i="9" s="1"/>
  <c r="N73" i="9"/>
  <c r="O73" i="9" s="1"/>
  <c r="N105" i="9"/>
  <c r="O105" i="9" s="1"/>
  <c r="N135" i="9"/>
  <c r="O135" i="9" s="1"/>
  <c r="N51" i="9"/>
  <c r="O51" i="9" s="1"/>
  <c r="N15" i="9"/>
  <c r="O15" i="9" s="1"/>
  <c r="P15" i="9" s="1"/>
  <c r="N31" i="9"/>
  <c r="O31" i="9" s="1"/>
  <c r="N53" i="9"/>
  <c r="O53" i="9" s="1"/>
  <c r="N81" i="9"/>
  <c r="O81" i="9" s="1"/>
  <c r="N111" i="9"/>
  <c r="O111" i="9" s="1"/>
  <c r="N6" i="9"/>
  <c r="O6" i="9" s="1"/>
  <c r="N99" i="9"/>
  <c r="O99" i="9" s="1"/>
  <c r="N10" i="9"/>
  <c r="O10" i="9" s="1"/>
  <c r="N19" i="9"/>
  <c r="O19" i="9" s="1"/>
  <c r="N35" i="9"/>
  <c r="O35" i="9" s="1"/>
  <c r="N60" i="9"/>
  <c r="O60" i="9" s="1"/>
  <c r="N88" i="9"/>
  <c r="O88" i="9" s="1"/>
  <c r="N117" i="9"/>
  <c r="O117" i="9" s="1"/>
  <c r="N120" i="9"/>
  <c r="O120" i="9" s="1"/>
  <c r="N8" i="9"/>
  <c r="O8" i="9" s="1"/>
  <c r="N12" i="9"/>
  <c r="O12" i="9" s="1"/>
  <c r="N16" i="9"/>
  <c r="O16" i="9" s="1"/>
  <c r="N24" i="9"/>
  <c r="O24" i="9" s="1"/>
  <c r="N28" i="9"/>
  <c r="O28" i="9" s="1"/>
  <c r="N36" i="9"/>
  <c r="O36" i="9" s="1"/>
  <c r="N41" i="9"/>
  <c r="O41" i="9" s="1"/>
  <c r="N48" i="9"/>
  <c r="O48" i="9" s="1"/>
  <c r="N56" i="9"/>
  <c r="O56" i="9" s="1"/>
  <c r="N61" i="9"/>
  <c r="O61" i="9" s="1"/>
  <c r="N69" i="9"/>
  <c r="O69" i="9" s="1"/>
  <c r="N76" i="9"/>
  <c r="O76" i="9" s="1"/>
  <c r="N89" i="9"/>
  <c r="O89" i="9" s="1"/>
  <c r="N101" i="9"/>
  <c r="O101" i="9" s="1"/>
  <c r="N107" i="9"/>
  <c r="O107" i="9" s="1"/>
  <c r="N112" i="9"/>
  <c r="O112" i="9" s="1"/>
  <c r="N121" i="9"/>
  <c r="O121" i="9" s="1"/>
  <c r="N129" i="9"/>
  <c r="O129" i="9" s="1"/>
  <c r="N133" i="9"/>
  <c r="O133" i="9" s="1"/>
  <c r="N116" i="9"/>
  <c r="O116" i="9" s="1"/>
  <c r="N70" i="9"/>
  <c r="O70" i="9" s="1"/>
  <c r="N131" i="9"/>
  <c r="O131" i="9" s="1"/>
  <c r="N95" i="9"/>
  <c r="O95" i="9" s="1"/>
  <c r="N79" i="9"/>
  <c r="O79" i="9" s="1"/>
  <c r="N63" i="9"/>
  <c r="O63" i="9" s="1"/>
  <c r="N7" i="9"/>
  <c r="O7" i="9" s="1"/>
  <c r="N9" i="9"/>
  <c r="O9" i="9" s="1"/>
  <c r="N13" i="9"/>
  <c r="O13" i="9" s="1"/>
  <c r="N17" i="9"/>
  <c r="O17" i="9" s="1"/>
  <c r="N21" i="9"/>
  <c r="O21" i="9" s="1"/>
  <c r="N25" i="9"/>
  <c r="O25" i="9" s="1"/>
  <c r="N29" i="9"/>
  <c r="O29" i="9" s="1"/>
  <c r="N33" i="9"/>
  <c r="O33" i="9" s="1"/>
  <c r="N37" i="9"/>
  <c r="O37" i="9" s="1"/>
  <c r="N43" i="9"/>
  <c r="O43" i="9" s="1"/>
  <c r="N49" i="9"/>
  <c r="O49" i="9" s="1"/>
  <c r="N57" i="9"/>
  <c r="O57" i="9" s="1"/>
  <c r="N64" i="9"/>
  <c r="O64" i="9" s="1"/>
  <c r="N77" i="9"/>
  <c r="O77" i="9" s="1"/>
  <c r="N85" i="9"/>
  <c r="O85" i="9" s="1"/>
  <c r="N93" i="9"/>
  <c r="O93" i="9" s="1"/>
  <c r="N103" i="9"/>
  <c r="O103" i="9" s="1"/>
  <c r="N108" i="9"/>
  <c r="O108" i="9" s="1"/>
  <c r="N113" i="9"/>
  <c r="O113" i="9" s="1"/>
  <c r="N124" i="9"/>
  <c r="O124" i="9" s="1"/>
  <c r="N132" i="9"/>
  <c r="O132" i="9" s="1"/>
  <c r="N130" i="9"/>
  <c r="O130" i="9" s="1"/>
  <c r="N106" i="9"/>
  <c r="O106" i="9" s="1"/>
  <c r="N50" i="9"/>
  <c r="O50" i="9" s="1"/>
  <c r="N123" i="9"/>
  <c r="O123" i="9" s="1"/>
  <c r="N91" i="9"/>
  <c r="O91" i="9" s="1"/>
  <c r="N75" i="9"/>
  <c r="O75" i="9" s="1"/>
  <c r="N59" i="9"/>
  <c r="O59" i="9" s="1"/>
  <c r="N18" i="9"/>
  <c r="O18" i="9" s="1"/>
  <c r="N22" i="9"/>
  <c r="O22" i="9" s="1"/>
  <c r="N26" i="9"/>
  <c r="O26" i="9" s="1"/>
  <c r="N30" i="9"/>
  <c r="O30" i="9" s="1"/>
  <c r="N34" i="9"/>
  <c r="O34" i="9" s="1"/>
  <c r="N39" i="9"/>
  <c r="O39" i="9" s="1"/>
  <c r="N44" i="9"/>
  <c r="O44" i="9" s="1"/>
  <c r="N52" i="9"/>
  <c r="O52" i="9" s="1"/>
  <c r="N65" i="9"/>
  <c r="O65" i="9" s="1"/>
  <c r="N72" i="9"/>
  <c r="O72" i="9" s="1"/>
  <c r="N80" i="9"/>
  <c r="O80" i="9" s="1"/>
  <c r="N86" i="9"/>
  <c r="O86" i="9" s="1"/>
  <c r="N96" i="9"/>
  <c r="O96" i="9" s="1"/>
  <c r="N104" i="9"/>
  <c r="O104" i="9" s="1"/>
  <c r="N109" i="9"/>
  <c r="O109" i="9" s="1"/>
  <c r="N115" i="9"/>
  <c r="O115" i="9" s="1"/>
  <c r="N125" i="9"/>
  <c r="O125" i="9" s="1"/>
  <c r="N128" i="9"/>
  <c r="O128" i="9" s="1"/>
  <c r="N100" i="9"/>
  <c r="O100" i="9" s="1"/>
  <c r="N14" i="9"/>
  <c r="O14" i="9" s="1"/>
  <c r="N119" i="9"/>
  <c r="O119" i="9" s="1"/>
  <c r="N87" i="9"/>
  <c r="O87" i="9" s="1"/>
  <c r="N71" i="9"/>
  <c r="O71" i="9" s="1"/>
  <c r="N55" i="9"/>
  <c r="O55" i="9" s="1"/>
  <c r="N134" i="9"/>
  <c r="O134" i="9" s="1"/>
  <c r="N126" i="9"/>
  <c r="O126" i="9" s="1"/>
  <c r="N122" i="9"/>
  <c r="O122" i="9" s="1"/>
  <c r="N118" i="9"/>
  <c r="O118" i="9" s="1"/>
  <c r="N114" i="9"/>
  <c r="O114" i="9" s="1"/>
  <c r="N110" i="9"/>
  <c r="O110" i="9" s="1"/>
  <c r="N102" i="9"/>
  <c r="O102" i="9" s="1"/>
  <c r="N98" i="9"/>
  <c r="O98" i="9" s="1"/>
  <c r="N94" i="9"/>
  <c r="O94" i="9" s="1"/>
  <c r="N90" i="9"/>
  <c r="O90" i="9" s="1"/>
  <c r="N82" i="9"/>
  <c r="O82" i="9" s="1"/>
  <c r="N78" i="9"/>
  <c r="O78" i="9" s="1"/>
  <c r="N74" i="9"/>
  <c r="O74" i="9" s="1"/>
  <c r="N66" i="9"/>
  <c r="O66" i="9" s="1"/>
  <c r="N62" i="9"/>
  <c r="O62" i="9" s="1"/>
  <c r="N58" i="9"/>
  <c r="O58" i="9" s="1"/>
  <c r="N54" i="9"/>
  <c r="O54" i="9" s="1"/>
  <c r="N46" i="9"/>
  <c r="O46" i="9" s="1"/>
  <c r="N42" i="9"/>
  <c r="O42" i="9" s="1"/>
  <c r="N38" i="9"/>
  <c r="O38" i="9" s="1"/>
  <c r="N47" i="9"/>
  <c r="O47" i="9" s="1"/>
  <c r="P20" i="9"/>
  <c r="P6" i="9"/>
  <c r="P7" i="9" l="1"/>
  <c r="R6" i="9"/>
  <c r="S6" i="9" s="1"/>
  <c r="Q6" i="9"/>
  <c r="P16" i="9"/>
  <c r="R15" i="9"/>
  <c r="S15" i="9" s="1"/>
  <c r="P21" i="9"/>
  <c r="R20" i="9"/>
  <c r="S20" i="9" s="1"/>
  <c r="P32" i="9"/>
  <c r="P17" i="9" l="1"/>
  <c r="R16" i="9"/>
  <c r="S16" i="9" s="1"/>
  <c r="P22" i="9"/>
  <c r="R21" i="9"/>
  <c r="S21" i="9" s="1"/>
  <c r="P33" i="9"/>
  <c r="R32" i="9"/>
  <c r="S32" i="9" s="1"/>
  <c r="P48" i="9"/>
  <c r="P8" i="9"/>
  <c r="R7" i="9"/>
  <c r="S7" i="9" s="1"/>
  <c r="P9" i="9" l="1"/>
  <c r="R8" i="9"/>
  <c r="S8" i="9" s="1"/>
  <c r="R22" i="9"/>
  <c r="S22" i="9" s="1"/>
  <c r="P23" i="9"/>
  <c r="P58" i="9"/>
  <c r="P49" i="9"/>
  <c r="R48" i="9"/>
  <c r="S48" i="9" s="1"/>
  <c r="Q48" i="9"/>
  <c r="P34" i="9"/>
  <c r="R33" i="9"/>
  <c r="S33" i="9" s="1"/>
  <c r="P18" i="9"/>
  <c r="R17" i="9"/>
  <c r="S17" i="9" s="1"/>
  <c r="P19" i="9" l="1"/>
  <c r="Y19" i="9" s="1"/>
  <c r="Z19" i="9" s="1"/>
  <c r="R18" i="9"/>
  <c r="S18" i="9" s="1"/>
  <c r="P50" i="9"/>
  <c r="R49" i="9"/>
  <c r="S49" i="9" s="1"/>
  <c r="P24" i="9"/>
  <c r="R23" i="9"/>
  <c r="S23" i="9" s="1"/>
  <c r="R34" i="9"/>
  <c r="S34" i="9" s="1"/>
  <c r="P35" i="9"/>
  <c r="P72" i="9"/>
  <c r="P59" i="9"/>
  <c r="R58" i="9"/>
  <c r="S58" i="9" s="1"/>
  <c r="Q58" i="9"/>
  <c r="P10" i="9"/>
  <c r="R9" i="9"/>
  <c r="S9" i="9" s="1"/>
  <c r="P36" i="9" l="1"/>
  <c r="R35" i="9"/>
  <c r="S35" i="9" s="1"/>
  <c r="P51" i="9"/>
  <c r="R50" i="9"/>
  <c r="S50" i="9" s="1"/>
  <c r="R59" i="9"/>
  <c r="S59" i="9" s="1"/>
  <c r="P60" i="9"/>
  <c r="P11" i="9"/>
  <c r="R10" i="9"/>
  <c r="S10" i="9" s="1"/>
  <c r="P84" i="9"/>
  <c r="P73" i="9"/>
  <c r="R72" i="9"/>
  <c r="S72" i="9" s="1"/>
  <c r="Q72" i="9"/>
  <c r="P25" i="9"/>
  <c r="R24" i="9"/>
  <c r="S24" i="9" s="1"/>
  <c r="R51" i="9" l="1"/>
  <c r="S51" i="9" s="1"/>
  <c r="P52" i="9"/>
  <c r="R73" i="9"/>
  <c r="S73" i="9" s="1"/>
  <c r="P74" i="9"/>
  <c r="P61" i="9"/>
  <c r="R60" i="9"/>
  <c r="S60" i="9" s="1"/>
  <c r="P12" i="9"/>
  <c r="R11" i="9"/>
  <c r="S11" i="9" s="1"/>
  <c r="P26" i="9"/>
  <c r="R25" i="9"/>
  <c r="S25" i="9" s="1"/>
  <c r="P94" i="9"/>
  <c r="P85" i="9"/>
  <c r="R84" i="9"/>
  <c r="S84" i="9" s="1"/>
  <c r="P37" i="9"/>
  <c r="R36" i="9"/>
  <c r="S36" i="9" s="1"/>
  <c r="R12" i="9" l="1"/>
  <c r="S12" i="9" s="1"/>
  <c r="P13" i="9"/>
  <c r="R85" i="9"/>
  <c r="S85" i="9" s="1"/>
  <c r="P86" i="9"/>
  <c r="P75" i="9"/>
  <c r="R74" i="9"/>
  <c r="S74" i="9" s="1"/>
  <c r="P38" i="9"/>
  <c r="R37" i="9"/>
  <c r="S37" i="9" s="1"/>
  <c r="P95" i="9"/>
  <c r="R94" i="9"/>
  <c r="S94" i="9" s="1"/>
  <c r="P110" i="9"/>
  <c r="Q94" i="9"/>
  <c r="P53" i="9"/>
  <c r="R52" i="9"/>
  <c r="S52" i="9" s="1"/>
  <c r="P27" i="9"/>
  <c r="R27" i="9" s="1"/>
  <c r="S27" i="9" s="1"/>
  <c r="R26" i="9"/>
  <c r="S26" i="9" s="1"/>
  <c r="R61" i="9"/>
  <c r="S61" i="9" s="1"/>
  <c r="P62" i="9"/>
  <c r="P28" i="9" l="1"/>
  <c r="R28" i="9" s="1"/>
  <c r="S28" i="9" s="1"/>
  <c r="Z27" i="9"/>
  <c r="P122" i="9"/>
  <c r="P111" i="9"/>
  <c r="R110" i="9"/>
  <c r="S110" i="9" s="1"/>
  <c r="Q110" i="9"/>
  <c r="R13" i="9"/>
  <c r="S13" i="9" s="1"/>
  <c r="Q14" i="9"/>
  <c r="P87" i="9"/>
  <c r="R86" i="9"/>
  <c r="S86" i="9" s="1"/>
  <c r="P39" i="9"/>
  <c r="R38" i="9"/>
  <c r="S38" i="9" s="1"/>
  <c r="P63" i="9"/>
  <c r="R62" i="9"/>
  <c r="S62" i="9" s="1"/>
  <c r="P54" i="9"/>
  <c r="R53" i="9"/>
  <c r="S53" i="9" s="1"/>
  <c r="R95" i="9"/>
  <c r="S95" i="9" s="1"/>
  <c r="P96" i="9"/>
  <c r="P76" i="9"/>
  <c r="R75" i="9"/>
  <c r="S75" i="9" s="1"/>
  <c r="P29" i="9" l="1"/>
  <c r="Z28" i="9"/>
  <c r="R63" i="9"/>
  <c r="S63" i="9" s="1"/>
  <c r="P64" i="9"/>
  <c r="R87" i="9"/>
  <c r="S87" i="9" s="1"/>
  <c r="P88" i="9"/>
  <c r="P123" i="9"/>
  <c r="R123" i="9" s="1"/>
  <c r="S123" i="9" s="1"/>
  <c r="R111" i="9"/>
  <c r="S111" i="9" s="1"/>
  <c r="P112" i="9"/>
  <c r="P97" i="9"/>
  <c r="R96" i="9"/>
  <c r="S96" i="9" s="1"/>
  <c r="P77" i="9"/>
  <c r="R76" i="9"/>
  <c r="S76" i="9" s="1"/>
  <c r="P55" i="9"/>
  <c r="R54" i="9"/>
  <c r="S54" i="9" s="1"/>
  <c r="R39" i="9"/>
  <c r="S39" i="9" s="1"/>
  <c r="P40" i="9"/>
  <c r="P128" i="9"/>
  <c r="R122" i="9"/>
  <c r="S122" i="9" s="1"/>
  <c r="Q122" i="9"/>
  <c r="P30" i="9" l="1"/>
  <c r="Y29" i="9"/>
  <c r="Z29" i="9" s="1"/>
  <c r="P129" i="9"/>
  <c r="R128" i="9"/>
  <c r="S128" i="9" s="1"/>
  <c r="R55" i="9"/>
  <c r="S55" i="9" s="1"/>
  <c r="P56" i="9"/>
  <c r="P41" i="9"/>
  <c r="R40" i="9"/>
  <c r="S40" i="9" s="1"/>
  <c r="P124" i="9"/>
  <c r="R124" i="9" s="1"/>
  <c r="S124" i="9" s="1"/>
  <c r="P113" i="9"/>
  <c r="R112" i="9"/>
  <c r="S112" i="9" s="1"/>
  <c r="P89" i="9"/>
  <c r="R88" i="9"/>
  <c r="S88" i="9" s="1"/>
  <c r="R77" i="9"/>
  <c r="S77" i="9" s="1"/>
  <c r="P78" i="9"/>
  <c r="P65" i="9"/>
  <c r="R64" i="9"/>
  <c r="S64" i="9" s="1"/>
  <c r="P98" i="9"/>
  <c r="R97" i="9"/>
  <c r="S97" i="9" s="1"/>
  <c r="P31" i="9" l="1"/>
  <c r="Y31" i="9" s="1"/>
  <c r="Y30" i="9"/>
  <c r="Z30" i="9" s="1"/>
  <c r="R65" i="9"/>
  <c r="S65" i="9" s="1"/>
  <c r="P66" i="9"/>
  <c r="R89" i="9"/>
  <c r="S89" i="9" s="1"/>
  <c r="P90" i="9"/>
  <c r="P79" i="9"/>
  <c r="R78" i="9"/>
  <c r="S78" i="9" s="1"/>
  <c r="P42" i="9"/>
  <c r="R41" i="9"/>
  <c r="S41" i="9" s="1"/>
  <c r="P130" i="9"/>
  <c r="R129" i="9"/>
  <c r="S129" i="9" s="1"/>
  <c r="P99" i="9"/>
  <c r="R98" i="9"/>
  <c r="S98" i="9" s="1"/>
  <c r="P125" i="9"/>
  <c r="R125" i="9" s="1"/>
  <c r="S125" i="9" s="1"/>
  <c r="R113" i="9"/>
  <c r="S113" i="9" s="1"/>
  <c r="P114" i="9"/>
  <c r="R56" i="9"/>
  <c r="S56" i="9" s="1"/>
  <c r="P57" i="9"/>
  <c r="Y57" i="9" s="1"/>
  <c r="Z57" i="9" s="1"/>
  <c r="Z31" i="9" l="1"/>
  <c r="P67" i="9"/>
  <c r="R66" i="9"/>
  <c r="S66" i="9" s="1"/>
  <c r="P91" i="9"/>
  <c r="R90" i="9"/>
  <c r="S90" i="9" s="1"/>
  <c r="P115" i="9"/>
  <c r="R114" i="9"/>
  <c r="S114" i="9" s="1"/>
  <c r="P126" i="9"/>
  <c r="R126" i="9" s="1"/>
  <c r="S126" i="9" s="1"/>
  <c r="R99" i="9"/>
  <c r="S99" i="9" s="1"/>
  <c r="P100" i="9"/>
  <c r="P43" i="9"/>
  <c r="R43" i="9" s="1"/>
  <c r="S43" i="9" s="1"/>
  <c r="R42" i="9"/>
  <c r="S42" i="9" s="1"/>
  <c r="P131" i="9"/>
  <c r="R130" i="9"/>
  <c r="S130" i="9" s="1"/>
  <c r="P80" i="9"/>
  <c r="R79" i="9"/>
  <c r="S79" i="9" s="1"/>
  <c r="P44" i="9" l="1"/>
  <c r="Z43" i="9"/>
  <c r="P132" i="9"/>
  <c r="R131" i="9"/>
  <c r="S131" i="9" s="1"/>
  <c r="R91" i="9"/>
  <c r="S91" i="9" s="1"/>
  <c r="P92" i="9"/>
  <c r="P81" i="9"/>
  <c r="R80" i="9"/>
  <c r="S80" i="9" s="1"/>
  <c r="P101" i="9"/>
  <c r="R100" i="9"/>
  <c r="S100" i="9" s="1"/>
  <c r="P127" i="9"/>
  <c r="R115" i="9"/>
  <c r="S115" i="9" s="1"/>
  <c r="P116" i="9"/>
  <c r="R67" i="9"/>
  <c r="S67" i="9" s="1"/>
  <c r="P68" i="9"/>
  <c r="P45" i="9" l="1"/>
  <c r="Y44" i="9"/>
  <c r="Z44" i="9" s="1"/>
  <c r="P93" i="9"/>
  <c r="Y93" i="9" s="1"/>
  <c r="Z93" i="9" s="1"/>
  <c r="R92" i="9"/>
  <c r="S92" i="9" s="1"/>
  <c r="P102" i="9"/>
  <c r="R101" i="9"/>
  <c r="S101" i="9" s="1"/>
  <c r="P117" i="9"/>
  <c r="R116" i="9"/>
  <c r="S116" i="9" s="1"/>
  <c r="P69" i="9"/>
  <c r="R69" i="9" s="1"/>
  <c r="S69" i="9" s="1"/>
  <c r="R68" i="9"/>
  <c r="S68" i="9" s="1"/>
  <c r="R127" i="9"/>
  <c r="S127" i="9" s="1"/>
  <c r="Q128" i="9"/>
  <c r="R81" i="9"/>
  <c r="S81" i="9" s="1"/>
  <c r="P82" i="9"/>
  <c r="P133" i="9"/>
  <c r="R132" i="9"/>
  <c r="S132" i="9" s="1"/>
  <c r="P46" i="9" l="1"/>
  <c r="Y45" i="9"/>
  <c r="Z45" i="9" s="1"/>
  <c r="P70" i="9"/>
  <c r="Z69" i="9"/>
  <c r="P103" i="9"/>
  <c r="R102" i="9"/>
  <c r="S102" i="9" s="1"/>
  <c r="P83" i="9"/>
  <c r="Y83" i="9" s="1"/>
  <c r="Z83" i="9" s="1"/>
  <c r="R82" i="9"/>
  <c r="S82" i="9" s="1"/>
  <c r="P134" i="9"/>
  <c r="R133" i="9"/>
  <c r="S133" i="9" s="1"/>
  <c r="P118" i="9"/>
  <c r="R117" i="9"/>
  <c r="S117" i="9" s="1"/>
  <c r="P47" i="9" l="1"/>
  <c r="Y47" i="9" s="1"/>
  <c r="Y46" i="9"/>
  <c r="Z46" i="9" s="1"/>
  <c r="P71" i="9"/>
  <c r="Y71" i="9" s="1"/>
  <c r="Y70" i="9"/>
  <c r="Z70" i="9" s="1"/>
  <c r="P119" i="9"/>
  <c r="R118" i="9"/>
  <c r="S118" i="9" s="1"/>
  <c r="P135" i="9"/>
  <c r="R134" i="9"/>
  <c r="S134" i="9" s="1"/>
  <c r="R103" i="9"/>
  <c r="S103" i="9" s="1"/>
  <c r="P104" i="9"/>
  <c r="Z71" i="9" l="1"/>
  <c r="Z47" i="9"/>
  <c r="R135" i="9"/>
  <c r="S135" i="9" s="1"/>
  <c r="P120" i="9"/>
  <c r="Y119" i="9"/>
  <c r="Z119" i="9" s="1"/>
  <c r="P105" i="9"/>
  <c r="R104" i="9"/>
  <c r="S104" i="9" s="1"/>
  <c r="P121" i="9" l="1"/>
  <c r="Y121" i="9" s="1"/>
  <c r="Y120" i="9"/>
  <c r="Z120" i="9" s="1"/>
  <c r="P106" i="9"/>
  <c r="Y105" i="9"/>
  <c r="Z105" i="9" s="1"/>
  <c r="P107" i="9" l="1"/>
  <c r="Y106" i="9"/>
  <c r="Z106" i="9" s="1"/>
  <c r="Z121" i="9"/>
  <c r="P108" i="9" l="1"/>
  <c r="Y107" i="9"/>
  <c r="Z107" i="9" s="1"/>
  <c r="P109" i="9" l="1"/>
  <c r="Y109" i="9" s="1"/>
  <c r="Y108" i="9"/>
  <c r="W2" i="9"/>
  <c r="W3" i="9" s="1"/>
  <c r="Z109" i="9" l="1"/>
  <c r="Z108" i="9"/>
  <c r="L51" i="6" l="1"/>
  <c r="F5" i="6"/>
  <c r="H32" i="6"/>
  <c r="G84" i="6"/>
  <c r="L84" i="6" s="1"/>
  <c r="H83" i="6"/>
  <c r="R82" i="6"/>
  <c r="O82" i="6"/>
  <c r="P46" i="6" s="1"/>
  <c r="P47" i="6" s="1"/>
  <c r="L82" i="6"/>
  <c r="H81" i="6"/>
  <c r="G80" i="6"/>
  <c r="L80" i="6" s="1"/>
  <c r="O80" i="6" s="1"/>
  <c r="H79" i="6"/>
  <c r="P40" i="6"/>
  <c r="P41" i="6" s="1"/>
  <c r="P42" i="6" s="1"/>
  <c r="P43" i="6" s="1"/>
  <c r="R78" i="6"/>
  <c r="S78" i="6" s="1"/>
  <c r="O78" i="6"/>
  <c r="P38" i="6" s="1"/>
  <c r="P39" i="6" s="1"/>
  <c r="G78" i="6"/>
  <c r="L78" i="6" s="1"/>
  <c r="H77" i="6"/>
  <c r="G76" i="6"/>
  <c r="L76" i="6" s="1"/>
  <c r="O76" i="6" s="1"/>
  <c r="H75" i="6"/>
  <c r="L74" i="6"/>
  <c r="O74" i="6" s="1"/>
  <c r="G74" i="6"/>
  <c r="H73" i="6"/>
  <c r="O72" i="6"/>
  <c r="G72" i="6"/>
  <c r="L72" i="6" s="1"/>
  <c r="R70" i="6"/>
  <c r="S70" i="6" s="1"/>
  <c r="L70" i="6"/>
  <c r="G70" i="6"/>
  <c r="L53" i="6"/>
  <c r="L38" i="6"/>
  <c r="L36" i="6"/>
  <c r="J59" i="6"/>
  <c r="J60" i="6" s="1"/>
  <c r="J57" i="6"/>
  <c r="J58" i="6" s="1"/>
  <c r="J55" i="6"/>
  <c r="J56" i="6" s="1"/>
  <c r="N56" i="6" s="1"/>
  <c r="J53" i="6"/>
  <c r="J54" i="6" s="1"/>
  <c r="J51" i="6"/>
  <c r="J52" i="6" s="1"/>
  <c r="J50" i="6"/>
  <c r="L25" i="6"/>
  <c r="J43" i="6"/>
  <c r="J44" i="6" s="1"/>
  <c r="J41" i="6"/>
  <c r="J39" i="6"/>
  <c r="L21" i="6"/>
  <c r="J38" i="6"/>
  <c r="L19" i="6"/>
  <c r="J33" i="6"/>
  <c r="J34" i="6" s="1"/>
  <c r="J31" i="6"/>
  <c r="S17" i="6"/>
  <c r="J29" i="6"/>
  <c r="J30" i="6" s="1"/>
  <c r="L16" i="6"/>
  <c r="J25" i="6"/>
  <c r="J26" i="6" s="1"/>
  <c r="J23" i="6"/>
  <c r="J21" i="6"/>
  <c r="J22" i="6" s="1"/>
  <c r="L12" i="6"/>
  <c r="L11" i="6"/>
  <c r="L10" i="6"/>
  <c r="J9" i="6"/>
  <c r="L8" i="6"/>
  <c r="L7" i="6"/>
  <c r="L6" i="6"/>
  <c r="J7" i="6"/>
  <c r="H31" i="6"/>
  <c r="L54" i="6"/>
  <c r="B17" i="4"/>
  <c r="B18" i="4" s="1"/>
  <c r="O5" i="3"/>
  <c r="N7" i="6" l="1"/>
  <c r="O20" i="3"/>
  <c r="R29" i="3"/>
  <c r="R44" i="3"/>
  <c r="R70" i="3"/>
  <c r="R106" i="3"/>
  <c r="R30" i="3"/>
  <c r="R71" i="3"/>
  <c r="R107" i="3"/>
  <c r="R31" i="3"/>
  <c r="R120" i="3"/>
  <c r="R57" i="3"/>
  <c r="R46" i="3"/>
  <c r="R108" i="3"/>
  <c r="R28" i="3"/>
  <c r="R47" i="3"/>
  <c r="R69" i="3"/>
  <c r="R83" i="3"/>
  <c r="R105" i="3"/>
  <c r="R109" i="3"/>
  <c r="R121" i="3"/>
  <c r="R19" i="3"/>
  <c r="R45" i="3"/>
  <c r="R93" i="3"/>
  <c r="R119" i="3"/>
  <c r="R74" i="6"/>
  <c r="S74" i="6" s="1"/>
  <c r="R76" i="6"/>
  <c r="J45" i="6"/>
  <c r="J46" i="6" s="1"/>
  <c r="I14" i="6"/>
  <c r="I10" i="6"/>
  <c r="J15" i="6"/>
  <c r="R72" i="6"/>
  <c r="S72" i="6" s="1"/>
  <c r="R84" i="6"/>
  <c r="J8" i="6"/>
  <c r="N8" i="6" s="1"/>
  <c r="I26" i="6"/>
  <c r="U70" i="6"/>
  <c r="P10" i="6" s="1"/>
  <c r="J16" i="6"/>
  <c r="N55" i="6"/>
  <c r="U78" i="6"/>
  <c r="Y74" i="6" s="1"/>
  <c r="N16" i="6"/>
  <c r="J47" i="6"/>
  <c r="J48" i="6" s="1"/>
  <c r="S82" i="6"/>
  <c r="U82" i="6" s="1"/>
  <c r="Y76" i="6" s="1"/>
  <c r="O84" i="6"/>
  <c r="P54" i="6" s="1"/>
  <c r="P55" i="6" s="1"/>
  <c r="P56" i="6" s="1"/>
  <c r="P57" i="6" s="1"/>
  <c r="P58" i="6" s="1"/>
  <c r="P59" i="6" s="1"/>
  <c r="F6" i="6"/>
  <c r="L49" i="6"/>
  <c r="J24" i="6"/>
  <c r="J42" i="6"/>
  <c r="S76" i="6"/>
  <c r="K6" i="6"/>
  <c r="K7" i="6" s="1"/>
  <c r="L27" i="6"/>
  <c r="L29" i="6"/>
  <c r="L35" i="6"/>
  <c r="L48" i="6"/>
  <c r="P48" i="6"/>
  <c r="P49" i="6" s="1"/>
  <c r="P50" i="6" s="1"/>
  <c r="P51" i="6" s="1"/>
  <c r="P52" i="6" s="1"/>
  <c r="P53" i="6" s="1"/>
  <c r="I18" i="6"/>
  <c r="L37" i="6"/>
  <c r="L39" i="6"/>
  <c r="N39" i="6" s="1"/>
  <c r="L50" i="6"/>
  <c r="L52" i="6"/>
  <c r="L47" i="6"/>
  <c r="L46" i="6"/>
  <c r="L45" i="6"/>
  <c r="L44" i="6"/>
  <c r="L43" i="6"/>
  <c r="L42" i="6"/>
  <c r="L41" i="6"/>
  <c r="L33" i="6"/>
  <c r="L32" i="6"/>
  <c r="L24" i="6"/>
  <c r="L15" i="6"/>
  <c r="N15" i="6" s="1"/>
  <c r="L14" i="6"/>
  <c r="L13" i="6"/>
  <c r="L9" i="6"/>
  <c r="L23" i="6"/>
  <c r="N23" i="6" s="1"/>
  <c r="L22" i="6"/>
  <c r="L40" i="6"/>
  <c r="L34" i="6"/>
  <c r="L31" i="6"/>
  <c r="N31" i="6" s="1"/>
  <c r="L30" i="6"/>
  <c r="H30" i="6"/>
  <c r="I30" i="6" s="1"/>
  <c r="L5" i="6"/>
  <c r="J35" i="6"/>
  <c r="J36" i="6" s="1"/>
  <c r="J27" i="6"/>
  <c r="J19" i="6"/>
  <c r="L17" i="6"/>
  <c r="L18" i="6"/>
  <c r="L20" i="6"/>
  <c r="L26" i="6"/>
  <c r="L28" i="6"/>
  <c r="J32" i="6"/>
  <c r="J40" i="6"/>
  <c r="R80" i="6"/>
  <c r="S80" i="6" s="1"/>
  <c r="U80" i="6" s="1"/>
  <c r="Y75" i="6" s="1"/>
  <c r="I6" i="6"/>
  <c r="I22" i="6"/>
  <c r="J37" i="6"/>
  <c r="J49" i="6"/>
  <c r="O14" i="3"/>
  <c r="Q14" i="3" s="1"/>
  <c r="R14" i="3" s="1"/>
  <c r="O6" i="3"/>
  <c r="Q6" i="3" s="1"/>
  <c r="R6" i="3" s="1"/>
  <c r="O32" i="3"/>
  <c r="Q20" i="3"/>
  <c r="R20" i="3" s="1"/>
  <c r="Y70" i="6" l="1"/>
  <c r="P11" i="6"/>
  <c r="P12" i="6" s="1"/>
  <c r="P13" i="6" s="1"/>
  <c r="P14" i="6" s="1"/>
  <c r="P15" i="6" s="1"/>
  <c r="P16" i="6" s="1"/>
  <c r="P17" i="6" s="1"/>
  <c r="P18" i="6" s="1"/>
  <c r="P19" i="6" s="1"/>
  <c r="P20" i="6" s="1"/>
  <c r="P21" i="6" s="1"/>
  <c r="P22" i="6" s="1"/>
  <c r="P23" i="6" s="1"/>
  <c r="P24" i="6" s="1"/>
  <c r="P25" i="6" s="1"/>
  <c r="P26" i="6" s="1"/>
  <c r="P27" i="6" s="1"/>
  <c r="P28" i="6" s="1"/>
  <c r="P29" i="6" s="1"/>
  <c r="P30" i="6" s="1"/>
  <c r="P31" i="6" s="1"/>
  <c r="P32" i="6" s="1"/>
  <c r="P33" i="6" s="1"/>
  <c r="P34" i="6" s="1"/>
  <c r="P35" i="6" s="1"/>
  <c r="P36" i="6" s="1"/>
  <c r="P37" i="6" s="1"/>
  <c r="F7" i="6"/>
  <c r="K11" i="6" s="1"/>
  <c r="P8" i="6"/>
  <c r="P9" i="6"/>
  <c r="U72" i="6"/>
  <c r="U74" i="6" s="1"/>
  <c r="K8" i="6"/>
  <c r="K9" i="6" s="1"/>
  <c r="P60" i="6"/>
  <c r="P44" i="6"/>
  <c r="P45" i="6" s="1"/>
  <c r="N47" i="6"/>
  <c r="N48" i="6"/>
  <c r="S84" i="6"/>
  <c r="U84" i="6" s="1"/>
  <c r="Y77" i="6" s="1"/>
  <c r="N40" i="6"/>
  <c r="N32" i="6"/>
  <c r="J28" i="6"/>
  <c r="J20" i="6"/>
  <c r="N24" i="6"/>
  <c r="Q32" i="3"/>
  <c r="R32" i="3" s="1"/>
  <c r="O48" i="3"/>
  <c r="F8" i="6" l="1"/>
  <c r="F9" i="6" s="1"/>
  <c r="Y71" i="6"/>
  <c r="U76" i="6"/>
  <c r="Y73" i="6" s="1"/>
  <c r="Y72" i="6"/>
  <c r="Q48" i="3"/>
  <c r="R48" i="3" s="1"/>
  <c r="O58" i="3"/>
  <c r="K12" i="6" l="1"/>
  <c r="K13" i="6" s="1"/>
  <c r="F10" i="6"/>
  <c r="K14" i="6"/>
  <c r="K15" i="6" s="1"/>
  <c r="O72" i="3"/>
  <c r="Q58" i="3"/>
  <c r="R58" i="3" s="1"/>
  <c r="K16" i="6" l="1"/>
  <c r="K17" i="6" s="1"/>
  <c r="F11" i="6"/>
  <c r="Q72" i="3"/>
  <c r="R72" i="3" s="1"/>
  <c r="O84" i="3"/>
  <c r="F12" i="6" l="1"/>
  <c r="K18" i="6"/>
  <c r="K19" i="6" s="1"/>
  <c r="Q84" i="3"/>
  <c r="R84" i="3" s="1"/>
  <c r="O94" i="3"/>
  <c r="K20" i="6" l="1"/>
  <c r="K21" i="6" s="1"/>
  <c r="F13" i="6"/>
  <c r="Q94" i="3"/>
  <c r="R94" i="3" s="1"/>
  <c r="O110" i="3"/>
  <c r="F14" i="6" l="1"/>
  <c r="K22" i="6"/>
  <c r="K23" i="6" s="1"/>
  <c r="Q110" i="3"/>
  <c r="R110" i="3" s="1"/>
  <c r="O122" i="3"/>
  <c r="F15" i="6" l="1"/>
  <c r="K24" i="6"/>
  <c r="K25" i="6" s="1"/>
  <c r="O128" i="3"/>
  <c r="Q122" i="3"/>
  <c r="R122" i="3" s="1"/>
  <c r="K26" i="6" l="1"/>
  <c r="K27" i="6" s="1"/>
  <c r="F16" i="6"/>
  <c r="Q128" i="3"/>
  <c r="R128" i="3" s="1"/>
  <c r="K28" i="6" l="1"/>
  <c r="K29" i="6" s="1"/>
  <c r="F17" i="6"/>
  <c r="K30" i="6" l="1"/>
  <c r="K31" i="6" s="1"/>
  <c r="F18" i="6"/>
  <c r="K32" i="6" l="1"/>
  <c r="K33" i="6" s="1"/>
  <c r="F19" i="6"/>
  <c r="K34" i="6" l="1"/>
  <c r="K35" i="6" s="1"/>
  <c r="F20" i="6"/>
  <c r="K36" i="6" l="1"/>
  <c r="K37" i="6" s="1"/>
  <c r="F21" i="6"/>
  <c r="K38" i="6" l="1"/>
  <c r="K39" i="6" s="1"/>
  <c r="F22" i="6"/>
  <c r="F23" i="6" l="1"/>
  <c r="K40" i="6"/>
  <c r="K41" i="6" s="1"/>
  <c r="F24" i="6" l="1"/>
  <c r="K42" i="6"/>
  <c r="K43" i="6" s="1"/>
  <c r="K44" i="6" l="1"/>
  <c r="K45" i="6" s="1"/>
  <c r="F25" i="6"/>
  <c r="K46" i="6" l="1"/>
  <c r="K47" i="6" s="1"/>
  <c r="F26" i="6"/>
  <c r="K48" i="6" l="1"/>
  <c r="K49" i="6" s="1"/>
  <c r="F27" i="6"/>
  <c r="F28" i="6" l="1"/>
  <c r="K50" i="6"/>
  <c r="K51" i="6" s="1"/>
  <c r="F29" i="6" l="1"/>
  <c r="K52" i="6"/>
  <c r="K53" i="6" s="1"/>
  <c r="K54" i="6" l="1"/>
  <c r="K55" i="6" s="1"/>
  <c r="F30" i="6"/>
  <c r="F31" i="6" l="1"/>
  <c r="K57" i="6"/>
  <c r="K56" i="6"/>
  <c r="K58" i="6" l="1"/>
  <c r="K59" i="6" s="1"/>
  <c r="F32" i="6"/>
  <c r="K60" i="6" s="1"/>
  <c r="L7" i="3" l="1"/>
  <c r="M7" i="3" s="1"/>
  <c r="N7" i="3" s="1"/>
  <c r="O7" i="3" s="1"/>
  <c r="L8" i="3"/>
  <c r="M8" i="3" s="1"/>
  <c r="N8" i="3" s="1"/>
  <c r="L9" i="3"/>
  <c r="M9" i="3" s="1"/>
  <c r="N9" i="3" s="1"/>
  <c r="L10" i="3"/>
  <c r="M10" i="3" s="1"/>
  <c r="N10" i="3" s="1"/>
  <c r="L11" i="3"/>
  <c r="M11" i="3" s="1"/>
  <c r="N11" i="3" s="1"/>
  <c r="L12" i="3"/>
  <c r="M12" i="3" s="1"/>
  <c r="N12" i="3" s="1"/>
  <c r="L13" i="3"/>
  <c r="M13" i="3" s="1"/>
  <c r="N13" i="3" s="1"/>
  <c r="L14" i="3"/>
  <c r="M14" i="3" s="1"/>
  <c r="N14" i="3" s="1"/>
  <c r="L15" i="3"/>
  <c r="M15" i="3" s="1"/>
  <c r="N15" i="3" s="1"/>
  <c r="O15" i="3" s="1"/>
  <c r="L16" i="3"/>
  <c r="M16" i="3" s="1"/>
  <c r="N16" i="3" s="1"/>
  <c r="L17" i="3"/>
  <c r="M17" i="3" s="1"/>
  <c r="N17" i="3" s="1"/>
  <c r="L18" i="3"/>
  <c r="M18" i="3" s="1"/>
  <c r="N18" i="3" s="1"/>
  <c r="L19" i="3"/>
  <c r="M19" i="3" s="1"/>
  <c r="N19" i="3" s="1"/>
  <c r="L20" i="3"/>
  <c r="M20" i="3" s="1"/>
  <c r="N20" i="3" s="1"/>
  <c r="P20" i="3" s="1"/>
  <c r="L21" i="3"/>
  <c r="M21" i="3" s="1"/>
  <c r="N21" i="3" s="1"/>
  <c r="O21" i="3" s="1"/>
  <c r="L22" i="3"/>
  <c r="M22" i="3" s="1"/>
  <c r="N22" i="3" s="1"/>
  <c r="L23" i="3"/>
  <c r="M23" i="3" s="1"/>
  <c r="N23" i="3" s="1"/>
  <c r="L24" i="3"/>
  <c r="M24" i="3" s="1"/>
  <c r="N24" i="3" s="1"/>
  <c r="L25" i="3"/>
  <c r="M25" i="3" s="1"/>
  <c r="N25" i="3" s="1"/>
  <c r="L26" i="3"/>
  <c r="M26" i="3" s="1"/>
  <c r="N26" i="3" s="1"/>
  <c r="L27" i="3"/>
  <c r="M27" i="3" s="1"/>
  <c r="N27" i="3" s="1"/>
  <c r="L28" i="3"/>
  <c r="M28" i="3" s="1"/>
  <c r="N28" i="3" s="1"/>
  <c r="L29" i="3"/>
  <c r="M29" i="3" s="1"/>
  <c r="N29" i="3" s="1"/>
  <c r="L30" i="3"/>
  <c r="M30" i="3" s="1"/>
  <c r="N30" i="3" s="1"/>
  <c r="L31" i="3"/>
  <c r="M31" i="3" s="1"/>
  <c r="N31" i="3" s="1"/>
  <c r="L32" i="3"/>
  <c r="M32" i="3" s="1"/>
  <c r="N32" i="3" s="1"/>
  <c r="P32" i="3" s="1"/>
  <c r="L33" i="3"/>
  <c r="M33" i="3" s="1"/>
  <c r="N33" i="3" s="1"/>
  <c r="O33" i="3" s="1"/>
  <c r="L34" i="3"/>
  <c r="M34" i="3" s="1"/>
  <c r="N34" i="3" s="1"/>
  <c r="L35" i="3"/>
  <c r="M35" i="3" s="1"/>
  <c r="N35" i="3" s="1"/>
  <c r="L36" i="3"/>
  <c r="M36" i="3" s="1"/>
  <c r="N36" i="3" s="1"/>
  <c r="L37" i="3"/>
  <c r="M37" i="3" s="1"/>
  <c r="N37" i="3" s="1"/>
  <c r="L38" i="3"/>
  <c r="M38" i="3" s="1"/>
  <c r="N38" i="3" s="1"/>
  <c r="L39" i="3"/>
  <c r="M39" i="3" s="1"/>
  <c r="N39" i="3" s="1"/>
  <c r="L40" i="3"/>
  <c r="M40" i="3" s="1"/>
  <c r="N40" i="3" s="1"/>
  <c r="L41" i="3"/>
  <c r="M41" i="3" s="1"/>
  <c r="N41" i="3" s="1"/>
  <c r="L42" i="3"/>
  <c r="M42" i="3" s="1"/>
  <c r="N42" i="3" s="1"/>
  <c r="L43" i="3"/>
  <c r="M43" i="3" s="1"/>
  <c r="N43" i="3" s="1"/>
  <c r="L44" i="3"/>
  <c r="M44" i="3" s="1"/>
  <c r="N44" i="3" s="1"/>
  <c r="L45" i="3"/>
  <c r="M45" i="3" s="1"/>
  <c r="N45" i="3" s="1"/>
  <c r="L46" i="3"/>
  <c r="M46" i="3" s="1"/>
  <c r="N46" i="3" s="1"/>
  <c r="L47" i="3"/>
  <c r="M47" i="3" s="1"/>
  <c r="N47" i="3" s="1"/>
  <c r="L48" i="3"/>
  <c r="M48" i="3" s="1"/>
  <c r="N48" i="3" s="1"/>
  <c r="P48" i="3" s="1"/>
  <c r="L49" i="3"/>
  <c r="M49" i="3" s="1"/>
  <c r="N49" i="3" s="1"/>
  <c r="O49" i="3" s="1"/>
  <c r="L50" i="3"/>
  <c r="M50" i="3" s="1"/>
  <c r="N50" i="3" s="1"/>
  <c r="L51" i="3"/>
  <c r="M51" i="3" s="1"/>
  <c r="N51" i="3" s="1"/>
  <c r="L52" i="3"/>
  <c r="M52" i="3" s="1"/>
  <c r="N52" i="3" s="1"/>
  <c r="L53" i="3"/>
  <c r="M53" i="3" s="1"/>
  <c r="N53" i="3" s="1"/>
  <c r="L54" i="3"/>
  <c r="M54" i="3" s="1"/>
  <c r="N54" i="3" s="1"/>
  <c r="L55" i="3"/>
  <c r="M55" i="3" s="1"/>
  <c r="N55" i="3" s="1"/>
  <c r="L56" i="3"/>
  <c r="M56" i="3" s="1"/>
  <c r="N56" i="3" s="1"/>
  <c r="L57" i="3"/>
  <c r="M57" i="3" s="1"/>
  <c r="N57" i="3" s="1"/>
  <c r="L58" i="3"/>
  <c r="M58" i="3" s="1"/>
  <c r="N58" i="3" s="1"/>
  <c r="P58" i="3" s="1"/>
  <c r="L59" i="3"/>
  <c r="M59" i="3" s="1"/>
  <c r="N59" i="3" s="1"/>
  <c r="O59" i="3" s="1"/>
  <c r="L60" i="3"/>
  <c r="M60" i="3" s="1"/>
  <c r="N60" i="3" s="1"/>
  <c r="L61" i="3"/>
  <c r="M61" i="3" s="1"/>
  <c r="N61" i="3" s="1"/>
  <c r="L62" i="3"/>
  <c r="M62" i="3" s="1"/>
  <c r="N62" i="3" s="1"/>
  <c r="L63" i="3"/>
  <c r="M63" i="3" s="1"/>
  <c r="N63" i="3" s="1"/>
  <c r="L64" i="3"/>
  <c r="M64" i="3" s="1"/>
  <c r="N64" i="3" s="1"/>
  <c r="L65" i="3"/>
  <c r="M65" i="3" s="1"/>
  <c r="N65" i="3" s="1"/>
  <c r="L66" i="3"/>
  <c r="M66" i="3" s="1"/>
  <c r="N66" i="3" s="1"/>
  <c r="L67" i="3"/>
  <c r="M67" i="3" s="1"/>
  <c r="N67" i="3" s="1"/>
  <c r="L68" i="3"/>
  <c r="M68" i="3" s="1"/>
  <c r="N68" i="3" s="1"/>
  <c r="L69" i="3"/>
  <c r="M69" i="3" s="1"/>
  <c r="N69" i="3" s="1"/>
  <c r="L70" i="3"/>
  <c r="M70" i="3" s="1"/>
  <c r="N70" i="3" s="1"/>
  <c r="L71" i="3"/>
  <c r="M71" i="3" s="1"/>
  <c r="N71" i="3" s="1"/>
  <c r="L72" i="3"/>
  <c r="M72" i="3" s="1"/>
  <c r="N72" i="3" s="1"/>
  <c r="P72" i="3" s="1"/>
  <c r="L73" i="3"/>
  <c r="M73" i="3" s="1"/>
  <c r="N73" i="3" s="1"/>
  <c r="O73" i="3" s="1"/>
  <c r="L74" i="3"/>
  <c r="M74" i="3" s="1"/>
  <c r="N74" i="3" s="1"/>
  <c r="L75" i="3"/>
  <c r="M75" i="3" s="1"/>
  <c r="N75" i="3" s="1"/>
  <c r="L76" i="3"/>
  <c r="M76" i="3" s="1"/>
  <c r="N76" i="3" s="1"/>
  <c r="L77" i="3"/>
  <c r="M77" i="3" s="1"/>
  <c r="N77" i="3" s="1"/>
  <c r="L78" i="3"/>
  <c r="M78" i="3" s="1"/>
  <c r="N78" i="3" s="1"/>
  <c r="L79" i="3"/>
  <c r="M79" i="3" s="1"/>
  <c r="N79" i="3" s="1"/>
  <c r="L80" i="3"/>
  <c r="M80" i="3" s="1"/>
  <c r="N80" i="3" s="1"/>
  <c r="L81" i="3"/>
  <c r="M81" i="3" s="1"/>
  <c r="N81" i="3" s="1"/>
  <c r="L82" i="3"/>
  <c r="M82" i="3" s="1"/>
  <c r="N82" i="3" s="1"/>
  <c r="L83" i="3"/>
  <c r="M83" i="3" s="1"/>
  <c r="N83" i="3" s="1"/>
  <c r="L84" i="3"/>
  <c r="M84" i="3" s="1"/>
  <c r="N84" i="3" s="1"/>
  <c r="P84" i="3" s="1"/>
  <c r="L85" i="3"/>
  <c r="M85" i="3" s="1"/>
  <c r="N85" i="3" s="1"/>
  <c r="O85" i="3" s="1"/>
  <c r="L86" i="3"/>
  <c r="M86" i="3" s="1"/>
  <c r="N86" i="3" s="1"/>
  <c r="L87" i="3"/>
  <c r="M87" i="3" s="1"/>
  <c r="N87" i="3" s="1"/>
  <c r="L88" i="3"/>
  <c r="M88" i="3" s="1"/>
  <c r="N88" i="3" s="1"/>
  <c r="L89" i="3"/>
  <c r="M89" i="3" s="1"/>
  <c r="N89" i="3" s="1"/>
  <c r="L90" i="3"/>
  <c r="M90" i="3" s="1"/>
  <c r="N90" i="3" s="1"/>
  <c r="L91" i="3"/>
  <c r="M91" i="3" s="1"/>
  <c r="N91" i="3" s="1"/>
  <c r="L92" i="3"/>
  <c r="M92" i="3" s="1"/>
  <c r="N92" i="3" s="1"/>
  <c r="L93" i="3"/>
  <c r="M93" i="3" s="1"/>
  <c r="N93" i="3" s="1"/>
  <c r="L94" i="3"/>
  <c r="M94" i="3" s="1"/>
  <c r="N94" i="3" s="1"/>
  <c r="P94" i="3" s="1"/>
  <c r="L95" i="3"/>
  <c r="M95" i="3" s="1"/>
  <c r="N95" i="3" s="1"/>
  <c r="O95" i="3" s="1"/>
  <c r="L96" i="3"/>
  <c r="M96" i="3" s="1"/>
  <c r="N96" i="3" s="1"/>
  <c r="L97" i="3"/>
  <c r="M97" i="3" s="1"/>
  <c r="N97" i="3" s="1"/>
  <c r="L98" i="3"/>
  <c r="M98" i="3" s="1"/>
  <c r="N98" i="3" s="1"/>
  <c r="L99" i="3"/>
  <c r="M99" i="3" s="1"/>
  <c r="N99" i="3" s="1"/>
  <c r="L100" i="3"/>
  <c r="M100" i="3" s="1"/>
  <c r="N100" i="3" s="1"/>
  <c r="L101" i="3"/>
  <c r="M101" i="3" s="1"/>
  <c r="N101" i="3" s="1"/>
  <c r="L102" i="3"/>
  <c r="M102" i="3" s="1"/>
  <c r="N102" i="3" s="1"/>
  <c r="L103" i="3"/>
  <c r="M103" i="3" s="1"/>
  <c r="N103" i="3" s="1"/>
  <c r="L104" i="3"/>
  <c r="M104" i="3" s="1"/>
  <c r="N104" i="3" s="1"/>
  <c r="L105" i="3"/>
  <c r="M105" i="3" s="1"/>
  <c r="N105" i="3" s="1"/>
  <c r="L106" i="3"/>
  <c r="M106" i="3" s="1"/>
  <c r="N106" i="3" s="1"/>
  <c r="L107" i="3"/>
  <c r="M107" i="3" s="1"/>
  <c r="N107" i="3" s="1"/>
  <c r="L108" i="3"/>
  <c r="M108" i="3" s="1"/>
  <c r="N108" i="3" s="1"/>
  <c r="L109" i="3"/>
  <c r="M109" i="3" s="1"/>
  <c r="N109" i="3" s="1"/>
  <c r="L110" i="3"/>
  <c r="M110" i="3" s="1"/>
  <c r="N110" i="3" s="1"/>
  <c r="P110" i="3" s="1"/>
  <c r="L111" i="3"/>
  <c r="M111" i="3" s="1"/>
  <c r="N111" i="3" s="1"/>
  <c r="O111" i="3" s="1"/>
  <c r="L112" i="3"/>
  <c r="M112" i="3" s="1"/>
  <c r="N112" i="3" s="1"/>
  <c r="L113" i="3"/>
  <c r="M113" i="3" s="1"/>
  <c r="N113" i="3" s="1"/>
  <c r="L114" i="3"/>
  <c r="M114" i="3" s="1"/>
  <c r="N114" i="3" s="1"/>
  <c r="L115" i="3"/>
  <c r="M115" i="3" s="1"/>
  <c r="N115" i="3" s="1"/>
  <c r="L116" i="3"/>
  <c r="M116" i="3" s="1"/>
  <c r="N116" i="3" s="1"/>
  <c r="L117" i="3"/>
  <c r="M117" i="3" s="1"/>
  <c r="N117" i="3" s="1"/>
  <c r="L118" i="3"/>
  <c r="M118" i="3" s="1"/>
  <c r="N118" i="3" s="1"/>
  <c r="L119" i="3"/>
  <c r="M119" i="3" s="1"/>
  <c r="N119" i="3" s="1"/>
  <c r="L120" i="3"/>
  <c r="M120" i="3" s="1"/>
  <c r="N120" i="3" s="1"/>
  <c r="L121" i="3"/>
  <c r="M121" i="3" s="1"/>
  <c r="N121" i="3" s="1"/>
  <c r="L122" i="3"/>
  <c r="M122" i="3" s="1"/>
  <c r="N122" i="3" s="1"/>
  <c r="P122" i="3" s="1"/>
  <c r="L123" i="3"/>
  <c r="M123" i="3" s="1"/>
  <c r="N123" i="3" s="1"/>
  <c r="L124" i="3"/>
  <c r="M124" i="3" s="1"/>
  <c r="N124" i="3" s="1"/>
  <c r="L125" i="3"/>
  <c r="M125" i="3" s="1"/>
  <c r="N125" i="3" s="1"/>
  <c r="L126" i="3"/>
  <c r="M126" i="3" s="1"/>
  <c r="N126" i="3" s="1"/>
  <c r="L127" i="3"/>
  <c r="M127" i="3" s="1"/>
  <c r="N127" i="3" s="1"/>
  <c r="L128" i="3"/>
  <c r="M128" i="3" s="1"/>
  <c r="N128" i="3" s="1"/>
  <c r="L129" i="3"/>
  <c r="M129" i="3" s="1"/>
  <c r="N129" i="3" s="1"/>
  <c r="O129" i="3" s="1"/>
  <c r="L130" i="3"/>
  <c r="M130" i="3" s="1"/>
  <c r="N130" i="3" s="1"/>
  <c r="L131" i="3"/>
  <c r="M131" i="3" s="1"/>
  <c r="N131" i="3" s="1"/>
  <c r="L132" i="3"/>
  <c r="M132" i="3" s="1"/>
  <c r="N132" i="3" s="1"/>
  <c r="L133" i="3"/>
  <c r="M133" i="3" s="1"/>
  <c r="N133" i="3" s="1"/>
  <c r="L134" i="3"/>
  <c r="M134" i="3" s="1"/>
  <c r="N134" i="3" s="1"/>
  <c r="L135" i="3"/>
  <c r="M135" i="3" s="1"/>
  <c r="N135" i="3" s="1"/>
  <c r="M6" i="3"/>
  <c r="N6" i="3" s="1"/>
  <c r="P6" i="3" s="1"/>
  <c r="H14" i="3"/>
  <c r="H16" i="3"/>
  <c r="H18" i="3"/>
  <c r="H20" i="3"/>
  <c r="H30" i="3"/>
  <c r="H32" i="3"/>
  <c r="H36" i="3"/>
  <c r="H44" i="3"/>
  <c r="H48" i="3"/>
  <c r="H58" i="3"/>
  <c r="H88" i="3"/>
  <c r="H94" i="3"/>
  <c r="H104" i="3"/>
  <c r="H106" i="3"/>
  <c r="H110" i="3"/>
  <c r="H118" i="3"/>
  <c r="H122" i="3"/>
  <c r="H6" i="3"/>
  <c r="G135" i="3"/>
  <c r="F134" i="3"/>
  <c r="G133" i="3"/>
  <c r="F132" i="3"/>
  <c r="G131" i="3"/>
  <c r="F130" i="3"/>
  <c r="G129" i="3"/>
  <c r="F128" i="3"/>
  <c r="F126" i="3"/>
  <c r="G125" i="3"/>
  <c r="F124" i="3"/>
  <c r="G123" i="3"/>
  <c r="F122" i="3"/>
  <c r="F120" i="3"/>
  <c r="G119" i="3"/>
  <c r="F118" i="3"/>
  <c r="G117" i="3"/>
  <c r="F116" i="3"/>
  <c r="G115" i="3"/>
  <c r="F114" i="3"/>
  <c r="G113" i="3"/>
  <c r="F112" i="3"/>
  <c r="G111" i="3"/>
  <c r="F110" i="3"/>
  <c r="F108" i="3"/>
  <c r="G107" i="3"/>
  <c r="F106" i="3"/>
  <c r="G105" i="3"/>
  <c r="F104" i="3"/>
  <c r="G103" i="3"/>
  <c r="F102" i="3"/>
  <c r="G101" i="3"/>
  <c r="F100" i="3"/>
  <c r="G99" i="3"/>
  <c r="F98" i="3"/>
  <c r="G97" i="3"/>
  <c r="F96" i="3"/>
  <c r="G95" i="3"/>
  <c r="G93" i="3"/>
  <c r="F92" i="3"/>
  <c r="G91" i="3"/>
  <c r="F90" i="3"/>
  <c r="G89" i="3"/>
  <c r="F88" i="3"/>
  <c r="G87" i="3"/>
  <c r="F86" i="3"/>
  <c r="G85" i="3"/>
  <c r="F84" i="3"/>
  <c r="G83" i="3"/>
  <c r="F82" i="3"/>
  <c r="G81" i="3"/>
  <c r="F80" i="3"/>
  <c r="F78" i="3"/>
  <c r="G77" i="3"/>
  <c r="F76" i="3"/>
  <c r="G75" i="3"/>
  <c r="F74" i="3"/>
  <c r="F72" i="3"/>
  <c r="G71" i="3"/>
  <c r="F70" i="3"/>
  <c r="G69" i="3"/>
  <c r="F68" i="3"/>
  <c r="G67" i="3"/>
  <c r="F66" i="3"/>
  <c r="F64" i="3"/>
  <c r="G63" i="3"/>
  <c r="F62" i="3"/>
  <c r="G61" i="3"/>
  <c r="F60" i="3"/>
  <c r="G59" i="3"/>
  <c r="F58" i="3"/>
  <c r="G57" i="3"/>
  <c r="F56" i="3"/>
  <c r="G55" i="3"/>
  <c r="F54" i="3"/>
  <c r="G53" i="3"/>
  <c r="F52" i="3"/>
  <c r="F50" i="3"/>
  <c r="G49" i="3"/>
  <c r="F48" i="3"/>
  <c r="G47" i="3"/>
  <c r="F46" i="3"/>
  <c r="G45" i="3"/>
  <c r="F44" i="3"/>
  <c r="G43" i="3"/>
  <c r="F42" i="3"/>
  <c r="G41" i="3"/>
  <c r="F40" i="3"/>
  <c r="G39" i="3"/>
  <c r="F38" i="3"/>
  <c r="F36" i="3"/>
  <c r="G35" i="3"/>
  <c r="F34" i="3"/>
  <c r="G33" i="3"/>
  <c r="F32" i="3"/>
  <c r="G31" i="3"/>
  <c r="F30" i="3"/>
  <c r="G29" i="3"/>
  <c r="F28" i="3"/>
  <c r="G27" i="3"/>
  <c r="F26" i="3"/>
  <c r="G25" i="3"/>
  <c r="F24" i="3"/>
  <c r="F22" i="3"/>
  <c r="G21" i="3"/>
  <c r="F20" i="3"/>
  <c r="G19" i="3"/>
  <c r="G17" i="3"/>
  <c r="F16" i="3"/>
  <c r="G15" i="3"/>
  <c r="F14" i="3"/>
  <c r="G13" i="3"/>
  <c r="F12" i="3"/>
  <c r="G11" i="3"/>
  <c r="F10" i="3"/>
  <c r="G9" i="3"/>
  <c r="F8" i="3"/>
  <c r="F6" i="3"/>
  <c r="B23" i="2"/>
  <c r="B22" i="2"/>
  <c r="B54" i="1"/>
  <c r="B32" i="1"/>
  <c r="B30" i="1"/>
  <c r="B29" i="1"/>
  <c r="B31" i="1" s="1"/>
  <c r="B27" i="1"/>
  <c r="B28" i="1" s="1"/>
  <c r="B37" i="1" s="1"/>
  <c r="C13" i="1"/>
  <c r="B13" i="1"/>
  <c r="Y68" i="3" l="1"/>
  <c r="Z68" i="3" s="1"/>
  <c r="Y118" i="3"/>
  <c r="Z118" i="3" s="1"/>
  <c r="Y79" i="3"/>
  <c r="Z79" i="3" s="1"/>
  <c r="Y110" i="3"/>
  <c r="Z110" i="3" s="1"/>
  <c r="AA118" i="9"/>
  <c r="AB118" i="9" s="1"/>
  <c r="AA135" i="9"/>
  <c r="AB135" i="9" s="1"/>
  <c r="AA67" i="9"/>
  <c r="AB67" i="9" s="1"/>
  <c r="AA122" i="9"/>
  <c r="AB122" i="9" s="1"/>
  <c r="AA124" i="9"/>
  <c r="AB124" i="9" s="1"/>
  <c r="AA53" i="9"/>
  <c r="AB53" i="9" s="1"/>
  <c r="AA21" i="9"/>
  <c r="AB21" i="9" s="1"/>
  <c r="AA101" i="9"/>
  <c r="AB101" i="9" s="1"/>
  <c r="AA133" i="9"/>
  <c r="AB133" i="9" s="1"/>
  <c r="AA48" i="9"/>
  <c r="AB48" i="9" s="1"/>
  <c r="AA79" i="9"/>
  <c r="AB79" i="9" s="1"/>
  <c r="AA131" i="9"/>
  <c r="AB131" i="9" s="1"/>
  <c r="AA23" i="9"/>
  <c r="AB23" i="9" s="1"/>
  <c r="AA65" i="9"/>
  <c r="AB65" i="9" s="1"/>
  <c r="AA38" i="9"/>
  <c r="AB38" i="9" s="1"/>
  <c r="AA130" i="9"/>
  <c r="AB130" i="9" s="1"/>
  <c r="AA25" i="9"/>
  <c r="AB25" i="9" s="1"/>
  <c r="AA76" i="9"/>
  <c r="AB76" i="9" s="1"/>
  <c r="AA128" i="9"/>
  <c r="AB128" i="9" s="1"/>
  <c r="AA134" i="9"/>
  <c r="AB134" i="9" s="1"/>
  <c r="AA61" i="9"/>
  <c r="AB61" i="9" s="1"/>
  <c r="AA56" i="9"/>
  <c r="AB56" i="9" s="1"/>
  <c r="AA125" i="9"/>
  <c r="AB125" i="9" s="1"/>
  <c r="AA19" i="9"/>
  <c r="AB19" i="9" s="1"/>
  <c r="AA30" i="9"/>
  <c r="AB30" i="9" s="1"/>
  <c r="AA93" i="9"/>
  <c r="AB93" i="9" s="1"/>
  <c r="AA45" i="9"/>
  <c r="AB45" i="9" s="1"/>
  <c r="AA119" i="9"/>
  <c r="AB119" i="9" s="1"/>
  <c r="AA121" i="9"/>
  <c r="AB121" i="9" s="1"/>
  <c r="AA109" i="9"/>
  <c r="AB109" i="9" s="1"/>
  <c r="Y84" i="3"/>
  <c r="Z84" i="3" s="1"/>
  <c r="Y132" i="3"/>
  <c r="Z132" i="3" s="1"/>
  <c r="Y113" i="3"/>
  <c r="Z113" i="3" s="1"/>
  <c r="Y91" i="3"/>
  <c r="Z91" i="3" s="1"/>
  <c r="Y74" i="3"/>
  <c r="Z74" i="3" s="1"/>
  <c r="Y25" i="3"/>
  <c r="Z25" i="3" s="1"/>
  <c r="Y123" i="3"/>
  <c r="Z123" i="3" s="1"/>
  <c r="Y99" i="3"/>
  <c r="Z99" i="3" s="1"/>
  <c r="Y81" i="3"/>
  <c r="Z81" i="3" s="1"/>
  <c r="Y53" i="3"/>
  <c r="Z53" i="3" s="1"/>
  <c r="Y126" i="3"/>
  <c r="Z126" i="3" s="1"/>
  <c r="Y102" i="3"/>
  <c r="Z102" i="3" s="1"/>
  <c r="Y85" i="3"/>
  <c r="Z85" i="3" s="1"/>
  <c r="Y49" i="3"/>
  <c r="Z49" i="3" s="1"/>
  <c r="Y55" i="3"/>
  <c r="Z55" i="3" s="1"/>
  <c r="Y20" i="3"/>
  <c r="Z20" i="3" s="1"/>
  <c r="Y61" i="3"/>
  <c r="Z61" i="3" s="1"/>
  <c r="Y39" i="3"/>
  <c r="Z39" i="3" s="1"/>
  <c r="Y59" i="3"/>
  <c r="Z59" i="3" s="1"/>
  <c r="Y37" i="3"/>
  <c r="Z37" i="3" s="1"/>
  <c r="Y50" i="3"/>
  <c r="Z50" i="3" s="1"/>
  <c r="AA136" i="9"/>
  <c r="AB136" i="9" s="1"/>
  <c r="AA20" i="9"/>
  <c r="AB20" i="9" s="1"/>
  <c r="AA50" i="9"/>
  <c r="AB50" i="9" s="1"/>
  <c r="AA24" i="9"/>
  <c r="AB24" i="9" s="1"/>
  <c r="AA97" i="9"/>
  <c r="AB97" i="9" s="1"/>
  <c r="AA80" i="9"/>
  <c r="AB80" i="9" s="1"/>
  <c r="AA60" i="9"/>
  <c r="AB60" i="9" s="1"/>
  <c r="AA62" i="9"/>
  <c r="AB62" i="9" s="1"/>
  <c r="AA55" i="9"/>
  <c r="AB55" i="9" s="1"/>
  <c r="AA43" i="9"/>
  <c r="AB43" i="9" s="1"/>
  <c r="W4" i="9"/>
  <c r="W5" i="9" s="1"/>
  <c r="AC6" i="9" s="1"/>
  <c r="Y117" i="3"/>
  <c r="Z117" i="3" s="1"/>
  <c r="Y78" i="3"/>
  <c r="Z78" i="3" s="1"/>
  <c r="Y103" i="3"/>
  <c r="Z103" i="3" s="1"/>
  <c r="Y130" i="3"/>
  <c r="Z130" i="3" s="1"/>
  <c r="Y72" i="3"/>
  <c r="Z72" i="3" s="1"/>
  <c r="Y63" i="3"/>
  <c r="Z63" i="3" s="1"/>
  <c r="Y48" i="3"/>
  <c r="Z48" i="3" s="1"/>
  <c r="Y97" i="3"/>
  <c r="Z97" i="3" s="1"/>
  <c r="Y92" i="3"/>
  <c r="Z92" i="3" s="1"/>
  <c r="Y88" i="3"/>
  <c r="Z88" i="3" s="1"/>
  <c r="AA91" i="9"/>
  <c r="AB91" i="9" s="1"/>
  <c r="AA117" i="9"/>
  <c r="AB117" i="9" s="1"/>
  <c r="AA51" i="9"/>
  <c r="AB51" i="9" s="1"/>
  <c r="AA96" i="9"/>
  <c r="AB96" i="9" s="1"/>
  <c r="AA100" i="9"/>
  <c r="AB100" i="9" s="1"/>
  <c r="AA37" i="9"/>
  <c r="AB37" i="9" s="1"/>
  <c r="AA102" i="9"/>
  <c r="AB102" i="9" s="1"/>
  <c r="AA127" i="9"/>
  <c r="AB127" i="9" s="1"/>
  <c r="AA114" i="9"/>
  <c r="AB114" i="9" s="1"/>
  <c r="AA132" i="9"/>
  <c r="AB132" i="9" s="1"/>
  <c r="AA63" i="9"/>
  <c r="AB63" i="9" s="1"/>
  <c r="AA116" i="9"/>
  <c r="AB116" i="9" s="1"/>
  <c r="AA115" i="9"/>
  <c r="AB115" i="9" s="1"/>
  <c r="AA49" i="9"/>
  <c r="AB49" i="9" s="1"/>
  <c r="AA85" i="9"/>
  <c r="AB85" i="9" s="1"/>
  <c r="AA110" i="9"/>
  <c r="AB110" i="9" s="1"/>
  <c r="AA129" i="9"/>
  <c r="AB129" i="9" s="1"/>
  <c r="AA59" i="9"/>
  <c r="AB59" i="9" s="1"/>
  <c r="AA112" i="9"/>
  <c r="AB112" i="9" s="1"/>
  <c r="AA111" i="9"/>
  <c r="AB111" i="9" s="1"/>
  <c r="AA41" i="9"/>
  <c r="AB41" i="9" s="1"/>
  <c r="AA126" i="9"/>
  <c r="AB126" i="9" s="1"/>
  <c r="AA54" i="9"/>
  <c r="AB54" i="9" s="1"/>
  <c r="AA27" i="9"/>
  <c r="AB27" i="9" s="1"/>
  <c r="AA57" i="9"/>
  <c r="AB57" i="9" s="1"/>
  <c r="AA44" i="9"/>
  <c r="AB44" i="9" s="1"/>
  <c r="AA70" i="9"/>
  <c r="AB70" i="9" s="1"/>
  <c r="AA47" i="9"/>
  <c r="AB47" i="9" s="1"/>
  <c r="AA106" i="9"/>
  <c r="AB106" i="9" s="1"/>
  <c r="AA108" i="9"/>
  <c r="AB108" i="9" s="1"/>
  <c r="Y64" i="3"/>
  <c r="Z64" i="3" s="1"/>
  <c r="Y128" i="3"/>
  <c r="Z128" i="3" s="1"/>
  <c r="Y104" i="3"/>
  <c r="Z104" i="3" s="1"/>
  <c r="Y87" i="3"/>
  <c r="Z87" i="3" s="1"/>
  <c r="Y67" i="3"/>
  <c r="Z67" i="3" s="1"/>
  <c r="Y135" i="3"/>
  <c r="Z135" i="3" s="1"/>
  <c r="Y116" i="3"/>
  <c r="Z116" i="3" s="1"/>
  <c r="Y95" i="3"/>
  <c r="Z95" i="3" s="1"/>
  <c r="Y77" i="3"/>
  <c r="Z77" i="3" s="1"/>
  <c r="Y23" i="3"/>
  <c r="Z23" i="3" s="1"/>
  <c r="Y122" i="3"/>
  <c r="Z122" i="3" s="1"/>
  <c r="Y98" i="3"/>
  <c r="Z98" i="3" s="1"/>
  <c r="Y80" i="3"/>
  <c r="Z80" i="3" s="1"/>
  <c r="Y62" i="3"/>
  <c r="Z62" i="3" s="1"/>
  <c r="Y42" i="3"/>
  <c r="Z42" i="3" s="1"/>
  <c r="Y60" i="3"/>
  <c r="Z60" i="3" s="1"/>
  <c r="Y56" i="3"/>
  <c r="Z56" i="3" s="1"/>
  <c r="Y35" i="3"/>
  <c r="Z35" i="3" s="1"/>
  <c r="Y54" i="3"/>
  <c r="Z54" i="3" s="1"/>
  <c r="Y33" i="3"/>
  <c r="Z33" i="3" s="1"/>
  <c r="Y52" i="3"/>
  <c r="Z52" i="3" s="1"/>
  <c r="Y24" i="3"/>
  <c r="Z24" i="3" s="1"/>
  <c r="Y129" i="3"/>
  <c r="Z129" i="3" s="1"/>
  <c r="AA81" i="9"/>
  <c r="AB81" i="9" s="1"/>
  <c r="AA72" i="9"/>
  <c r="AB72" i="9" s="1"/>
  <c r="AA26" i="9"/>
  <c r="AB26" i="9" s="1"/>
  <c r="AA34" i="9"/>
  <c r="AB34" i="9" s="1"/>
  <c r="AA74" i="9"/>
  <c r="AB74" i="9" s="1"/>
  <c r="AA90" i="9"/>
  <c r="AB90" i="9" s="1"/>
  <c r="AA77" i="9"/>
  <c r="AB77" i="9" s="1"/>
  <c r="AA58" i="9"/>
  <c r="AB58" i="9" s="1"/>
  <c r="AA69" i="9"/>
  <c r="AB69" i="9" s="1"/>
  <c r="AA105" i="9"/>
  <c r="AB105" i="9" s="1"/>
  <c r="Y136" i="3"/>
  <c r="Z136" i="3" s="1"/>
  <c r="Y96" i="3"/>
  <c r="Z96" i="3" s="1"/>
  <c r="Y127" i="3"/>
  <c r="Z127" i="3" s="1"/>
  <c r="Y66" i="3"/>
  <c r="Z66" i="3" s="1"/>
  <c r="Y89" i="3"/>
  <c r="Z89" i="3" s="1"/>
  <c r="Y38" i="3"/>
  <c r="Z38" i="3" s="1"/>
  <c r="Y41" i="3"/>
  <c r="Z41" i="3" s="1"/>
  <c r="Y114" i="3"/>
  <c r="Z114" i="3" s="1"/>
  <c r="Y75" i="3"/>
  <c r="Z75" i="3" s="1"/>
  <c r="Y65" i="3"/>
  <c r="Z65" i="3" s="1"/>
  <c r="AA68" i="9"/>
  <c r="AB68" i="9" s="1"/>
  <c r="AA99" i="9"/>
  <c r="AB99" i="9" s="1"/>
  <c r="AA36" i="9"/>
  <c r="AB36" i="9" s="1"/>
  <c r="AA78" i="9"/>
  <c r="AB78" i="9" s="1"/>
  <c r="AA84" i="9"/>
  <c r="AB84" i="9" s="1"/>
  <c r="AA22" i="9"/>
  <c r="AB22" i="9" s="1"/>
  <c r="AA73" i="9"/>
  <c r="AB73" i="9" s="1"/>
  <c r="AA75" i="9"/>
  <c r="AB75" i="9" s="1"/>
  <c r="AA87" i="9"/>
  <c r="AB87" i="9" s="1"/>
  <c r="AA113" i="9"/>
  <c r="AB113" i="9" s="1"/>
  <c r="AA42" i="9"/>
  <c r="AB42" i="9" s="1"/>
  <c r="AA94" i="9"/>
  <c r="AB94" i="9" s="1"/>
  <c r="AA98" i="9"/>
  <c r="AB98" i="9" s="1"/>
  <c r="AA35" i="9"/>
  <c r="AB35" i="9" s="1"/>
  <c r="AA88" i="9"/>
  <c r="AB88" i="9" s="1"/>
  <c r="AA82" i="9"/>
  <c r="AB82" i="9" s="1"/>
  <c r="AA104" i="9"/>
  <c r="AB104" i="9" s="1"/>
  <c r="AA40" i="9"/>
  <c r="AB40" i="9" s="1"/>
  <c r="AA89" i="9"/>
  <c r="AB89" i="9" s="1"/>
  <c r="AA92" i="9"/>
  <c r="AB92" i="9" s="1"/>
  <c r="AA33" i="9"/>
  <c r="AB33" i="9" s="1"/>
  <c r="AA86" i="9"/>
  <c r="AB86" i="9" s="1"/>
  <c r="AA103" i="9"/>
  <c r="AB103" i="9" s="1"/>
  <c r="AA28" i="9"/>
  <c r="AB28" i="9" s="1"/>
  <c r="AA31" i="9"/>
  <c r="AB31" i="9" s="1"/>
  <c r="AA83" i="9"/>
  <c r="AB83" i="9" s="1"/>
  <c r="AA71" i="9"/>
  <c r="AB71" i="9" s="1"/>
  <c r="AA120" i="9"/>
  <c r="AB120" i="9" s="1"/>
  <c r="AA107" i="9"/>
  <c r="AB107" i="9" s="1"/>
  <c r="Y125" i="3"/>
  <c r="Z125" i="3" s="1"/>
  <c r="Y36" i="3"/>
  <c r="Z36" i="3" s="1"/>
  <c r="Y124" i="3"/>
  <c r="Z124" i="3" s="1"/>
  <c r="Y100" i="3"/>
  <c r="Z100" i="3" s="1"/>
  <c r="Y82" i="3"/>
  <c r="Z82" i="3" s="1"/>
  <c r="Y58" i="3"/>
  <c r="Z58" i="3" s="1"/>
  <c r="Y131" i="3"/>
  <c r="Z131" i="3" s="1"/>
  <c r="Y112" i="3"/>
  <c r="Z112" i="3" s="1"/>
  <c r="Y90" i="3"/>
  <c r="Z90" i="3" s="1"/>
  <c r="Y73" i="3"/>
  <c r="Z73" i="3" s="1"/>
  <c r="Y134" i="3"/>
  <c r="Z134" i="3" s="1"/>
  <c r="Y115" i="3"/>
  <c r="Z115" i="3" s="1"/>
  <c r="Y94" i="3"/>
  <c r="Z94" i="3" s="1"/>
  <c r="Y76" i="3"/>
  <c r="Z76" i="3" s="1"/>
  <c r="Y40" i="3"/>
  <c r="Z40" i="3" s="1"/>
  <c r="Y34" i="3"/>
  <c r="Z34" i="3" s="1"/>
  <c r="Y51" i="3"/>
  <c r="Z51" i="3" s="1"/>
  <c r="Y26" i="3"/>
  <c r="Z26" i="3" s="1"/>
  <c r="Y133" i="3"/>
  <c r="Z133" i="3" s="1"/>
  <c r="AA52" i="9"/>
  <c r="AB52" i="9" s="1"/>
  <c r="AA95" i="9"/>
  <c r="AB95" i="9" s="1"/>
  <c r="AA64" i="9"/>
  <c r="AB64" i="9" s="1"/>
  <c r="AA66" i="9"/>
  <c r="AB66" i="9" s="1"/>
  <c r="AA39" i="9"/>
  <c r="AB39" i="9" s="1"/>
  <c r="AA32" i="9"/>
  <c r="AB32" i="9" s="1"/>
  <c r="AA123" i="9"/>
  <c r="AB123" i="9" s="1"/>
  <c r="AA29" i="9"/>
  <c r="AB29" i="9" s="1"/>
  <c r="AA46" i="9"/>
  <c r="AB46" i="9" s="1"/>
  <c r="Y101" i="3"/>
  <c r="Z101" i="3" s="1"/>
  <c r="Y32" i="3"/>
  <c r="Z32" i="3" s="1"/>
  <c r="Y86" i="3"/>
  <c r="Z86" i="3" s="1"/>
  <c r="Y111" i="3"/>
  <c r="Z111" i="3" s="1"/>
  <c r="Y21" i="3"/>
  <c r="Z21" i="3" s="1"/>
  <c r="Y22" i="3"/>
  <c r="Z22" i="3" s="1"/>
  <c r="F10" i="11"/>
  <c r="F20" i="9"/>
  <c r="O123" i="3"/>
  <c r="Q123" i="3" s="1"/>
  <c r="R123" i="3" s="1"/>
  <c r="O112" i="3"/>
  <c r="Q111" i="3"/>
  <c r="R111" i="3" s="1"/>
  <c r="O96" i="3"/>
  <c r="Q95" i="3"/>
  <c r="R95" i="3" s="1"/>
  <c r="Q59" i="3"/>
  <c r="R59" i="3" s="1"/>
  <c r="O60" i="3"/>
  <c r="O16" i="3"/>
  <c r="Q15" i="3"/>
  <c r="R15" i="3" s="1"/>
  <c r="Q7" i="3"/>
  <c r="R7" i="3" s="1"/>
  <c r="O8" i="3"/>
  <c r="Q129" i="3"/>
  <c r="R129" i="3" s="1"/>
  <c r="O130" i="3"/>
  <c r="Q85" i="3"/>
  <c r="R85" i="3" s="1"/>
  <c r="O86" i="3"/>
  <c r="Q73" i="3"/>
  <c r="R73" i="3" s="1"/>
  <c r="O74" i="3"/>
  <c r="O50" i="3"/>
  <c r="Q49" i="3"/>
  <c r="R49" i="3" s="1"/>
  <c r="O34" i="3"/>
  <c r="Q33" i="3"/>
  <c r="R33" i="3" s="1"/>
  <c r="Q21" i="3"/>
  <c r="R21" i="3" s="1"/>
  <c r="O22" i="3"/>
  <c r="L136" i="3"/>
  <c r="M136" i="3" s="1"/>
  <c r="N136" i="3" s="1"/>
  <c r="AB137" i="9" l="1"/>
  <c r="AD6" i="9"/>
  <c r="AC20" i="9"/>
  <c r="AC7" i="9"/>
  <c r="F84" i="9"/>
  <c r="F32" i="9"/>
  <c r="H20" i="9"/>
  <c r="M20" i="9"/>
  <c r="F42" i="11"/>
  <c r="F16" i="11"/>
  <c r="O35" i="3"/>
  <c r="Q34" i="3"/>
  <c r="R34" i="3" s="1"/>
  <c r="Q112" i="3"/>
  <c r="R112" i="3" s="1"/>
  <c r="O124" i="3"/>
  <c r="Q124" i="3" s="1"/>
  <c r="R124" i="3" s="1"/>
  <c r="O113" i="3"/>
  <c r="O131" i="3"/>
  <c r="Q130" i="3"/>
  <c r="R130" i="3" s="1"/>
  <c r="O61" i="3"/>
  <c r="Q60" i="3"/>
  <c r="R60" i="3" s="1"/>
  <c r="O87" i="3"/>
  <c r="Q86" i="3"/>
  <c r="R86" i="3" s="1"/>
  <c r="O75" i="3"/>
  <c r="Q74" i="3"/>
  <c r="R74" i="3" s="1"/>
  <c r="O9" i="3"/>
  <c r="Q8" i="3"/>
  <c r="R8" i="3" s="1"/>
  <c r="O23" i="3"/>
  <c r="Q22" i="3"/>
  <c r="R22" i="3" s="1"/>
  <c r="O51" i="3"/>
  <c r="Q50" i="3"/>
  <c r="R50" i="3" s="1"/>
  <c r="O17" i="3"/>
  <c r="Q16" i="3"/>
  <c r="R16" i="3" s="1"/>
  <c r="Q96" i="3"/>
  <c r="R96" i="3" s="1"/>
  <c r="O97" i="3"/>
  <c r="AC8" i="9" l="1"/>
  <c r="AD7" i="9"/>
  <c r="AC21" i="9"/>
  <c r="AD21" i="9" s="1"/>
  <c r="H32" i="9"/>
  <c r="M32" i="9"/>
  <c r="N32" i="9" s="1"/>
  <c r="O32" i="9" s="1"/>
  <c r="Q32" i="9" s="1"/>
  <c r="AC32" i="9"/>
  <c r="AD20" i="9"/>
  <c r="M84" i="9"/>
  <c r="N84" i="9" s="1"/>
  <c r="O84" i="9" s="1"/>
  <c r="Q84" i="9" s="1"/>
  <c r="H84" i="9"/>
  <c r="N20" i="9"/>
  <c r="O20" i="9" s="1"/>
  <c r="Q20" i="9" s="1"/>
  <c r="M136" i="9"/>
  <c r="N136" i="9" s="1"/>
  <c r="B11" i="4"/>
  <c r="B6" i="8"/>
  <c r="B11" i="13"/>
  <c r="O62" i="3"/>
  <c r="Q61" i="3"/>
  <c r="R61" i="3" s="1"/>
  <c r="O24" i="3"/>
  <c r="Q23" i="3"/>
  <c r="R23" i="3" s="1"/>
  <c r="Q87" i="3"/>
  <c r="R87" i="3" s="1"/>
  <c r="O88" i="3"/>
  <c r="O98" i="3"/>
  <c r="Q97" i="3"/>
  <c r="R97" i="3" s="1"/>
  <c r="O76" i="3"/>
  <c r="Q75" i="3"/>
  <c r="R75" i="3" s="1"/>
  <c r="O52" i="3"/>
  <c r="Q51" i="3"/>
  <c r="R51" i="3" s="1"/>
  <c r="O10" i="3"/>
  <c r="Q9" i="3"/>
  <c r="R9" i="3" s="1"/>
  <c r="O132" i="3"/>
  <c r="Q131" i="3"/>
  <c r="R131" i="3" s="1"/>
  <c r="O18" i="3"/>
  <c r="Q17" i="3"/>
  <c r="R17" i="3" s="1"/>
  <c r="O114" i="3"/>
  <c r="O125" i="3"/>
  <c r="Q125" i="3" s="1"/>
  <c r="R125" i="3" s="1"/>
  <c r="Q113" i="3"/>
  <c r="R113" i="3" s="1"/>
  <c r="O36" i="3"/>
  <c r="Q35" i="3"/>
  <c r="R35" i="3" s="1"/>
  <c r="B9" i="8" l="1"/>
  <c r="B10" i="8" s="1"/>
  <c r="B8" i="8"/>
  <c r="AC33" i="9"/>
  <c r="AC48" i="9"/>
  <c r="AD32" i="9"/>
  <c r="B14" i="13"/>
  <c r="B12" i="13"/>
  <c r="B13" i="13" s="1"/>
  <c r="B9" i="5"/>
  <c r="O136" i="9"/>
  <c r="Q136" i="9"/>
  <c r="B16" i="10" s="1"/>
  <c r="AC9" i="9"/>
  <c r="AD8" i="9"/>
  <c r="AC22" i="9"/>
  <c r="AD22" i="9" s="1"/>
  <c r="Q114" i="3"/>
  <c r="R114" i="3" s="1"/>
  <c r="O126" i="3"/>
  <c r="Q126" i="3" s="1"/>
  <c r="R126" i="3" s="1"/>
  <c r="O115" i="3"/>
  <c r="O133" i="3"/>
  <c r="Q132" i="3"/>
  <c r="R132" i="3" s="1"/>
  <c r="O53" i="3"/>
  <c r="Q52" i="3"/>
  <c r="R52" i="3" s="1"/>
  <c r="O99" i="3"/>
  <c r="Q98" i="3"/>
  <c r="R98" i="3" s="1"/>
  <c r="O25" i="3"/>
  <c r="Q24" i="3"/>
  <c r="R24" i="3" s="1"/>
  <c r="O37" i="3"/>
  <c r="Q36" i="3"/>
  <c r="R36" i="3" s="1"/>
  <c r="Q88" i="3"/>
  <c r="R88" i="3" s="1"/>
  <c r="O89" i="3"/>
  <c r="O19" i="3"/>
  <c r="W19" i="3" s="1"/>
  <c r="X19" i="3" s="1"/>
  <c r="Y19" i="3" s="1"/>
  <c r="Z19" i="3" s="1"/>
  <c r="Q18" i="3"/>
  <c r="R18" i="3" s="1"/>
  <c r="O11" i="3"/>
  <c r="Q10" i="3"/>
  <c r="R10" i="3" s="1"/>
  <c r="O77" i="3"/>
  <c r="Q76" i="3"/>
  <c r="R76" i="3" s="1"/>
  <c r="O63" i="3"/>
  <c r="Q62" i="3"/>
  <c r="R62" i="3" s="1"/>
  <c r="AC10" i="9" l="1"/>
  <c r="AD9" i="9"/>
  <c r="AC23" i="9"/>
  <c r="AD23" i="9" s="1"/>
  <c r="AC34" i="9"/>
  <c r="AD33" i="9"/>
  <c r="AC49" i="9"/>
  <c r="AD49" i="9" s="1"/>
  <c r="B3" i="4"/>
  <c r="B3" i="13"/>
  <c r="B13" i="10"/>
  <c r="B14" i="10"/>
  <c r="B15" i="13"/>
  <c r="B28" i="13"/>
  <c r="B29" i="13" s="1"/>
  <c r="B10" i="5"/>
  <c r="B27" i="4"/>
  <c r="B28" i="4" s="1"/>
  <c r="AD48" i="9"/>
  <c r="AC58" i="9"/>
  <c r="O134" i="3"/>
  <c r="Q133" i="3"/>
  <c r="R133" i="3" s="1"/>
  <c r="O64" i="3"/>
  <c r="Q63" i="3"/>
  <c r="R63" i="3" s="1"/>
  <c r="O90" i="3"/>
  <c r="Q89" i="3"/>
  <c r="R89" i="3" s="1"/>
  <c r="O116" i="3"/>
  <c r="O127" i="3"/>
  <c r="Q115" i="3"/>
  <c r="R115" i="3" s="1"/>
  <c r="O38" i="3"/>
  <c r="Q37" i="3"/>
  <c r="R37" i="3" s="1"/>
  <c r="O12" i="3"/>
  <c r="Q11" i="3"/>
  <c r="R11" i="3" s="1"/>
  <c r="O26" i="3"/>
  <c r="Q25" i="3"/>
  <c r="R25" i="3" s="1"/>
  <c r="O54" i="3"/>
  <c r="Q53" i="3"/>
  <c r="R53" i="3" s="1"/>
  <c r="O100" i="3"/>
  <c r="Q99" i="3"/>
  <c r="R99" i="3" s="1"/>
  <c r="O78" i="3"/>
  <c r="Q77" i="3"/>
  <c r="R77" i="3" s="1"/>
  <c r="B4" i="13" l="1"/>
  <c r="B5" i="13"/>
  <c r="B6" i="13"/>
  <c r="AC35" i="9"/>
  <c r="AD34" i="9"/>
  <c r="AC50" i="9"/>
  <c r="AD50" i="9" s="1"/>
  <c r="B26" i="4"/>
  <c r="B29" i="4" s="1"/>
  <c r="B27" i="13"/>
  <c r="B30" i="13" s="1"/>
  <c r="AC72" i="9"/>
  <c r="AC59" i="9"/>
  <c r="AD58" i="9"/>
  <c r="AD10" i="9"/>
  <c r="AC11" i="9"/>
  <c r="AC24" i="9"/>
  <c r="AD24" i="9" s="1"/>
  <c r="O101" i="3"/>
  <c r="Q100" i="3"/>
  <c r="R100" i="3" s="1"/>
  <c r="O55" i="3"/>
  <c r="Q54" i="3"/>
  <c r="R54" i="3" s="1"/>
  <c r="O13" i="3"/>
  <c r="Q12" i="3"/>
  <c r="R12" i="3" s="1"/>
  <c r="Q127" i="3"/>
  <c r="R127" i="3" s="1"/>
  <c r="P128" i="3"/>
  <c r="O117" i="3"/>
  <c r="Q116" i="3"/>
  <c r="R116" i="3" s="1"/>
  <c r="O65" i="3"/>
  <c r="Q64" i="3"/>
  <c r="R64" i="3" s="1"/>
  <c r="O79" i="3"/>
  <c r="Q78" i="3"/>
  <c r="R78" i="3" s="1"/>
  <c r="O27" i="3"/>
  <c r="Q26" i="3"/>
  <c r="R26" i="3" s="1"/>
  <c r="O39" i="3"/>
  <c r="Q38" i="3"/>
  <c r="R38" i="3" s="1"/>
  <c r="O91" i="3"/>
  <c r="Q90" i="3"/>
  <c r="R90" i="3" s="1"/>
  <c r="O135" i="3"/>
  <c r="Q135" i="3" s="1"/>
  <c r="R135" i="3" s="1"/>
  <c r="Q134" i="3"/>
  <c r="R134" i="3" s="1"/>
  <c r="B7" i="13" l="1"/>
  <c r="B8" i="13" s="1"/>
  <c r="G8" i="13" s="1"/>
  <c r="F8" i="13" s="1"/>
  <c r="B25" i="13"/>
  <c r="B34" i="13" s="1"/>
  <c r="AD11" i="9"/>
  <c r="AC25" i="9"/>
  <c r="AD25" i="9" s="1"/>
  <c r="AC12" i="9"/>
  <c r="AD59" i="9"/>
  <c r="AC60" i="9"/>
  <c r="AD35" i="9"/>
  <c r="AC51" i="9"/>
  <c r="AD51" i="9" s="1"/>
  <c r="AC36" i="9"/>
  <c r="AC73" i="9"/>
  <c r="AC84" i="9"/>
  <c r="AD72" i="9"/>
  <c r="W27" i="3"/>
  <c r="X27" i="3" s="1"/>
  <c r="Y27" i="3" s="1"/>
  <c r="Z27" i="3" s="1"/>
  <c r="Q27" i="3"/>
  <c r="R27" i="3" s="1"/>
  <c r="O92" i="3"/>
  <c r="Q91" i="3"/>
  <c r="R91" i="3" s="1"/>
  <c r="O28" i="3"/>
  <c r="O66" i="3"/>
  <c r="Q65" i="3"/>
  <c r="R65" i="3" s="1"/>
  <c r="O56" i="3"/>
  <c r="Q55" i="3"/>
  <c r="R55" i="3" s="1"/>
  <c r="O40" i="3"/>
  <c r="Q39" i="3"/>
  <c r="R39" i="3" s="1"/>
  <c r="O80" i="3"/>
  <c r="Q79" i="3"/>
  <c r="R79" i="3" s="1"/>
  <c r="O118" i="3"/>
  <c r="Q117" i="3"/>
  <c r="R117" i="3" s="1"/>
  <c r="Q13" i="3"/>
  <c r="R13" i="3" s="1"/>
  <c r="P14" i="3"/>
  <c r="P136" i="3" s="1"/>
  <c r="O102" i="3"/>
  <c r="Q101" i="3"/>
  <c r="R101" i="3" s="1"/>
  <c r="AD84" i="9" l="1"/>
  <c r="AC94" i="9"/>
  <c r="AC85" i="9"/>
  <c r="AD36" i="9"/>
  <c r="AC52" i="9"/>
  <c r="AD52" i="9" s="1"/>
  <c r="AC37" i="9"/>
  <c r="AD73" i="9"/>
  <c r="AC74" i="9"/>
  <c r="AD60" i="9"/>
  <c r="AC61" i="9"/>
  <c r="AC13" i="9"/>
  <c r="AC26" i="9"/>
  <c r="AD12" i="9"/>
  <c r="B6" i="4"/>
  <c r="B24" i="4" s="1"/>
  <c r="B5" i="4"/>
  <c r="B4" i="4"/>
  <c r="O29" i="3"/>
  <c r="W28" i="3"/>
  <c r="X28" i="3" s="1"/>
  <c r="Y28" i="3" s="1"/>
  <c r="Z28" i="3" s="1"/>
  <c r="O103" i="3"/>
  <c r="Q102" i="3"/>
  <c r="R102" i="3" s="1"/>
  <c r="O81" i="3"/>
  <c r="Q80" i="3"/>
  <c r="R80" i="3" s="1"/>
  <c r="O57" i="3"/>
  <c r="W57" i="3" s="1"/>
  <c r="X57" i="3" s="1"/>
  <c r="Y57" i="3" s="1"/>
  <c r="Z57" i="3" s="1"/>
  <c r="Q56" i="3"/>
  <c r="R56" i="3" s="1"/>
  <c r="O119" i="3"/>
  <c r="Q118" i="3"/>
  <c r="R118" i="3" s="1"/>
  <c r="O41" i="3"/>
  <c r="Q40" i="3"/>
  <c r="R40" i="3" s="1"/>
  <c r="O67" i="3"/>
  <c r="Q66" i="3"/>
  <c r="R66" i="3" s="1"/>
  <c r="O93" i="3"/>
  <c r="W93" i="3" s="1"/>
  <c r="X93" i="3" s="1"/>
  <c r="Y93" i="3" s="1"/>
  <c r="Z93" i="3" s="1"/>
  <c r="Q92" i="3"/>
  <c r="R92" i="3" s="1"/>
  <c r="AC14" i="9" l="1"/>
  <c r="AD13" i="9"/>
  <c r="AD85" i="9"/>
  <c r="AC86" i="9"/>
  <c r="AD26" i="9"/>
  <c r="AC27" i="9"/>
  <c r="AD61" i="9"/>
  <c r="AC62" i="9"/>
  <c r="AD37" i="9"/>
  <c r="AC38" i="9"/>
  <c r="AC53" i="9"/>
  <c r="AD53" i="9" s="1"/>
  <c r="AC110" i="9"/>
  <c r="AD94" i="9"/>
  <c r="AC95" i="9"/>
  <c r="AC75" i="9"/>
  <c r="AD74" i="9"/>
  <c r="B34" i="4"/>
  <c r="B18" i="5"/>
  <c r="B7" i="5"/>
  <c r="B7" i="4"/>
  <c r="B8" i="4" s="1"/>
  <c r="O42" i="3"/>
  <c r="Q41" i="3"/>
  <c r="R41" i="3" s="1"/>
  <c r="O104" i="3"/>
  <c r="Q103" i="3"/>
  <c r="R103" i="3" s="1"/>
  <c r="O68" i="3"/>
  <c r="Q67" i="3"/>
  <c r="R67" i="3" s="1"/>
  <c r="O120" i="3"/>
  <c r="W119" i="3"/>
  <c r="X119" i="3" s="1"/>
  <c r="Y119" i="3" s="1"/>
  <c r="Z119" i="3" s="1"/>
  <c r="O82" i="3"/>
  <c r="Q81" i="3"/>
  <c r="R81" i="3" s="1"/>
  <c r="O30" i="3"/>
  <c r="W29" i="3"/>
  <c r="X29" i="3" s="1"/>
  <c r="Y29" i="3" s="1"/>
  <c r="Z29" i="3" s="1"/>
  <c r="AC111" i="9" l="1"/>
  <c r="AC122" i="9"/>
  <c r="AD110" i="9"/>
  <c r="AC63" i="9"/>
  <c r="AD62" i="9"/>
  <c r="AC87" i="9"/>
  <c r="AD86" i="9"/>
  <c r="AC76" i="9"/>
  <c r="AD75" i="9"/>
  <c r="AD95" i="9"/>
  <c r="AC96" i="9"/>
  <c r="AC54" i="9"/>
  <c r="AD54" i="9" s="1"/>
  <c r="AD38" i="9"/>
  <c r="AC39" i="9"/>
  <c r="AC28" i="9"/>
  <c r="AD27" i="9"/>
  <c r="AC15" i="9"/>
  <c r="AD14" i="9"/>
  <c r="B23" i="4"/>
  <c r="B25" i="4" s="1"/>
  <c r="B24" i="13"/>
  <c r="B26" i="13" s="1"/>
  <c r="G9" i="13" s="1"/>
  <c r="F9" i="13" s="1"/>
  <c r="B20" i="5"/>
  <c r="O105" i="3"/>
  <c r="Q104" i="3"/>
  <c r="R104" i="3" s="1"/>
  <c r="O83" i="3"/>
  <c r="W83" i="3" s="1"/>
  <c r="X83" i="3" s="1"/>
  <c r="Y83" i="3" s="1"/>
  <c r="Z83" i="3" s="1"/>
  <c r="Q82" i="3"/>
  <c r="R82" i="3" s="1"/>
  <c r="O69" i="3"/>
  <c r="Q68" i="3"/>
  <c r="R68" i="3" s="1"/>
  <c r="O43" i="3"/>
  <c r="Q43" i="3" s="1"/>
  <c r="R43" i="3" s="1"/>
  <c r="Q42" i="3"/>
  <c r="R42" i="3" s="1"/>
  <c r="O31" i="3"/>
  <c r="W31" i="3" s="1"/>
  <c r="W30" i="3"/>
  <c r="X30" i="3" s="1"/>
  <c r="Y30" i="3" s="1"/>
  <c r="Z30" i="3" s="1"/>
  <c r="O121" i="3"/>
  <c r="W120" i="3"/>
  <c r="X120" i="3" s="1"/>
  <c r="Y120" i="3" s="1"/>
  <c r="Z120" i="3" s="1"/>
  <c r="AD76" i="9" l="1"/>
  <c r="AC77" i="9"/>
  <c r="AD63" i="9"/>
  <c r="AC64" i="9"/>
  <c r="AD28" i="9"/>
  <c r="AC29" i="9"/>
  <c r="AD96" i="9"/>
  <c r="AC97" i="9"/>
  <c r="AD39" i="9"/>
  <c r="AC40" i="9"/>
  <c r="AC55" i="9"/>
  <c r="AD55" i="9" s="1"/>
  <c r="AD87" i="9"/>
  <c r="AC88" i="9"/>
  <c r="AD122" i="9"/>
  <c r="AC123" i="9"/>
  <c r="AC16" i="9"/>
  <c r="AD15" i="9"/>
  <c r="AD111" i="9"/>
  <c r="AC112" i="9"/>
  <c r="B33" i="4"/>
  <c r="B35" i="4" s="1"/>
  <c r="B33" i="13"/>
  <c r="B35" i="13" s="1"/>
  <c r="G10" i="13" s="1"/>
  <c r="F10" i="13" s="1"/>
  <c r="X31" i="3"/>
  <c r="Y31" i="3" s="1"/>
  <c r="Z31" i="3" s="1"/>
  <c r="W121" i="3"/>
  <c r="X121" i="3" s="1"/>
  <c r="Y121" i="3" s="1"/>
  <c r="Z121" i="3" s="1"/>
  <c r="O44" i="3"/>
  <c r="W43" i="3"/>
  <c r="X43" i="3" s="1"/>
  <c r="Y43" i="3" s="1"/>
  <c r="Z43" i="3" s="1"/>
  <c r="O70" i="3"/>
  <c r="W69" i="3"/>
  <c r="X69" i="3" s="1"/>
  <c r="Y69" i="3" s="1"/>
  <c r="Z69" i="3" s="1"/>
  <c r="O106" i="3"/>
  <c r="W105" i="3"/>
  <c r="X105" i="3" s="1"/>
  <c r="Y105" i="3" s="1"/>
  <c r="Z105" i="3" s="1"/>
  <c r="AD112" i="9" l="1"/>
  <c r="AC113" i="9"/>
  <c r="AC124" i="9"/>
  <c r="AD123" i="9"/>
  <c r="AC56" i="9"/>
  <c r="AC41" i="9"/>
  <c r="AD40" i="9"/>
  <c r="AD29" i="9"/>
  <c r="AC30" i="9"/>
  <c r="AD77" i="9"/>
  <c r="AC78" i="9"/>
  <c r="AD16" i="9"/>
  <c r="AC17" i="9"/>
  <c r="AD97" i="9"/>
  <c r="AC98" i="9"/>
  <c r="AD64" i="9"/>
  <c r="AC65" i="9"/>
  <c r="AD88" i="9"/>
  <c r="AC89" i="9"/>
  <c r="O107" i="3"/>
  <c r="W106" i="3"/>
  <c r="X106" i="3" s="1"/>
  <c r="Y106" i="3" s="1"/>
  <c r="Z106" i="3" s="1"/>
  <c r="O45" i="3"/>
  <c r="W44" i="3"/>
  <c r="X44" i="3" s="1"/>
  <c r="Y44" i="3" s="1"/>
  <c r="Z44" i="3" s="1"/>
  <c r="O71" i="3"/>
  <c r="W71" i="3" s="1"/>
  <c r="W70" i="3"/>
  <c r="X70" i="3" s="1"/>
  <c r="Y70" i="3" s="1"/>
  <c r="Z70" i="3" s="1"/>
  <c r="AD65" i="9" l="1"/>
  <c r="AC66" i="9"/>
  <c r="AD30" i="9"/>
  <c r="AC31" i="9"/>
  <c r="AD31" i="9" s="1"/>
  <c r="AD56" i="9"/>
  <c r="AC57" i="9"/>
  <c r="AD57" i="9" s="1"/>
  <c r="AC99" i="9"/>
  <c r="AD98" i="9"/>
  <c r="AD17" i="9"/>
  <c r="AC18" i="9"/>
  <c r="AD89" i="9"/>
  <c r="AC90" i="9"/>
  <c r="AD78" i="9"/>
  <c r="AC79" i="9"/>
  <c r="AD124" i="9"/>
  <c r="AC125" i="9"/>
  <c r="AC42" i="9"/>
  <c r="AD41" i="9"/>
  <c r="AD113" i="9"/>
  <c r="AC114" i="9"/>
  <c r="O46" i="3"/>
  <c r="W45" i="3"/>
  <c r="X45" i="3" s="1"/>
  <c r="Y45" i="3" s="1"/>
  <c r="Z45" i="3" s="1"/>
  <c r="X71" i="3"/>
  <c r="Y71" i="3" s="1"/>
  <c r="Z71" i="3" s="1"/>
  <c r="O108" i="3"/>
  <c r="W107" i="3"/>
  <c r="X107" i="3" s="1"/>
  <c r="Y107" i="3" s="1"/>
  <c r="Z107" i="3" s="1"/>
  <c r="AD42" i="9" l="1"/>
  <c r="AC43" i="9"/>
  <c r="AD114" i="9"/>
  <c r="AC115" i="9"/>
  <c r="AD125" i="9"/>
  <c r="AC126" i="9"/>
  <c r="AD90" i="9"/>
  <c r="AC91" i="9"/>
  <c r="AD99" i="9"/>
  <c r="AC100" i="9"/>
  <c r="AD79" i="9"/>
  <c r="AC80" i="9"/>
  <c r="AD18" i="9"/>
  <c r="AC19" i="9"/>
  <c r="AD19" i="9" s="1"/>
  <c r="AD66" i="9"/>
  <c r="AC67" i="9"/>
  <c r="O109" i="3"/>
  <c r="W109" i="3" s="1"/>
  <c r="W108" i="3"/>
  <c r="X108" i="3" s="1"/>
  <c r="Y108" i="3" s="1"/>
  <c r="Z108" i="3" s="1"/>
  <c r="O47" i="3"/>
  <c r="W46" i="3"/>
  <c r="X46" i="3" s="1"/>
  <c r="Y46" i="3" s="1"/>
  <c r="Z46" i="3" s="1"/>
  <c r="AD67" i="9" l="1"/>
  <c r="AC68" i="9"/>
  <c r="AD80" i="9"/>
  <c r="AC81" i="9"/>
  <c r="AD91" i="9"/>
  <c r="AC92" i="9"/>
  <c r="AD115" i="9"/>
  <c r="AC116" i="9"/>
  <c r="AD100" i="9"/>
  <c r="AC101" i="9"/>
  <c r="AC127" i="9"/>
  <c r="AD126" i="9"/>
  <c r="AD43" i="9"/>
  <c r="AC44" i="9"/>
  <c r="W47" i="3"/>
  <c r="X47" i="3" s="1"/>
  <c r="Y47" i="3" s="1"/>
  <c r="Z47" i="3" s="1"/>
  <c r="U2" i="3"/>
  <c r="U3" i="3" s="1"/>
  <c r="U4" i="3" s="1"/>
  <c r="U5" i="3" s="1"/>
  <c r="X109" i="3"/>
  <c r="Y109" i="3" s="1"/>
  <c r="Z109" i="3" s="1"/>
  <c r="AD116" i="9" l="1"/>
  <c r="AC117" i="9"/>
  <c r="AC82" i="9"/>
  <c r="AD81" i="9"/>
  <c r="AD127" i="9"/>
  <c r="AC128" i="9"/>
  <c r="AC45" i="9"/>
  <c r="AD44" i="9"/>
  <c r="AD101" i="9"/>
  <c r="AC102" i="9"/>
  <c r="AD92" i="9"/>
  <c r="AC93" i="9"/>
  <c r="AD93" i="9" s="1"/>
  <c r="AD68" i="9"/>
  <c r="AC69" i="9"/>
  <c r="AA6" i="3"/>
  <c r="AB6" i="3" s="1"/>
  <c r="B6" i="1"/>
  <c r="Z137" i="3"/>
  <c r="B12" i="4" s="1"/>
  <c r="B13" i="4" s="1"/>
  <c r="AD45" i="9" l="1"/>
  <c r="AC46" i="9"/>
  <c r="AD82" i="9"/>
  <c r="AC83" i="9"/>
  <c r="AD83" i="9" s="1"/>
  <c r="AD69" i="9"/>
  <c r="AC70" i="9"/>
  <c r="AD102" i="9"/>
  <c r="AC103" i="9"/>
  <c r="AC129" i="9"/>
  <c r="AD128" i="9"/>
  <c r="AD117" i="9"/>
  <c r="AC118" i="9"/>
  <c r="AA7" i="3"/>
  <c r="AB7" i="3" s="1"/>
  <c r="AA20" i="3"/>
  <c r="AA32" i="3" s="1"/>
  <c r="AB32" i="3" s="1"/>
  <c r="H4" i="4"/>
  <c r="H5" i="4"/>
  <c r="H3" i="4"/>
  <c r="G3" i="4"/>
  <c r="G4" i="4"/>
  <c r="G5" i="4"/>
  <c r="AA8" i="3" l="1"/>
  <c r="AB8" i="3" s="1"/>
  <c r="AA21" i="3"/>
  <c r="AB21" i="3" s="1"/>
  <c r="AB20" i="3"/>
  <c r="AC119" i="9"/>
  <c r="AD118" i="9"/>
  <c r="AD103" i="9"/>
  <c r="AC104" i="9"/>
  <c r="AD46" i="9"/>
  <c r="AC47" i="9"/>
  <c r="AD47" i="9" s="1"/>
  <c r="AD70" i="9"/>
  <c r="AC71" i="9"/>
  <c r="AD71" i="9" s="1"/>
  <c r="AD129" i="9"/>
  <c r="AC130" i="9"/>
  <c r="AA33" i="3"/>
  <c r="AB33" i="3" s="1"/>
  <c r="AA48" i="3"/>
  <c r="AA58" i="3" s="1"/>
  <c r="AA22" i="3" l="1"/>
  <c r="AB22" i="3" s="1"/>
  <c r="AA9" i="3"/>
  <c r="AB9" i="3" s="1"/>
  <c r="AD130" i="9"/>
  <c r="AC131" i="9"/>
  <c r="AD119" i="9"/>
  <c r="AC120" i="9"/>
  <c r="AD104" i="9"/>
  <c r="AC105" i="9"/>
  <c r="AB48" i="3"/>
  <c r="AB58" i="3"/>
  <c r="AA59" i="3"/>
  <c r="AB59" i="3" s="1"/>
  <c r="AA49" i="3"/>
  <c r="AB49" i="3" s="1"/>
  <c r="AA34" i="3"/>
  <c r="AB34" i="3" s="1"/>
  <c r="AA72" i="3"/>
  <c r="AB72" i="3" s="1"/>
  <c r="AA60" i="3"/>
  <c r="AA10" i="3"/>
  <c r="AB10" i="3" s="1"/>
  <c r="AA23" i="3"/>
  <c r="AB23" i="3" s="1"/>
  <c r="AA35" i="3" l="1"/>
  <c r="AB35" i="3" s="1"/>
  <c r="AD120" i="9"/>
  <c r="AC121" i="9"/>
  <c r="AD121" i="9" s="1"/>
  <c r="AD105" i="9"/>
  <c r="AC106" i="9"/>
  <c r="AC132" i="9"/>
  <c r="AD131" i="9"/>
  <c r="AA50" i="3"/>
  <c r="AB50" i="3" s="1"/>
  <c r="AA84" i="3"/>
  <c r="AB84" i="3" s="1"/>
  <c r="AA73" i="3"/>
  <c r="AA74" i="3" s="1"/>
  <c r="AA61" i="3"/>
  <c r="AB60" i="3"/>
  <c r="AA11" i="3"/>
  <c r="AB11" i="3" s="1"/>
  <c r="AA24" i="3"/>
  <c r="AB24" i="3" s="1"/>
  <c r="AA36" i="3"/>
  <c r="AB36" i="3" s="1"/>
  <c r="AA51" i="3"/>
  <c r="AB51" i="3" s="1"/>
  <c r="AD106" i="9" l="1"/>
  <c r="AC107" i="9"/>
  <c r="AD132" i="9"/>
  <c r="AC133" i="9"/>
  <c r="AB73" i="3"/>
  <c r="AA85" i="3"/>
  <c r="AA86" i="3" s="1"/>
  <c r="AA94" i="3"/>
  <c r="AB94" i="3" s="1"/>
  <c r="AA62" i="3"/>
  <c r="AB61" i="3"/>
  <c r="AA75" i="3"/>
  <c r="AB74" i="3"/>
  <c r="AA12" i="3"/>
  <c r="AB12" i="3" s="1"/>
  <c r="AA25" i="3"/>
  <c r="AB25" i="3" s="1"/>
  <c r="AA37" i="3"/>
  <c r="AB37" i="3" s="1"/>
  <c r="AA52" i="3"/>
  <c r="AB52" i="3" s="1"/>
  <c r="AD133" i="9" l="1"/>
  <c r="AC134" i="9"/>
  <c r="AD107" i="9"/>
  <c r="AC108" i="9"/>
  <c r="AB85" i="3"/>
  <c r="AA95" i="3"/>
  <c r="AB95" i="3" s="1"/>
  <c r="AA110" i="3"/>
  <c r="AB110" i="3" s="1"/>
  <c r="AA87" i="3"/>
  <c r="AB86" i="3"/>
  <c r="AA76" i="3"/>
  <c r="AB75" i="3"/>
  <c r="AA63" i="3"/>
  <c r="AB62" i="3"/>
  <c r="AA38" i="3"/>
  <c r="AB38" i="3" s="1"/>
  <c r="AA53" i="3"/>
  <c r="AB53" i="3" s="1"/>
  <c r="AA13" i="3"/>
  <c r="AA26" i="3"/>
  <c r="AA27" i="3" s="1"/>
  <c r="AD108" i="9" l="1"/>
  <c r="AC109" i="9"/>
  <c r="AD109" i="9" s="1"/>
  <c r="AD134" i="9"/>
  <c r="AC135" i="9"/>
  <c r="AA96" i="3"/>
  <c r="AA97" i="3" s="1"/>
  <c r="AA111" i="3"/>
  <c r="AA112" i="3" s="1"/>
  <c r="AA122" i="3"/>
  <c r="AA123" i="3" s="1"/>
  <c r="AA64" i="3"/>
  <c r="AB63" i="3"/>
  <c r="AB96" i="3"/>
  <c r="AB26" i="3"/>
  <c r="AA14" i="3"/>
  <c r="AB13" i="3"/>
  <c r="AA77" i="3"/>
  <c r="AB76" i="3"/>
  <c r="AA88" i="3"/>
  <c r="AB87" i="3"/>
  <c r="AA39" i="3"/>
  <c r="AB39" i="3" s="1"/>
  <c r="AA54" i="3"/>
  <c r="AB54" i="3" s="1"/>
  <c r="AD135" i="9" l="1"/>
  <c r="AC136" i="9"/>
  <c r="AD136" i="9" s="1"/>
  <c r="AB111" i="3"/>
  <c r="AB122" i="3"/>
  <c r="AA113" i="3"/>
  <c r="AB112" i="3"/>
  <c r="AA65" i="3"/>
  <c r="AB64" i="3"/>
  <c r="AA89" i="3"/>
  <c r="AB88" i="3"/>
  <c r="AA15" i="3"/>
  <c r="AB14" i="3"/>
  <c r="AA78" i="3"/>
  <c r="AB77" i="3"/>
  <c r="AA28" i="3"/>
  <c r="AB27" i="3"/>
  <c r="AA98" i="3"/>
  <c r="AB97" i="3"/>
  <c r="AA124" i="3"/>
  <c r="AB123" i="3"/>
  <c r="AA40" i="3"/>
  <c r="AB40" i="3" s="1"/>
  <c r="AA55" i="3"/>
  <c r="AB55" i="3" s="1"/>
  <c r="AA29" i="3" l="1"/>
  <c r="AB28" i="3"/>
  <c r="AA16" i="3"/>
  <c r="AB15" i="3"/>
  <c r="AA66" i="3"/>
  <c r="AB65" i="3"/>
  <c r="AA125" i="3"/>
  <c r="AB124" i="3"/>
  <c r="AA99" i="3"/>
  <c r="AB98" i="3"/>
  <c r="AA79" i="3"/>
  <c r="AB78" i="3"/>
  <c r="AA90" i="3"/>
  <c r="AB89" i="3"/>
  <c r="AA114" i="3"/>
  <c r="AB113" i="3"/>
  <c r="AA41" i="3"/>
  <c r="AA56" i="3"/>
  <c r="AA115" i="3" l="1"/>
  <c r="AB114" i="3"/>
  <c r="AA80" i="3"/>
  <c r="AB79" i="3"/>
  <c r="AA126" i="3"/>
  <c r="AB125" i="3"/>
  <c r="AA17" i="3"/>
  <c r="AB16" i="3"/>
  <c r="AA57" i="3"/>
  <c r="AB57" i="3" s="1"/>
  <c r="AB56" i="3"/>
  <c r="AA42" i="3"/>
  <c r="AA43" i="3" s="1"/>
  <c r="AB41" i="3"/>
  <c r="AA91" i="3"/>
  <c r="AB90" i="3"/>
  <c r="AA100" i="3"/>
  <c r="AB99" i="3"/>
  <c r="AA67" i="3"/>
  <c r="AB66" i="3"/>
  <c r="AA30" i="3"/>
  <c r="AB29" i="3"/>
  <c r="AA68" i="3" l="1"/>
  <c r="AB67" i="3"/>
  <c r="AA31" i="3"/>
  <c r="AB31" i="3" s="1"/>
  <c r="AB30" i="3"/>
  <c r="AB42" i="3"/>
  <c r="AA81" i="3"/>
  <c r="AB80" i="3"/>
  <c r="AA92" i="3"/>
  <c r="AB91" i="3"/>
  <c r="AA101" i="3"/>
  <c r="AB100" i="3"/>
  <c r="AA18" i="3"/>
  <c r="AB17" i="3"/>
  <c r="AA127" i="3"/>
  <c r="AB126" i="3"/>
  <c r="AA116" i="3"/>
  <c r="AB115" i="3"/>
  <c r="AA128" i="3" l="1"/>
  <c r="AB127" i="3"/>
  <c r="AA82" i="3"/>
  <c r="AB81" i="3"/>
  <c r="AA102" i="3"/>
  <c r="AB101" i="3"/>
  <c r="AA117" i="3"/>
  <c r="AB116" i="3"/>
  <c r="AA19" i="3"/>
  <c r="AB19" i="3" s="1"/>
  <c r="AB18" i="3"/>
  <c r="AA93" i="3"/>
  <c r="AB93" i="3" s="1"/>
  <c r="AB92" i="3"/>
  <c r="AA44" i="3"/>
  <c r="AB43" i="3"/>
  <c r="AA69" i="3"/>
  <c r="AB68" i="3"/>
  <c r="AA118" i="3" l="1"/>
  <c r="AB117" i="3"/>
  <c r="AA83" i="3"/>
  <c r="AB83" i="3" s="1"/>
  <c r="AB82" i="3"/>
  <c r="AA70" i="3"/>
  <c r="AB69" i="3"/>
  <c r="AA45" i="3"/>
  <c r="AB44" i="3"/>
  <c r="AA103" i="3"/>
  <c r="AB102" i="3"/>
  <c r="AA129" i="3"/>
  <c r="AB128" i="3"/>
  <c r="AA46" i="3" l="1"/>
  <c r="AB45" i="3"/>
  <c r="AA130" i="3"/>
  <c r="AB129" i="3"/>
  <c r="AA104" i="3"/>
  <c r="AB103" i="3"/>
  <c r="AA71" i="3"/>
  <c r="AB71" i="3" s="1"/>
  <c r="AB70" i="3"/>
  <c r="AA119" i="3"/>
  <c r="AB118" i="3"/>
  <c r="AA131" i="3" l="1"/>
  <c r="AB130" i="3"/>
  <c r="AA120" i="3"/>
  <c r="AB119" i="3"/>
  <c r="AA105" i="3"/>
  <c r="AB104" i="3"/>
  <c r="AA47" i="3"/>
  <c r="AB47" i="3" s="1"/>
  <c r="AB46" i="3"/>
  <c r="AA121" i="3" l="1"/>
  <c r="AB121" i="3" s="1"/>
  <c r="AB120" i="3"/>
  <c r="AA106" i="3"/>
  <c r="AB105" i="3"/>
  <c r="AA132" i="3"/>
  <c r="AB131" i="3"/>
  <c r="AA107" i="3" l="1"/>
  <c r="AB106" i="3"/>
  <c r="AA133" i="3"/>
  <c r="AB132" i="3"/>
  <c r="AA134" i="3" l="1"/>
  <c r="AB133" i="3"/>
  <c r="AA108" i="3"/>
  <c r="AB107" i="3"/>
  <c r="AA109" i="3" l="1"/>
  <c r="AB109" i="3" s="1"/>
  <c r="AB108" i="3"/>
  <c r="AA135" i="3"/>
  <c r="AB134" i="3"/>
  <c r="AA136" i="3" l="1"/>
  <c r="AB136" i="3" s="1"/>
  <c r="AB13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tc={3509502B-C2BD-42BC-ADD6-F90EFAAC54B9}</author>
  </authors>
  <commentList>
    <comment ref="O6" authorId="0" shapeId="0" xr:uid="{3509502B-C2BD-42BC-ADD6-F90EFAAC54B9}">
      <text>
        <t>[Kommentartråd]
Din versjon av Excel lar deg lese denne kommentartråden. Eventuelle endringer i den vil imidlertid bli fjernet hvis filen åpnes i en nyere versjon av Excel. Finn ut mer: https://go.microsoft.com/fwlink/?linkid=870924
Kommentar:
    Assuming bunkering while consuming at bunkering port</t>
      </text>
    </comment>
  </commentList>
</comments>
</file>

<file path=xl/sharedStrings.xml><?xml version="1.0" encoding="utf-8"?>
<sst xmlns="http://schemas.openxmlformats.org/spreadsheetml/2006/main" count="1121" uniqueCount="373">
  <si>
    <t>Ships</t>
  </si>
  <si>
    <t>Number of ships</t>
  </si>
  <si>
    <t>Effect hotell [MW]</t>
  </si>
  <si>
    <t>Effect propultion [MW]</t>
  </si>
  <si>
    <t>Hydrogen storage [tons]</t>
  </si>
  <si>
    <t xml:space="preserve">LNG storage </t>
  </si>
  <si>
    <t>Battery capasity [MWh]</t>
  </si>
  <si>
    <t xml:space="preserve">Fuel </t>
  </si>
  <si>
    <t>LNG</t>
  </si>
  <si>
    <t>Diesel</t>
  </si>
  <si>
    <t>LHV [GJ/ton]</t>
  </si>
  <si>
    <t>Emission factor [ton CO2e/TJ]</t>
  </si>
  <si>
    <t>WTT emissions [ton CO2e/TJ]</t>
  </si>
  <si>
    <t>Hn [kWh/kg]</t>
  </si>
  <si>
    <t>Fuel consumption [kg/kWh]</t>
  </si>
  <si>
    <t xml:space="preserve">Effective thermal efficiency </t>
  </si>
  <si>
    <t>Hydrogen</t>
  </si>
  <si>
    <t>Gravimetric energy density [kWh/kg]</t>
  </si>
  <si>
    <t>PEM FC [MW]</t>
  </si>
  <si>
    <t>Electrisity</t>
  </si>
  <si>
    <t>Emission factor [gCO2/kWh]</t>
  </si>
  <si>
    <t>Emissions SMR [kgCO2e/kgH2]</t>
  </si>
  <si>
    <t>hydrogen i norge</t>
  </si>
  <si>
    <t>Rolls Royce Bergen engines c26</t>
  </si>
  <si>
    <t>Specific energy consumption [kJ/kWh]</t>
  </si>
  <si>
    <t>Specific fuel consumption [kg/kWh]</t>
  </si>
  <si>
    <t>Effective thermal efficicency</t>
  </si>
  <si>
    <t xml:space="preserve"> Effect 2x C26:33L6AG [MW]</t>
  </si>
  <si>
    <t>Effect 2x C26:33L9AG [MW]</t>
  </si>
  <si>
    <t>Total effect LNG [MW]</t>
  </si>
  <si>
    <t>effect needed with 85% operation [MW]</t>
  </si>
  <si>
    <t>Efficiencies</t>
  </si>
  <si>
    <t>PEM FC Powercell</t>
  </si>
  <si>
    <t xml:space="preserve">Rolls Royce Bergen gas engine </t>
  </si>
  <si>
    <t>Li-Ion batteries</t>
  </si>
  <si>
    <t>Total efficiency LNG</t>
  </si>
  <si>
    <t xml:space="preserve">Total efficiency hydrogen </t>
  </si>
  <si>
    <t xml:space="preserve">Bunkering </t>
  </si>
  <si>
    <t>Time from arrival/stop bunkering to start bunkering/departure [hours]</t>
  </si>
  <si>
    <t>Time to bunker from empty to full tank [hours] LH2</t>
  </si>
  <si>
    <t>Bunkering capasity [kg/40min] LH2</t>
  </si>
  <si>
    <t>2000-4000</t>
  </si>
  <si>
    <t>Assumptions</t>
  </si>
  <si>
    <t>Consuming hydrogen while bunkering</t>
  </si>
  <si>
    <t>yes</t>
  </si>
  <si>
    <t>Time to start/stop bunkering [hours]</t>
  </si>
  <si>
    <t>Assuming bunkering of LNG while bunkering LH2</t>
  </si>
  <si>
    <t>Assuming time at dock enough to fill storage</t>
  </si>
  <si>
    <t>Optimal LNG operation</t>
  </si>
  <si>
    <t>Optimal PEM FC operation</t>
  </si>
  <si>
    <t>PEM electrolysis power requiremnets [kWh/kg]</t>
  </si>
  <si>
    <t>NCE LH2</t>
  </si>
  <si>
    <t>Liquefication energy requirements [kWh/kg]</t>
  </si>
  <si>
    <t>Assuming only charging battery while running on H2yes</t>
  </si>
  <si>
    <t>SMR efficicency</t>
  </si>
  <si>
    <t>Required effect</t>
  </si>
  <si>
    <t>Acceleration [MW]</t>
  </si>
  <si>
    <t>Deceleration [MW]</t>
  </si>
  <si>
    <t>Rough sea [MW]</t>
  </si>
  <si>
    <t>Cruise [MW]</t>
  </si>
  <si>
    <t>Hotel [MW]</t>
  </si>
  <si>
    <t>Duration</t>
  </si>
  <si>
    <t>Acceleration [hours]</t>
  </si>
  <si>
    <t>Deceleration [hours]</t>
  </si>
  <si>
    <t>C-rate batteries</t>
  </si>
  <si>
    <t>Route</t>
  </si>
  <si>
    <t>Hydrogen demand</t>
  </si>
  <si>
    <t>Days</t>
  </si>
  <si>
    <t>Harbour</t>
  </si>
  <si>
    <t xml:space="preserve">Hydrogen bunkering </t>
  </si>
  <si>
    <t>Arrival</t>
  </si>
  <si>
    <t>Departure</t>
  </si>
  <si>
    <t xml:space="preserve">Docking time </t>
  </si>
  <si>
    <t xml:space="preserve">Travel time </t>
  </si>
  <si>
    <t xml:space="preserve">Theoretical energy consumption constant load </t>
  </si>
  <si>
    <t>Real energy consumption constant load</t>
  </si>
  <si>
    <t>Consumption</t>
  </si>
  <si>
    <t>Content storage tank</t>
  </si>
  <si>
    <t>Hydrogen consumption</t>
  </si>
  <si>
    <t>Content tank</t>
  </si>
  <si>
    <t>% of full tank</t>
  </si>
  <si>
    <t>LNG consumption</t>
  </si>
  <si>
    <t>Total consumption</t>
  </si>
  <si>
    <t>Total real consumption</t>
  </si>
  <si>
    <t xml:space="preserve">Content LNG storage </t>
  </si>
  <si>
    <t>[hours]</t>
  </si>
  <si>
    <t>[MWh]</t>
  </si>
  <si>
    <t>Theoretical energy stored [MWh]</t>
  </si>
  <si>
    <t>Travel/docking time * effect</t>
  </si>
  <si>
    <t xml:space="preserve">Theoretical energy demand constant load/efficency hydrogen energy system </t>
  </si>
  <si>
    <t>Real energy consumption constant load / graviametric energy density LH2</t>
  </si>
  <si>
    <t>content tank - consumption (assuming suffcient bunkering time to fill storage)</t>
  </si>
  <si>
    <t xml:space="preserve">content tank + consumption while bunkering </t>
  </si>
  <si>
    <t>Real storage LNG [MWh]</t>
  </si>
  <si>
    <t>&lt;0 values column O</t>
  </si>
  <si>
    <t>LNG consmption Ahx-AHX-1</t>
  </si>
  <si>
    <t>Day 1</t>
  </si>
  <si>
    <t>Bergen</t>
  </si>
  <si>
    <t>Yes</t>
  </si>
  <si>
    <t>Day 2</t>
  </si>
  <si>
    <t>Florø</t>
  </si>
  <si>
    <t>Måløy</t>
  </si>
  <si>
    <t>Torvik</t>
  </si>
  <si>
    <t>Ålesund</t>
  </si>
  <si>
    <t>Molde</t>
  </si>
  <si>
    <t>Day 3</t>
  </si>
  <si>
    <t>Kristansund</t>
  </si>
  <si>
    <t>Trondheim</t>
  </si>
  <si>
    <t>Rørvik</t>
  </si>
  <si>
    <t>Day 4</t>
  </si>
  <si>
    <t>Brønnøysund</t>
  </si>
  <si>
    <t>Sandnessjøen</t>
  </si>
  <si>
    <t xml:space="preserve">Ja men passer ikke inn med ruten </t>
  </si>
  <si>
    <t>Nesna</t>
  </si>
  <si>
    <t>Ørnes</t>
  </si>
  <si>
    <t>Bodø</t>
  </si>
  <si>
    <t>Stamsund</t>
  </si>
  <si>
    <t>Svolvær</t>
  </si>
  <si>
    <t>Day 5</t>
  </si>
  <si>
    <t>Stokmarknes</t>
  </si>
  <si>
    <t>Sortland</t>
  </si>
  <si>
    <t>Risøyhamn</t>
  </si>
  <si>
    <t>Harstad</t>
  </si>
  <si>
    <t>Finnsnes</t>
  </si>
  <si>
    <t>Tromsø</t>
  </si>
  <si>
    <t>Skjervøy</t>
  </si>
  <si>
    <t>Day 6</t>
  </si>
  <si>
    <t>Øksfjord</t>
  </si>
  <si>
    <t>Hammerfest</t>
  </si>
  <si>
    <t>Havøysund</t>
  </si>
  <si>
    <t>Honningsvåg</t>
  </si>
  <si>
    <t>Kjøllefjord</t>
  </si>
  <si>
    <t>Mehamn</t>
  </si>
  <si>
    <t>Berlevåg</t>
  </si>
  <si>
    <t>Day 7</t>
  </si>
  <si>
    <t>Båtsfjord</t>
  </si>
  <si>
    <t>Vardø</t>
  </si>
  <si>
    <t>Vadsø</t>
  </si>
  <si>
    <t>Kirkenes</t>
  </si>
  <si>
    <t>Day 8</t>
  </si>
  <si>
    <t>Day 9</t>
  </si>
  <si>
    <t>Svovlær</t>
  </si>
  <si>
    <t>Day 10</t>
  </si>
  <si>
    <t xml:space="preserve">Nesna </t>
  </si>
  <si>
    <t>Day 11</t>
  </si>
  <si>
    <t>Kristiandsund</t>
  </si>
  <si>
    <t>Day 12</t>
  </si>
  <si>
    <t>SUM</t>
  </si>
  <si>
    <t>Original time</t>
  </si>
  <si>
    <t>[h]</t>
  </si>
  <si>
    <t>Day</t>
  </si>
  <si>
    <t>time</t>
  </si>
  <si>
    <t>a</t>
  </si>
  <si>
    <t>SMR</t>
  </si>
  <si>
    <t>SMR emissions [kgCO2eq/kgH2]</t>
  </si>
  <si>
    <t>Gas extraction emissions in case of Tjeldbergodden [kgCO2eq/kgH2]</t>
  </si>
  <si>
    <t>Emissionfactor SMR [kgCO2eq/kgH2]</t>
  </si>
  <si>
    <t>CCS</t>
  </si>
  <si>
    <t>CCS capasity [%]</t>
  </si>
  <si>
    <t xml:space="preserve">Hydrogen </t>
  </si>
  <si>
    <t>CASES</t>
  </si>
  <si>
    <t>Consumption [ton]</t>
  </si>
  <si>
    <t>reduction Green H2 + LNG</t>
  </si>
  <si>
    <t>Consumption [MWh]</t>
  </si>
  <si>
    <t>Reduction grey hydrogen + LNG</t>
  </si>
  <si>
    <t>Energy demand electrolysis [MWh]</t>
  </si>
  <si>
    <t>Reduction CCS</t>
  </si>
  <si>
    <t>Energy demand liquefication [MWh]</t>
  </si>
  <si>
    <t>Total electrical energy [MWh]</t>
  </si>
  <si>
    <t>Consumption [tons]</t>
  </si>
  <si>
    <t>Consumption [TJ]</t>
  </si>
  <si>
    <t>Emissions [tons CO2 eq]</t>
  </si>
  <si>
    <t>Emissions from production [ton CO2eq]</t>
  </si>
  <si>
    <t>Liquefiaction  [ton CO2eq]</t>
  </si>
  <si>
    <t>Total emissions SMR</t>
  </si>
  <si>
    <t>Harbours</t>
  </si>
  <si>
    <t xml:space="preserve">Operation </t>
  </si>
  <si>
    <t>Effect required</t>
  </si>
  <si>
    <t>FC</t>
  </si>
  <si>
    <t xml:space="preserve">Batteries </t>
  </si>
  <si>
    <t>Batteries</t>
  </si>
  <si>
    <t>Content batteries</t>
  </si>
  <si>
    <t>Hotellast</t>
  </si>
  <si>
    <t>[MW]</t>
  </si>
  <si>
    <t>Hotel</t>
  </si>
  <si>
    <t>Bergen-Hotel</t>
  </si>
  <si>
    <t>Acceleration</t>
  </si>
  <si>
    <t>Crossing</t>
  </si>
  <si>
    <t>Cruise</t>
  </si>
  <si>
    <t>Bergen-Acceleration</t>
  </si>
  <si>
    <t>Deceleration</t>
  </si>
  <si>
    <t xml:space="preserve">Bergen-Crossing </t>
  </si>
  <si>
    <t>Florø-Arrival</t>
  </si>
  <si>
    <t>Florø-Hotel</t>
  </si>
  <si>
    <t>Florø-Acceleration</t>
  </si>
  <si>
    <t>Florø-Crossing</t>
  </si>
  <si>
    <t>h</t>
  </si>
  <si>
    <t>Måløy-Arrival</t>
  </si>
  <si>
    <t>Måløy-Hotel</t>
  </si>
  <si>
    <t>Måløy-Acceleration</t>
  </si>
  <si>
    <t>Måløy-Cruise</t>
  </si>
  <si>
    <t>Torvik-Arrival</t>
  </si>
  <si>
    <t>Kristiansund</t>
  </si>
  <si>
    <t>Torvik-Hotel</t>
  </si>
  <si>
    <t>Torvik-Acceleration</t>
  </si>
  <si>
    <t xml:space="preserve">Torvik-Crossing </t>
  </si>
  <si>
    <t>Ålesund-Arrival</t>
  </si>
  <si>
    <t>Ålesund-Hotel</t>
  </si>
  <si>
    <t>Ålesund-Acceleration</t>
  </si>
  <si>
    <t>Ålesund-Crossing</t>
  </si>
  <si>
    <t>Molde-Arrival</t>
  </si>
  <si>
    <t>Molde-Hotel</t>
  </si>
  <si>
    <t>Molde-Acceleration</t>
  </si>
  <si>
    <t xml:space="preserve">Molde Crossing </t>
  </si>
  <si>
    <t>Kristiansund-Arrival</t>
  </si>
  <si>
    <t>Kristiasund-Hotel</t>
  </si>
  <si>
    <t>Kristiansund-Acceleration</t>
  </si>
  <si>
    <t>Kristiansund-Cruise</t>
  </si>
  <si>
    <t>Trondheim-Arrival</t>
  </si>
  <si>
    <t>Route Bergen-Kirkenes</t>
  </si>
  <si>
    <t>Time</t>
  </si>
  <si>
    <t xml:space="preserve">H2 bunkering </t>
  </si>
  <si>
    <t>Charging time</t>
  </si>
  <si>
    <t>Charging capasity from FC at dock</t>
  </si>
  <si>
    <t>Avialable LH2 storage?</t>
  </si>
  <si>
    <t>Charging of batteries at dock</t>
  </si>
  <si>
    <t xml:space="preserve">Time spent decelerating </t>
  </si>
  <si>
    <t>Energy available</t>
  </si>
  <si>
    <t>Total energy available</t>
  </si>
  <si>
    <t>Consumption accelerating</t>
  </si>
  <si>
    <t>Energy content battery bank</t>
  </si>
  <si>
    <t>YES</t>
  </si>
  <si>
    <t>NOK funded by Nox fondet [NOK/kgNOx]</t>
  </si>
  <si>
    <t>MDO</t>
  </si>
  <si>
    <t>Green LH2</t>
  </si>
  <si>
    <t>Grey LH2</t>
  </si>
  <si>
    <t>Blue LH2</t>
  </si>
  <si>
    <t>Grey LH2 Norway [€/kg]</t>
  </si>
  <si>
    <t>Grey LH2 Europe [€/kg]</t>
  </si>
  <si>
    <t>Grey LH2 USA [€/kg]</t>
  </si>
  <si>
    <t>Base 200 tons diesel [€]</t>
  </si>
  <si>
    <t>Case 1; Green LH2 and LNG 2030 estimate [€]</t>
  </si>
  <si>
    <t xml:space="preserve">Case 2; Grey hydrogen and LNG current </t>
  </si>
  <si>
    <t xml:space="preserve">Case 3 Blue LH2 and LNG future estiamte </t>
  </si>
  <si>
    <t>Future price [€/ton]</t>
  </si>
  <si>
    <t>current price [€/ton]</t>
  </si>
  <si>
    <t>Hydrogen solo fuel emssion [ton CO2eq]</t>
  </si>
  <si>
    <t>liquefiaction  [MWh]</t>
  </si>
  <si>
    <t>emissions liquedication [ton CO2eq]</t>
  </si>
  <si>
    <t>total emissions SMR solo fuel [ton CO2eq]</t>
  </si>
  <si>
    <t>Storage mass [kg]</t>
  </si>
  <si>
    <t>storage [kWh]</t>
  </si>
  <si>
    <t>Storage volume LH2[m3]</t>
  </si>
  <si>
    <t>Storage volume CGH2 250 [m3]</t>
  </si>
  <si>
    <t>Sox</t>
  </si>
  <si>
    <t>Emission factor [ton CO2e/ton fuel]</t>
  </si>
  <si>
    <t>diesel</t>
  </si>
  <si>
    <t>Sox emissions [kg]</t>
  </si>
  <si>
    <t>Emissions WTT [tons CO2 eq]</t>
  </si>
  <si>
    <t>Emissions combustion [ton CO2eq]</t>
  </si>
  <si>
    <t>Nox MDO [kg Nox/ton fuel]</t>
  </si>
  <si>
    <t>Nox LNG [kg Nox/ton fuel]</t>
  </si>
  <si>
    <t>Nox MDO [kg Nox]</t>
  </si>
  <si>
    <t xml:space="preserve">Nox LNG [kg Nox] </t>
  </si>
  <si>
    <t xml:space="preserve">Reduction </t>
  </si>
  <si>
    <t>%</t>
  </si>
  <si>
    <t xml:space="preserve">recived </t>
  </si>
  <si>
    <t>Total emissions CCS</t>
  </si>
  <si>
    <t>Bunkering capasity [tonnes/hour] LH2</t>
  </si>
  <si>
    <t>Diesel consumption round-trip [tonnes]</t>
  </si>
  <si>
    <t>Storage demand LNG [tonnes hydrogen]</t>
  </si>
  <si>
    <t>[tonnes hydrogen]</t>
  </si>
  <si>
    <t>[tonnes]</t>
  </si>
  <si>
    <t>Required storage capasity LNG [tonnes]</t>
  </si>
  <si>
    <t>[tonnes LNG]</t>
  </si>
  <si>
    <t>Emissions hydrogen production SMR [tonnesCO2eq]</t>
  </si>
  <si>
    <t>Hydrogen solo fuel consunption [tonnes]</t>
  </si>
  <si>
    <t>Emissions from LH2 generation [tonnes CO2 eq]</t>
  </si>
  <si>
    <t>Consumption [tonnes]</t>
  </si>
  <si>
    <t>Emissions [tonnes CO2 eq]</t>
  </si>
  <si>
    <t>Emissions from production [tonnes CO2eq]</t>
  </si>
  <si>
    <t>Emissions from LH2 generation [ton CO2 eq]</t>
  </si>
  <si>
    <t>Emissions WTT [tonnes CO2 eq]</t>
  </si>
  <si>
    <t>total emission [tonnes CO2 eq]</t>
  </si>
  <si>
    <t>MDO [kg Sox/tonnes br]</t>
  </si>
  <si>
    <t xml:space="preserve">el-motor-propeller </t>
  </si>
  <si>
    <t>Drivers/converters/Switchboard</t>
  </si>
  <si>
    <t>Volumetric specifications LH2 tank [m3/ton]</t>
  </si>
  <si>
    <t>Dag 1</t>
  </si>
  <si>
    <t>Dag 2</t>
  </si>
  <si>
    <t>Dag 3</t>
  </si>
  <si>
    <t>Dag 4</t>
  </si>
  <si>
    <t>Dag 5</t>
  </si>
  <si>
    <t>Dag 6</t>
  </si>
  <si>
    <t>Dag 7</t>
  </si>
  <si>
    <t>Dag 8</t>
  </si>
  <si>
    <t>Dag 9</t>
  </si>
  <si>
    <t>Dag 10</t>
  </si>
  <si>
    <t>Dag 11</t>
  </si>
  <si>
    <t>Honnigsvåg</t>
  </si>
  <si>
    <t>trondheim</t>
  </si>
  <si>
    <t>Kirgenes</t>
  </si>
  <si>
    <t>Kolonne1</t>
  </si>
  <si>
    <t>4,7/4,7</t>
  </si>
  <si>
    <t>0/0</t>
  </si>
  <si>
    <t>4,7/0</t>
  </si>
  <si>
    <t>/0</t>
  </si>
  <si>
    <t>0/4,7</t>
  </si>
  <si>
    <t>Energibehov/produksjon</t>
  </si>
  <si>
    <t>Energibehov Pem</t>
  </si>
  <si>
    <t>4,7/9,4</t>
  </si>
  <si>
    <t>Energibehov/produksjon jevn</t>
  </si>
  <si>
    <t>Energibehov Flytendegjøring</t>
  </si>
  <si>
    <t>9,4/4,7</t>
  </si>
  <si>
    <t>Bergen, jevn</t>
  </si>
  <si>
    <t>Energibehov/flytendegjøring</t>
  </si>
  <si>
    <t>9,4/0</t>
  </si>
  <si>
    <t>9,4/9,4</t>
  </si>
  <si>
    <t>Energibehov/komprimering</t>
  </si>
  <si>
    <t>0/9,4</t>
  </si>
  <si>
    <t>4,7/</t>
  </si>
  <si>
    <t>Energibehov/dag</t>
  </si>
  <si>
    <t>Tonn h2/11 dag</t>
  </si>
  <si>
    <t>Tonn H2/dag</t>
  </si>
  <si>
    <t>Tonn h2/time</t>
  </si>
  <si>
    <t>Energibehov,produksjon/14dag</t>
  </si>
  <si>
    <t>Energibehov,produksjon/dag</t>
  </si>
  <si>
    <t>Energibehov, produksjon/time</t>
  </si>
  <si>
    <t>Energibehov,flytendegjøring</t>
  </si>
  <si>
    <t>Energibehov,komprimering</t>
  </si>
  <si>
    <t>Energibehov PEM kWh/kg</t>
  </si>
  <si>
    <t>Scenario 1</t>
  </si>
  <si>
    <t>Scenario 2</t>
  </si>
  <si>
    <t>Scenario 3</t>
  </si>
  <si>
    <t>Scenario 4</t>
  </si>
  <si>
    <t>Tank size, Tonns</t>
  </si>
  <si>
    <t>Avg Tank size, Tonns</t>
  </si>
  <si>
    <t>Daily Production, Tonns</t>
  </si>
  <si>
    <t>Daily Energy Requirement, kWh</t>
  </si>
  <si>
    <t>Minimum Electrolyser effect, kW</t>
  </si>
  <si>
    <t>20-37</t>
  </si>
  <si>
    <t>2,14/4,3</t>
  </si>
  <si>
    <t>117500/2350000</t>
  </si>
  <si>
    <t>4896/9792</t>
  </si>
  <si>
    <t>15-23</t>
  </si>
  <si>
    <t>0-4,7/0-9,4</t>
  </si>
  <si>
    <t>0-258500/0-517000</t>
  </si>
  <si>
    <t>10771/21542</t>
  </si>
  <si>
    <t>Secnario 1</t>
  </si>
  <si>
    <t>Secnario 2</t>
  </si>
  <si>
    <t>Secnario 3</t>
  </si>
  <si>
    <t>Secnario 4</t>
  </si>
  <si>
    <t>Surplus</t>
  </si>
  <si>
    <t>Total emissions [tonnes CO2-eq]</t>
  </si>
  <si>
    <t xml:space="preserve"> Emissions Gas extraction [tonnes CO2-eq]</t>
  </si>
  <si>
    <t>Emissions Production [tonnes CO2-eq]</t>
  </si>
  <si>
    <t>Hydrogen demand [tonnes]</t>
  </si>
  <si>
    <t>Emissions from SMR hydrogen solo fuel [tonCO2eq]</t>
  </si>
  <si>
    <t>Total emissions SMR [ton CO2eq]</t>
  </si>
  <si>
    <t>Spare power capasity when decelerating</t>
  </si>
  <si>
    <t>Case 1; Green LH2 and LNG current estimate [€]</t>
  </si>
  <si>
    <t xml:space="preserve">Case 3 Blue LH2 and LNGcurrent  estiamte </t>
  </si>
  <si>
    <t>[hours,minutes]</t>
  </si>
  <si>
    <t>No</t>
  </si>
  <si>
    <t>Available Bunkering time</t>
  </si>
  <si>
    <t xml:space="preserve">Consumption of hydrogen </t>
  </si>
  <si>
    <t>[tonnes hydrogen ]</t>
  </si>
  <si>
    <t xml:space="preserve">Percentage of full tank </t>
  </si>
  <si>
    <t>prolonged trip</t>
  </si>
  <si>
    <t>Liquefiaction  [tonnes CO2eq]</t>
  </si>
  <si>
    <t>Total emissions SMR [tonnes CO2eq]</t>
  </si>
  <si>
    <t>Outer volume LH2 storage tank [m3]</t>
  </si>
  <si>
    <t>Case 2; Grey hydrogen and LNG 2030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</si>
</sst>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;@"/>
    <numFmt numFmtId="165" formatCode="0.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52565A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 (Brødtekst)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E7E6E6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8" tint="0.59999389629810485"/>
      </left>
      <right/>
      <top/>
      <bottom/>
      <diagonal/>
    </border>
    <border>
      <left/>
      <right style="thin">
        <color theme="8" tint="0.59999389629810485"/>
      </right>
      <top/>
      <bottom/>
      <diagonal/>
    </border>
    <border>
      <left style="thin">
        <color theme="5" tint="0.39997558519241921"/>
      </left>
      <right/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/>
      <right style="thin">
        <color theme="5" tint="0.39997558519241921"/>
      </right>
      <top style="thin">
        <color theme="7"/>
      </top>
      <bottom/>
      <diagonal/>
    </border>
    <border>
      <left style="thin">
        <color theme="5" tint="0.39997558519241921"/>
      </left>
      <right/>
      <top/>
      <bottom/>
      <diagonal/>
    </border>
    <border>
      <left/>
      <right style="thin">
        <color theme="5" tint="0.3999755851924192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/>
      <top/>
      <bottom/>
      <diagonal/>
    </border>
    <border>
      <left/>
      <right style="thin">
        <color theme="8" tint="0.39997558519241921"/>
      </right>
      <top/>
      <bottom/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/>
      <top/>
      <bottom style="thin">
        <color theme="8" tint="0.39997558519241921"/>
      </bottom>
      <diagonal/>
    </border>
    <border>
      <left style="thin">
        <color indexed="64"/>
      </left>
      <right/>
      <top/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59999389629810485"/>
      </left>
      <right/>
      <top style="thin">
        <color theme="8" tint="0.59999389629810485"/>
      </top>
      <bottom/>
      <diagonal/>
    </border>
    <border>
      <left/>
      <right/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5" tint="0.39997558519241921"/>
      </left>
      <right style="thin">
        <color rgb="FF7F7F7F"/>
      </right>
      <top style="thin">
        <color theme="5" tint="0.39997558519241921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theme="5" tint="0.39997558519241921"/>
      </top>
      <bottom style="thin">
        <color rgb="FF7F7F7F"/>
      </bottom>
      <diagonal/>
    </border>
    <border>
      <left style="thin">
        <color rgb="FF7F7F7F"/>
      </left>
      <right style="thin">
        <color theme="5" tint="0.39997558519241921"/>
      </right>
      <top style="thin">
        <color theme="5" tint="0.39997558519241921"/>
      </top>
      <bottom style="thin">
        <color rgb="FF7F7F7F"/>
      </bottom>
      <diagonal/>
    </border>
    <border>
      <left style="thin">
        <color theme="3" tint="0.39997558519241921"/>
      </left>
      <right/>
      <top/>
      <bottom/>
      <diagonal/>
    </border>
    <border>
      <left/>
      <right style="thin">
        <color theme="3" tint="0.39997558519241921"/>
      </right>
      <top/>
      <bottom/>
      <diagonal/>
    </border>
    <border>
      <left/>
      <right style="thin">
        <color rgb="FFBDD7EE"/>
      </right>
      <top/>
      <bottom/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2" applyNumberFormat="0" applyAlignment="0" applyProtection="0"/>
    <xf numFmtId="0" fontId="1" fillId="7" borderId="0" applyNumberFormat="0" applyBorder="0" applyAlignment="0" applyProtection="0"/>
    <xf numFmtId="0" fontId="8" fillId="0" borderId="0" applyNumberFormat="0" applyFill="0" applyBorder="0" applyAlignment="0" applyProtection="0"/>
  </cellStyleXfs>
  <cellXfs count="111">
    <xf numFmtId="0" fontId="0" fillId="0" borderId="0" xfId="0"/>
    <xf numFmtId="0" fontId="7" fillId="0" borderId="0" xfId="0" applyFont="1"/>
    <xf numFmtId="0" fontId="8" fillId="0" borderId="0" xfId="7"/>
    <xf numFmtId="0" fontId="9" fillId="0" borderId="0" xfId="0" applyFont="1"/>
    <xf numFmtId="0" fontId="0" fillId="8" borderId="0" xfId="0" applyFill="1"/>
    <xf numFmtId="0" fontId="0" fillId="9" borderId="0" xfId="0" applyFill="1"/>
    <xf numFmtId="9" fontId="0" fillId="0" borderId="0" xfId="0" applyNumberFormat="1"/>
    <xf numFmtId="0" fontId="0" fillId="0" borderId="3" xfId="0" applyBorder="1"/>
    <xf numFmtId="0" fontId="0" fillId="0" borderId="4" xfId="0" applyBorder="1"/>
    <xf numFmtId="0" fontId="0" fillId="10" borderId="3" xfId="0" applyFill="1" applyBorder="1"/>
    <xf numFmtId="0" fontId="0" fillId="10" borderId="0" xfId="0" applyFill="1"/>
    <xf numFmtId="0" fontId="0" fillId="10" borderId="4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10" borderId="8" xfId="0" applyNumberFormat="1" applyFill="1" applyBorder="1"/>
    <xf numFmtId="164" fontId="0" fillId="10" borderId="0" xfId="0" applyNumberFormat="1" applyFill="1"/>
    <xf numFmtId="2" fontId="0" fillId="10" borderId="0" xfId="0" applyNumberFormat="1" applyFill="1"/>
    <xf numFmtId="2" fontId="0" fillId="10" borderId="9" xfId="0" applyNumberFormat="1" applyFill="1" applyBorder="1"/>
    <xf numFmtId="164" fontId="0" fillId="0" borderId="8" xfId="0" applyNumberFormat="1" applyBorder="1"/>
    <xf numFmtId="164" fontId="0" fillId="0" borderId="0" xfId="0" applyNumberFormat="1"/>
    <xf numFmtId="2" fontId="0" fillId="0" borderId="0" xfId="0" applyNumberFormat="1"/>
    <xf numFmtId="0" fontId="0" fillId="0" borderId="0" xfId="0" applyBorder="1"/>
    <xf numFmtId="0" fontId="3" fillId="3" borderId="0" xfId="2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64" fontId="0" fillId="0" borderId="12" xfId="0" applyNumberFormat="1" applyBorder="1"/>
    <xf numFmtId="164" fontId="0" fillId="0" borderId="0" xfId="0" applyNumberFormat="1" applyBorder="1"/>
    <xf numFmtId="2" fontId="0" fillId="0" borderId="0" xfId="0" applyNumberFormat="1" applyBorder="1"/>
    <xf numFmtId="20" fontId="0" fillId="0" borderId="12" xfId="0" applyNumberFormat="1" applyBorder="1"/>
    <xf numFmtId="20" fontId="0" fillId="0" borderId="0" xfId="0" applyNumberFormat="1" applyBorder="1"/>
    <xf numFmtId="0" fontId="0" fillId="0" borderId="17" xfId="0" applyBorder="1"/>
    <xf numFmtId="0" fontId="0" fillId="0" borderId="18" xfId="0" applyBorder="1"/>
    <xf numFmtId="0" fontId="2" fillId="2" borderId="0" xfId="1"/>
    <xf numFmtId="0" fontId="0" fillId="11" borderId="17" xfId="0" applyFill="1" applyBorder="1"/>
    <xf numFmtId="0" fontId="0" fillId="11" borderId="0" xfId="0" applyFill="1" applyBorder="1"/>
    <xf numFmtId="164" fontId="0" fillId="11" borderId="12" xfId="0" applyNumberFormat="1" applyFill="1" applyBorder="1"/>
    <xf numFmtId="164" fontId="0" fillId="11" borderId="0" xfId="0" applyNumberFormat="1" applyFill="1" applyBorder="1"/>
    <xf numFmtId="2" fontId="0" fillId="11" borderId="0" xfId="0" applyNumberFormat="1" applyFill="1" applyBorder="1"/>
    <xf numFmtId="0" fontId="0" fillId="11" borderId="18" xfId="0" applyFill="1" applyBorder="1"/>
    <xf numFmtId="0" fontId="0" fillId="11" borderId="0" xfId="0" applyFill="1"/>
    <xf numFmtId="2" fontId="0" fillId="11" borderId="0" xfId="0" applyNumberFormat="1" applyFill="1"/>
    <xf numFmtId="20" fontId="0" fillId="11" borderId="12" xfId="0" applyNumberFormat="1" applyFill="1" applyBorder="1"/>
    <xf numFmtId="20" fontId="0" fillId="11" borderId="0" xfId="0" applyNumberFormat="1" applyFill="1" applyBorder="1"/>
    <xf numFmtId="0" fontId="0" fillId="11" borderId="19" xfId="0" applyFill="1" applyBorder="1"/>
    <xf numFmtId="0" fontId="0" fillId="11" borderId="20" xfId="0" applyFill="1" applyBorder="1"/>
    <xf numFmtId="20" fontId="0" fillId="11" borderId="21" xfId="0" applyNumberFormat="1" applyFill="1" applyBorder="1"/>
    <xf numFmtId="20" fontId="0" fillId="11" borderId="20" xfId="0" applyNumberFormat="1" applyFill="1" applyBorder="1"/>
    <xf numFmtId="2" fontId="0" fillId="11" borderId="20" xfId="0" applyNumberFormat="1" applyFill="1" applyBorder="1"/>
    <xf numFmtId="0" fontId="0" fillId="11" borderId="22" xfId="0" applyFill="1" applyBorder="1"/>
    <xf numFmtId="0" fontId="0" fillId="0" borderId="0" xfId="0" applyFill="1"/>
    <xf numFmtId="0" fontId="11" fillId="0" borderId="0" xfId="0" applyFont="1"/>
    <xf numFmtId="0" fontId="0" fillId="0" borderId="23" xfId="0" applyBorder="1"/>
    <xf numFmtId="0" fontId="0" fillId="0" borderId="24" xfId="0" applyBorder="1"/>
    <xf numFmtId="0" fontId="0" fillId="0" borderId="25" xfId="0" applyBorder="1"/>
    <xf numFmtId="49" fontId="0" fillId="0" borderId="0" xfId="0" applyNumberFormat="1"/>
    <xf numFmtId="0" fontId="0" fillId="0" borderId="29" xfId="0" applyBorder="1"/>
    <xf numFmtId="0" fontId="0" fillId="0" borderId="30" xfId="0" applyBorder="1"/>
    <xf numFmtId="2" fontId="0" fillId="0" borderId="29" xfId="0" applyNumberFormat="1" applyBorder="1"/>
    <xf numFmtId="0" fontId="0" fillId="13" borderId="0" xfId="0" applyFill="1"/>
    <xf numFmtId="2" fontId="0" fillId="0" borderId="9" xfId="0" applyNumberFormat="1" applyBorder="1"/>
    <xf numFmtId="0" fontId="12" fillId="0" borderId="0" xfId="0" applyFont="1"/>
    <xf numFmtId="0" fontId="12" fillId="0" borderId="31" xfId="0" applyFont="1" applyBorder="1"/>
    <xf numFmtId="0" fontId="12" fillId="14" borderId="0" xfId="0" applyFont="1" applyFill="1"/>
    <xf numFmtId="0" fontId="12" fillId="14" borderId="31" xfId="0" applyFont="1" applyFill="1" applyBorder="1"/>
    <xf numFmtId="0" fontId="6" fillId="6" borderId="2" xfId="5"/>
    <xf numFmtId="0" fontId="13" fillId="6" borderId="2" xfId="5" applyFont="1"/>
    <xf numFmtId="0" fontId="10" fillId="0" borderId="0" xfId="0" applyFont="1"/>
    <xf numFmtId="0" fontId="0" fillId="0" borderId="0" xfId="0" applyAlignment="1"/>
    <xf numFmtId="0" fontId="3" fillId="3" borderId="0" xfId="2"/>
    <xf numFmtId="0" fontId="14" fillId="0" borderId="0" xfId="0" applyFont="1"/>
    <xf numFmtId="2" fontId="0" fillId="0" borderId="18" xfId="0" applyNumberFormat="1" applyBorder="1"/>
    <xf numFmtId="2" fontId="0" fillId="11" borderId="18" xfId="0" applyNumberFormat="1" applyFill="1" applyBorder="1"/>
    <xf numFmtId="2" fontId="0" fillId="11" borderId="22" xfId="0" applyNumberFormat="1" applyFill="1" applyBorder="1"/>
    <xf numFmtId="0" fontId="0" fillId="0" borderId="0" xfId="0" applyFill="1" applyBorder="1"/>
    <xf numFmtId="2" fontId="6" fillId="6" borderId="2" xfId="5" applyNumberFormat="1"/>
    <xf numFmtId="2" fontId="0" fillId="0" borderId="0" xfId="0" applyNumberFormat="1" applyFill="1"/>
    <xf numFmtId="0" fontId="3" fillId="0" borderId="0" xfId="2" applyFill="1" applyBorder="1"/>
    <xf numFmtId="2" fontId="0" fillId="15" borderId="0" xfId="0" applyNumberFormat="1" applyFill="1" applyBorder="1"/>
    <xf numFmtId="0" fontId="15" fillId="0" borderId="0" xfId="0" applyFont="1"/>
    <xf numFmtId="0" fontId="0" fillId="0" borderId="0" xfId="0" applyFont="1"/>
    <xf numFmtId="17" fontId="0" fillId="0" borderId="0" xfId="0" applyNumberFormat="1"/>
    <xf numFmtId="0" fontId="16" fillId="16" borderId="0" xfId="0" applyFont="1" applyFill="1"/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2" fontId="0" fillId="0" borderId="0" xfId="0" applyNumberFormat="1" applyFill="1" applyBorder="1"/>
    <xf numFmtId="2" fontId="6" fillId="6" borderId="0" xfId="5" applyNumberFormat="1" applyBorder="1"/>
    <xf numFmtId="0" fontId="0" fillId="0" borderId="0" xfId="0" applyAlignment="1">
      <alignment wrapText="1"/>
    </xf>
    <xf numFmtId="1" fontId="0" fillId="0" borderId="0" xfId="0" applyNumberFormat="1"/>
    <xf numFmtId="165" fontId="0" fillId="0" borderId="0" xfId="0" applyNumberFormat="1"/>
    <xf numFmtId="165" fontId="0" fillId="11" borderId="0" xfId="0" applyNumberFormat="1" applyFill="1"/>
    <xf numFmtId="165" fontId="0" fillId="0" borderId="0" xfId="0" applyNumberFormat="1" applyFill="1"/>
    <xf numFmtId="2" fontId="2" fillId="2" borderId="0" xfId="1" applyNumberFormat="1"/>
    <xf numFmtId="2" fontId="3" fillId="3" borderId="0" xfId="2" applyNumberFormat="1"/>
    <xf numFmtId="0" fontId="1" fillId="7" borderId="17" xfId="6" applyBorder="1" applyAlignment="1">
      <alignment horizontal="center"/>
    </xf>
    <xf numFmtId="0" fontId="1" fillId="7" borderId="0" xfId="6" applyBorder="1" applyAlignment="1">
      <alignment horizontal="center"/>
    </xf>
    <xf numFmtId="0" fontId="2" fillId="2" borderId="0" xfId="1" applyAlignment="1">
      <alignment horizontal="center"/>
    </xf>
    <xf numFmtId="0" fontId="4" fillId="4" borderId="0" xfId="3" applyAlignment="1">
      <alignment horizontal="center"/>
    </xf>
    <xf numFmtId="0" fontId="5" fillId="5" borderId="26" xfId="4" applyBorder="1" applyAlignment="1">
      <alignment horizontal="center"/>
    </xf>
    <xf numFmtId="0" fontId="5" fillId="5" borderId="27" xfId="4" applyBorder="1" applyAlignment="1">
      <alignment horizontal="center"/>
    </xf>
    <xf numFmtId="0" fontId="5" fillId="5" borderId="28" xfId="4" applyBorder="1" applyAlignment="1">
      <alignment horizontal="center"/>
    </xf>
    <xf numFmtId="0" fontId="0" fillId="12" borderId="29" xfId="0" applyFill="1" applyBorder="1" applyAlignment="1">
      <alignment horizontal="center"/>
    </xf>
    <xf numFmtId="0" fontId="0" fillId="12" borderId="0" xfId="0" applyFill="1" applyAlignment="1">
      <alignment horizontal="center"/>
    </xf>
    <xf numFmtId="0" fontId="1" fillId="7" borderId="14" xfId="6" applyBorder="1" applyAlignment="1">
      <alignment horizontal="center" wrapText="1"/>
    </xf>
    <xf numFmtId="0" fontId="1" fillId="7" borderId="15" xfId="6" applyBorder="1" applyAlignment="1">
      <alignment horizontal="center" wrapText="1"/>
    </xf>
    <xf numFmtId="0" fontId="1" fillId="7" borderId="16" xfId="6" applyBorder="1" applyAlignment="1">
      <alignment horizontal="center" wrapText="1"/>
    </xf>
  </cellXfs>
  <cellStyles count="8">
    <cellStyle name="20 % – uthevingsfarge 1" xfId="6" builtinId="30"/>
    <cellStyle name="Dårlig" xfId="2" builtinId="27"/>
    <cellStyle name="God" xfId="1" builtinId="26"/>
    <cellStyle name="Hyperkobling" xfId="7" builtinId="8"/>
    <cellStyle name="Inndata" xfId="4" builtinId="20"/>
    <cellStyle name="Kontrollcelle" xfId="5" builtinId="23"/>
    <cellStyle name="Normal" xfId="0" builtinId="0"/>
    <cellStyle name="Nøytral" xfId="3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Hydrogen storage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IGNORE!$B$6:$B$136</c:f>
              <c:strCache>
                <c:ptCount val="131"/>
                <c:pt idx="0">
                  <c:v>Bergen</c:v>
                </c:pt>
                <c:pt idx="2">
                  <c:v>Florø</c:v>
                </c:pt>
                <c:pt idx="4">
                  <c:v>Måløy</c:v>
                </c:pt>
                <c:pt idx="6">
                  <c:v>Torvik</c:v>
                </c:pt>
                <c:pt idx="8">
                  <c:v>Ålesund</c:v>
                </c:pt>
                <c:pt idx="10">
                  <c:v>Molde</c:v>
                </c:pt>
                <c:pt idx="12">
                  <c:v>Kristansund</c:v>
                </c:pt>
                <c:pt idx="14">
                  <c:v>Trondheim</c:v>
                </c:pt>
                <c:pt idx="16">
                  <c:v>Rørvik</c:v>
                </c:pt>
                <c:pt idx="18">
                  <c:v>Brønnøysund</c:v>
                </c:pt>
                <c:pt idx="20">
                  <c:v>Sandnessjøen</c:v>
                </c:pt>
                <c:pt idx="22">
                  <c:v>Nesna</c:v>
                </c:pt>
                <c:pt idx="24">
                  <c:v>Ørnes</c:v>
                </c:pt>
                <c:pt idx="26">
                  <c:v>Bodø</c:v>
                </c:pt>
                <c:pt idx="28">
                  <c:v>Stamsund</c:v>
                </c:pt>
                <c:pt idx="30">
                  <c:v>Svolvær</c:v>
                </c:pt>
                <c:pt idx="32">
                  <c:v>Stokmarknes</c:v>
                </c:pt>
                <c:pt idx="34">
                  <c:v>Sortland</c:v>
                </c:pt>
                <c:pt idx="36">
                  <c:v>Risøyhamn</c:v>
                </c:pt>
                <c:pt idx="38">
                  <c:v>Harstad</c:v>
                </c:pt>
                <c:pt idx="40">
                  <c:v>Finnsnes</c:v>
                </c:pt>
                <c:pt idx="42">
                  <c:v>Tromsø</c:v>
                </c:pt>
                <c:pt idx="44">
                  <c:v>Skjervøy</c:v>
                </c:pt>
                <c:pt idx="46">
                  <c:v>Øksfjord</c:v>
                </c:pt>
                <c:pt idx="48">
                  <c:v>Hammerfest</c:v>
                </c:pt>
                <c:pt idx="50">
                  <c:v>Havøysund</c:v>
                </c:pt>
                <c:pt idx="52">
                  <c:v>Honningsvåg</c:v>
                </c:pt>
                <c:pt idx="54">
                  <c:v>Kjøllefjord</c:v>
                </c:pt>
                <c:pt idx="56">
                  <c:v>Mehamn</c:v>
                </c:pt>
                <c:pt idx="58">
                  <c:v>Berlevåg</c:v>
                </c:pt>
                <c:pt idx="60">
                  <c:v>Båtsfjord</c:v>
                </c:pt>
                <c:pt idx="62">
                  <c:v>Vardø</c:v>
                </c:pt>
                <c:pt idx="64">
                  <c:v>Vadsø</c:v>
                </c:pt>
                <c:pt idx="66">
                  <c:v>Kirkenes</c:v>
                </c:pt>
                <c:pt idx="68">
                  <c:v>Vardø</c:v>
                </c:pt>
                <c:pt idx="70">
                  <c:v>Båtsfjord</c:v>
                </c:pt>
                <c:pt idx="72">
                  <c:v>Berlevåg</c:v>
                </c:pt>
                <c:pt idx="74">
                  <c:v>Mehamn</c:v>
                </c:pt>
                <c:pt idx="76">
                  <c:v>Kjøllefjord</c:v>
                </c:pt>
                <c:pt idx="78">
                  <c:v>Honningsvåg</c:v>
                </c:pt>
                <c:pt idx="80">
                  <c:v>Havøysund</c:v>
                </c:pt>
                <c:pt idx="82">
                  <c:v>Hammerfest</c:v>
                </c:pt>
                <c:pt idx="84">
                  <c:v>Øksfjord</c:v>
                </c:pt>
                <c:pt idx="86">
                  <c:v>Skjervøy</c:v>
                </c:pt>
                <c:pt idx="88">
                  <c:v>Tromsø</c:v>
                </c:pt>
                <c:pt idx="90">
                  <c:v>Finnsnes</c:v>
                </c:pt>
                <c:pt idx="92">
                  <c:v>Harstad</c:v>
                </c:pt>
                <c:pt idx="94">
                  <c:v>Risøyhamn</c:v>
                </c:pt>
                <c:pt idx="96">
                  <c:v>Sortland</c:v>
                </c:pt>
                <c:pt idx="98">
                  <c:v>Stokmarknes</c:v>
                </c:pt>
                <c:pt idx="100">
                  <c:v>Svovlær</c:v>
                </c:pt>
                <c:pt idx="102">
                  <c:v>Stamsund</c:v>
                </c:pt>
                <c:pt idx="104">
                  <c:v>Bodø</c:v>
                </c:pt>
                <c:pt idx="106">
                  <c:v>Ørnes</c:v>
                </c:pt>
                <c:pt idx="108">
                  <c:v>Nesna </c:v>
                </c:pt>
                <c:pt idx="110">
                  <c:v>Sandnessjøen</c:v>
                </c:pt>
                <c:pt idx="112">
                  <c:v>Brønnøysund</c:v>
                </c:pt>
                <c:pt idx="114">
                  <c:v>Rørvik</c:v>
                </c:pt>
                <c:pt idx="116">
                  <c:v>Trondheim</c:v>
                </c:pt>
                <c:pt idx="118">
                  <c:v>Kristiandsund</c:v>
                </c:pt>
                <c:pt idx="120">
                  <c:v>Molde</c:v>
                </c:pt>
                <c:pt idx="122">
                  <c:v>Ålesund</c:v>
                </c:pt>
                <c:pt idx="124">
                  <c:v>Torvik</c:v>
                </c:pt>
                <c:pt idx="126">
                  <c:v>Måløy</c:v>
                </c:pt>
                <c:pt idx="128">
                  <c:v>Florø</c:v>
                </c:pt>
                <c:pt idx="130">
                  <c:v>Bergen</c:v>
                </c:pt>
              </c:strCache>
            </c:strRef>
          </c:cat>
          <c:val>
            <c:numRef>
              <c:f>IGNORE!$Q$6:$Q$135</c:f>
              <c:numCache>
                <c:formatCode>General</c:formatCode>
                <c:ptCount val="130"/>
                <c:pt idx="0">
                  <c:v>4.7</c:v>
                </c:pt>
                <c:pt idx="1">
                  <c:v>2.9824700738054299</c:v>
                </c:pt>
                <c:pt idx="2">
                  <c:v>2.9347609091889142</c:v>
                </c:pt>
                <c:pt idx="3">
                  <c:v>2.3622509337907238</c:v>
                </c:pt>
                <c:pt idx="4">
                  <c:v>2.3145417691742081</c:v>
                </c:pt>
                <c:pt idx="5">
                  <c:v>1.5511951353099547</c:v>
                </c:pt>
                <c:pt idx="6">
                  <c:v>1.5034859706934389</c:v>
                </c:pt>
                <c:pt idx="7">
                  <c:v>1.1933764006860859</c:v>
                </c:pt>
                <c:pt idx="8">
                  <c:v>4.7</c:v>
                </c:pt>
                <c:pt idx="9">
                  <c:v>3.9127987838274887</c:v>
                </c:pt>
                <c:pt idx="10">
                  <c:v>3.1255975676549781</c:v>
                </c:pt>
                <c:pt idx="11">
                  <c:v>2.123705110708145</c:v>
                </c:pt>
                <c:pt idx="12">
                  <c:v>1.2649401476108599</c:v>
                </c:pt>
                <c:pt idx="13">
                  <c:v>0</c:v>
                </c:pt>
                <c:pt idx="14">
                  <c:v>4.7</c:v>
                </c:pt>
                <c:pt idx="15">
                  <c:v>2.1237051107081446</c:v>
                </c:pt>
                <c:pt idx="16">
                  <c:v>2.0521413637833712</c:v>
                </c:pt>
                <c:pt idx="17">
                  <c:v>1.4080676414604074</c:v>
                </c:pt>
                <c:pt idx="18">
                  <c:v>1.3603584768438917</c:v>
                </c:pt>
                <c:pt idx="19">
                  <c:v>0.59701184297963827</c:v>
                </c:pt>
                <c:pt idx="20">
                  <c:v>0.54930267836312241</c:v>
                </c:pt>
                <c:pt idx="21">
                  <c:v>0.21533852604751141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4.7</c:v>
                </c:pt>
                <c:pt idx="27">
                  <c:v>3.5549800492036203</c:v>
                </c:pt>
                <c:pt idx="28">
                  <c:v>3.4118525553540726</c:v>
                </c:pt>
                <c:pt idx="29">
                  <c:v>2.9824700738054299</c:v>
                </c:pt>
                <c:pt idx="30">
                  <c:v>2.696215086106335</c:v>
                </c:pt>
                <c:pt idx="31">
                  <c:v>1.8374501230090499</c:v>
                </c:pt>
                <c:pt idx="32">
                  <c:v>1.765886376084276</c:v>
                </c:pt>
                <c:pt idx="33">
                  <c:v>1.3365038945356336</c:v>
                </c:pt>
                <c:pt idx="34">
                  <c:v>1.2649401476108597</c:v>
                </c:pt>
                <c:pt idx="35">
                  <c:v>0.90712141298699089</c:v>
                </c:pt>
                <c:pt idx="36">
                  <c:v>0.83555766606221715</c:v>
                </c:pt>
                <c:pt idx="37">
                  <c:v>0.19148394373925326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4.7</c:v>
                </c:pt>
                <c:pt idx="43">
                  <c:v>3.5549800492036203</c:v>
                </c:pt>
                <c:pt idx="44">
                  <c:v>3.4834163022788469</c:v>
                </c:pt>
                <c:pt idx="45">
                  <c:v>2.5530875922567882</c:v>
                </c:pt>
                <c:pt idx="46">
                  <c:v>2.4815238453320143</c:v>
                </c:pt>
                <c:pt idx="47">
                  <c:v>1.6227588822347292</c:v>
                </c:pt>
                <c:pt idx="48">
                  <c:v>1.4080676414604079</c:v>
                </c:pt>
                <c:pt idx="49">
                  <c:v>0.6208664252878966</c:v>
                </c:pt>
                <c:pt idx="50">
                  <c:v>0.47773893143834884</c:v>
                </c:pt>
                <c:pt idx="51">
                  <c:v>0</c:v>
                </c:pt>
                <c:pt idx="52">
                  <c:v>4.7</c:v>
                </c:pt>
                <c:pt idx="53">
                  <c:v>4.0559262776770364</c:v>
                </c:pt>
                <c:pt idx="54">
                  <c:v>3.984362530752263</c:v>
                </c:pt>
                <c:pt idx="55">
                  <c:v>3.4118525553540726</c:v>
                </c:pt>
                <c:pt idx="56">
                  <c:v>3.3402888084292992</c:v>
                </c:pt>
                <c:pt idx="57">
                  <c:v>2.624651339181562</c:v>
                </c:pt>
                <c:pt idx="58">
                  <c:v>2.5530875922567877</c:v>
                </c:pt>
                <c:pt idx="59">
                  <c:v>2.0521413637833712</c:v>
                </c:pt>
                <c:pt idx="60">
                  <c:v>1.9805776168585973</c:v>
                </c:pt>
                <c:pt idx="61">
                  <c:v>1.1218126537613125</c:v>
                </c:pt>
                <c:pt idx="62">
                  <c:v>1.0502489068365386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4.7</c:v>
                </c:pt>
                <c:pt idx="67">
                  <c:v>3.7696712899779414</c:v>
                </c:pt>
                <c:pt idx="68">
                  <c:v>3.4834163022788465</c:v>
                </c:pt>
                <c:pt idx="69">
                  <c:v>2.6246513391815611</c:v>
                </c:pt>
                <c:pt idx="70">
                  <c:v>2.4815238453320134</c:v>
                </c:pt>
                <c:pt idx="71">
                  <c:v>2.0521413637833708</c:v>
                </c:pt>
                <c:pt idx="72">
                  <c:v>1.9805776168585973</c:v>
                </c:pt>
                <c:pt idx="73">
                  <c:v>1.1933764006860859</c:v>
                </c:pt>
                <c:pt idx="74">
                  <c:v>1.121812653761312</c:v>
                </c:pt>
                <c:pt idx="75">
                  <c:v>0.62086642528789582</c:v>
                </c:pt>
                <c:pt idx="76">
                  <c:v>0.54930267836312197</c:v>
                </c:pt>
                <c:pt idx="77">
                  <c:v>0</c:v>
                </c:pt>
                <c:pt idx="78">
                  <c:v>4.7</c:v>
                </c:pt>
                <c:pt idx="79">
                  <c:v>4.1274900246018102</c:v>
                </c:pt>
                <c:pt idx="80">
                  <c:v>4.0559262776770364</c:v>
                </c:pt>
                <c:pt idx="81">
                  <c:v>3.2687250615045249</c:v>
                </c:pt>
                <c:pt idx="82">
                  <c:v>2.696215086106335</c:v>
                </c:pt>
                <c:pt idx="83">
                  <c:v>1.9090138699338233</c:v>
                </c:pt>
                <c:pt idx="84">
                  <c:v>1.8374501230090499</c:v>
                </c:pt>
                <c:pt idx="85">
                  <c:v>0.83555766606221704</c:v>
                </c:pt>
                <c:pt idx="86">
                  <c:v>0.69243017221267</c:v>
                </c:pt>
                <c:pt idx="87">
                  <c:v>0</c:v>
                </c:pt>
                <c:pt idx="88">
                  <c:v>4.7</c:v>
                </c:pt>
                <c:pt idx="89">
                  <c:v>3.9127987838274887</c:v>
                </c:pt>
                <c:pt idx="90">
                  <c:v>3.7696712899779414</c:v>
                </c:pt>
                <c:pt idx="91">
                  <c:v>2.887051744572398</c:v>
                </c:pt>
                <c:pt idx="92">
                  <c:v>2.6962150861063345</c:v>
                </c:pt>
                <c:pt idx="93">
                  <c:v>2.0521413637833708</c:v>
                </c:pt>
                <c:pt idx="94">
                  <c:v>1.9805776168585973</c:v>
                </c:pt>
                <c:pt idx="95">
                  <c:v>1.5511951353099545</c:v>
                </c:pt>
                <c:pt idx="96">
                  <c:v>1.4080676414604074</c:v>
                </c:pt>
                <c:pt idx="97">
                  <c:v>1.0502489068365384</c:v>
                </c:pt>
                <c:pt idx="98">
                  <c:v>0.76399391913744363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4.7</c:v>
                </c:pt>
                <c:pt idx="105">
                  <c:v>3.8650896192109729</c:v>
                </c:pt>
                <c:pt idx="106">
                  <c:v>3.8173804545944572</c:v>
                </c:pt>
                <c:pt idx="107">
                  <c:v>2.7916334153393665</c:v>
                </c:pt>
                <c:pt idx="108">
                  <c:v>2.7439242507228498</c:v>
                </c:pt>
                <c:pt idx="109">
                  <c:v>2.4099600984072396</c:v>
                </c:pt>
                <c:pt idx="110">
                  <c:v>2.2668326045576923</c:v>
                </c:pt>
                <c:pt idx="111">
                  <c:v>1.4796313883851806</c:v>
                </c:pt>
                <c:pt idx="112">
                  <c:v>0.7639939191374433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4.7</c:v>
                </c:pt>
                <c:pt idx="117">
                  <c:v>3.8650896192109729</c:v>
                </c:pt>
                <c:pt idx="118">
                  <c:v>3.8173804545944572</c:v>
                </c:pt>
                <c:pt idx="119">
                  <c:v>2.7916334153393665</c:v>
                </c:pt>
                <c:pt idx="120">
                  <c:v>2.7439242507228498</c:v>
                </c:pt>
                <c:pt idx="121">
                  <c:v>2.4099600984072396</c:v>
                </c:pt>
                <c:pt idx="122">
                  <c:v>4.7</c:v>
                </c:pt>
                <c:pt idx="123">
                  <c:v>4.3421812653761318</c:v>
                </c:pt>
                <c:pt idx="124">
                  <c:v>4.270617518451358</c:v>
                </c:pt>
                <c:pt idx="125">
                  <c:v>3.4834163022788465</c:v>
                </c:pt>
                <c:pt idx="126">
                  <c:v>3.387997973045815</c:v>
                </c:pt>
                <c:pt idx="127">
                  <c:v>2.7677788330311088</c:v>
                </c:pt>
                <c:pt idx="128">
                  <c:v>2.6246513391815616</c:v>
                </c:pt>
                <c:pt idx="129">
                  <c:v>0.83555766606221771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6E-4BAE-ABCC-99518ABDF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970928"/>
        <c:axId val="867080272"/>
      </c:lineChart>
      <c:catAx>
        <c:axId val="62597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67080272"/>
        <c:crosses val="autoZero"/>
        <c:auto val="1"/>
        <c:lblAlgn val="ctr"/>
        <c:lblOffset val="100"/>
        <c:noMultiLvlLbl val="0"/>
      </c:catAx>
      <c:valAx>
        <c:axId val="86708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597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Fuel OPEX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6272612133960382"/>
          <c:y val="0.18623097723671836"/>
          <c:w val="0.45809275331612587"/>
          <c:h val="0.7169552479469381"/>
        </c:manualLayout>
      </c:layout>
      <c:barChart>
        <c:barDir val="col"/>
        <c:grouping val="clustered"/>
        <c:varyColors val="0"/>
        <c:ser>
          <c:idx val="0"/>
          <c:order val="0"/>
          <c:tx>
            <c:v>MDO 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Blue LH2 + LNG 2030 estimate</c:v>
              </c:pt>
            </c:strLit>
          </c:cat>
          <c:val>
            <c:numRef>
              <c:f>'OPEX costs fuel'!$B$9</c:f>
              <c:numCache>
                <c:formatCode>General</c:formatCode>
                <c:ptCount val="1"/>
                <c:pt idx="0">
                  <c:v>122000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2-5340-8CE6-C1B53BE2C593}"/>
            </c:ext>
          </c:extLst>
        </c:ser>
        <c:ser>
          <c:idx val="2"/>
          <c:order val="1"/>
          <c:tx>
            <c:v>Grey LH2 + LNG current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3380078275255916E-2"/>
                  <c:y val="0.3821945295232005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Current prices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66948582372319"/>
                      <c:h val="5.5276225189509087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6-FED2-5340-8CE6-C1B53BE2C5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Blue LH2 + LNG 2030 estimate</c:v>
              </c:pt>
            </c:strLit>
          </c:cat>
          <c:val>
            <c:numRef>
              <c:f>'OPEX costs fuel'!$B$13</c:f>
              <c:numCache>
                <c:formatCode>General</c:formatCode>
                <c:ptCount val="1"/>
                <c:pt idx="0">
                  <c:v>1023130.8409458664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D2-5340-8CE6-C1B53BE2C593}"/>
            </c:ext>
          </c:extLst>
        </c:ser>
        <c:ser>
          <c:idx val="6"/>
          <c:order val="2"/>
          <c:tx>
            <c:v>Blue LH2 + LNG current estimate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'OPEX costs fuel'!$B$17</c:f>
              <c:numCache>
                <c:formatCode>General</c:formatCode>
                <c:ptCount val="1"/>
                <c:pt idx="0">
                  <c:v>1223242.7376252329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91-A843-B99C-74B8E69DB8AA}"/>
            </c:ext>
          </c:extLst>
        </c:ser>
        <c:ser>
          <c:idx val="5"/>
          <c:order val="3"/>
          <c:tx>
            <c:v>Green LH2 + LNG current estimate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'OPEX costs fuel'!$B$10</c:f>
              <c:numCache>
                <c:formatCode>General</c:formatCode>
                <c:ptCount val="1"/>
                <c:pt idx="0">
                  <c:v>1931106.0864309787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91-A843-B99C-74B8E69DB8AA}"/>
            </c:ext>
          </c:extLst>
        </c:ser>
        <c:ser>
          <c:idx val="3"/>
          <c:order val="4"/>
          <c:tx>
            <c:v>Grey LH2 + LNG 2030 estimate 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1376674085368579E-2"/>
                  <c:y val="0.162935601001618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Future</a:t>
                    </a:r>
                    <a:r>
                      <a:rPr lang="en-US" baseline="0"/>
                      <a:t> estimates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FED2-5340-8CE6-C1B53BE2C5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Blue LH2 + LNG 2030 estimate</c:v>
              </c:pt>
            </c:strLit>
          </c:cat>
          <c:val>
            <c:numRef>
              <c:f>'OPEX costs fuel'!$B$14</c:f>
              <c:numCache>
                <c:formatCode>0</c:formatCode>
                <c:ptCount val="1"/>
                <c:pt idx="0">
                  <c:v>249971.24013922332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D2-5340-8CE6-C1B53BE2C593}"/>
            </c:ext>
          </c:extLst>
        </c:ser>
        <c:ser>
          <c:idx val="4"/>
          <c:order val="5"/>
          <c:tx>
            <c:v>Blue LH2 + LNG 2030 estimate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Blue LH2 + LNG 2030 estimate</c:v>
              </c:pt>
            </c:strLit>
          </c:cat>
          <c:val>
            <c:numRef>
              <c:f>'OPEX costs fuel'!$B$16</c:f>
              <c:numCache>
                <c:formatCode>0</c:formatCode>
                <c:ptCount val="1"/>
                <c:pt idx="0">
                  <c:v>295451.21665726113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D2-5340-8CE6-C1B53BE2C593}"/>
            </c:ext>
          </c:extLst>
        </c:ser>
        <c:ser>
          <c:idx val="1"/>
          <c:order val="6"/>
          <c:tx>
            <c:v>Green LH2 + LNG 2030 estimate 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091-A843-B99C-74B8E69DB8AA}"/>
              </c:ext>
            </c:extLst>
          </c:dPt>
          <c:cat>
            <c:strLit>
              <c:ptCount val="1"/>
              <c:pt idx="0">
                <c:v>Blue LH2 + LNG 2030 estimate</c:v>
              </c:pt>
            </c:strLit>
          </c:cat>
          <c:val>
            <c:numRef>
              <c:f>'OPEX costs fuel'!$B$11</c:f>
              <c:numCache>
                <c:formatCode>General</c:formatCode>
                <c:ptCount val="1"/>
                <c:pt idx="0">
                  <c:v>509856.82024229661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2-5340-8CE6-C1B53BE2C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953695"/>
        <c:axId val="2052955375"/>
      </c:barChart>
      <c:catAx>
        <c:axId val="205295369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52955375"/>
        <c:crosses val="autoZero"/>
        <c:auto val="1"/>
        <c:lblAlgn val="ctr"/>
        <c:lblOffset val="100"/>
        <c:noMultiLvlLbl val="0"/>
      </c:catAx>
      <c:valAx>
        <c:axId val="2052955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€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52953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LNG storage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IGNORE!$B$6:$B$136</c:f>
              <c:strCache>
                <c:ptCount val="131"/>
                <c:pt idx="0">
                  <c:v>Bergen</c:v>
                </c:pt>
                <c:pt idx="2">
                  <c:v>Florø</c:v>
                </c:pt>
                <c:pt idx="4">
                  <c:v>Måløy</c:v>
                </c:pt>
                <c:pt idx="6">
                  <c:v>Torvik</c:v>
                </c:pt>
                <c:pt idx="8">
                  <c:v>Ålesund</c:v>
                </c:pt>
                <c:pt idx="10">
                  <c:v>Molde</c:v>
                </c:pt>
                <c:pt idx="12">
                  <c:v>Kristansund</c:v>
                </c:pt>
                <c:pt idx="14">
                  <c:v>Trondheim</c:v>
                </c:pt>
                <c:pt idx="16">
                  <c:v>Rørvik</c:v>
                </c:pt>
                <c:pt idx="18">
                  <c:v>Brønnøysund</c:v>
                </c:pt>
                <c:pt idx="20">
                  <c:v>Sandnessjøen</c:v>
                </c:pt>
                <c:pt idx="22">
                  <c:v>Nesna</c:v>
                </c:pt>
                <c:pt idx="24">
                  <c:v>Ørnes</c:v>
                </c:pt>
                <c:pt idx="26">
                  <c:v>Bodø</c:v>
                </c:pt>
                <c:pt idx="28">
                  <c:v>Stamsund</c:v>
                </c:pt>
                <c:pt idx="30">
                  <c:v>Svolvær</c:v>
                </c:pt>
                <c:pt idx="32">
                  <c:v>Stokmarknes</c:v>
                </c:pt>
                <c:pt idx="34">
                  <c:v>Sortland</c:v>
                </c:pt>
                <c:pt idx="36">
                  <c:v>Risøyhamn</c:v>
                </c:pt>
                <c:pt idx="38">
                  <c:v>Harstad</c:v>
                </c:pt>
                <c:pt idx="40">
                  <c:v>Finnsnes</c:v>
                </c:pt>
                <c:pt idx="42">
                  <c:v>Tromsø</c:v>
                </c:pt>
                <c:pt idx="44">
                  <c:v>Skjervøy</c:v>
                </c:pt>
                <c:pt idx="46">
                  <c:v>Øksfjord</c:v>
                </c:pt>
                <c:pt idx="48">
                  <c:v>Hammerfest</c:v>
                </c:pt>
                <c:pt idx="50">
                  <c:v>Havøysund</c:v>
                </c:pt>
                <c:pt idx="52">
                  <c:v>Honningsvåg</c:v>
                </c:pt>
                <c:pt idx="54">
                  <c:v>Kjøllefjord</c:v>
                </c:pt>
                <c:pt idx="56">
                  <c:v>Mehamn</c:v>
                </c:pt>
                <c:pt idx="58">
                  <c:v>Berlevåg</c:v>
                </c:pt>
                <c:pt idx="60">
                  <c:v>Båtsfjord</c:v>
                </c:pt>
                <c:pt idx="62">
                  <c:v>Vardø</c:v>
                </c:pt>
                <c:pt idx="64">
                  <c:v>Vadsø</c:v>
                </c:pt>
                <c:pt idx="66">
                  <c:v>Kirkenes</c:v>
                </c:pt>
                <c:pt idx="68">
                  <c:v>Vardø</c:v>
                </c:pt>
                <c:pt idx="70">
                  <c:v>Båtsfjord</c:v>
                </c:pt>
                <c:pt idx="72">
                  <c:v>Berlevåg</c:v>
                </c:pt>
                <c:pt idx="74">
                  <c:v>Mehamn</c:v>
                </c:pt>
                <c:pt idx="76">
                  <c:v>Kjøllefjord</c:v>
                </c:pt>
                <c:pt idx="78">
                  <c:v>Honningsvåg</c:v>
                </c:pt>
                <c:pt idx="80">
                  <c:v>Havøysund</c:v>
                </c:pt>
                <c:pt idx="82">
                  <c:v>Hammerfest</c:v>
                </c:pt>
                <c:pt idx="84">
                  <c:v>Øksfjord</c:v>
                </c:pt>
                <c:pt idx="86">
                  <c:v>Skjervøy</c:v>
                </c:pt>
                <c:pt idx="88">
                  <c:v>Tromsø</c:v>
                </c:pt>
                <c:pt idx="90">
                  <c:v>Finnsnes</c:v>
                </c:pt>
                <c:pt idx="92">
                  <c:v>Harstad</c:v>
                </c:pt>
                <c:pt idx="94">
                  <c:v>Risøyhamn</c:v>
                </c:pt>
                <c:pt idx="96">
                  <c:v>Sortland</c:v>
                </c:pt>
                <c:pt idx="98">
                  <c:v>Stokmarknes</c:v>
                </c:pt>
                <c:pt idx="100">
                  <c:v>Svovlær</c:v>
                </c:pt>
                <c:pt idx="102">
                  <c:v>Stamsund</c:v>
                </c:pt>
                <c:pt idx="104">
                  <c:v>Bodø</c:v>
                </c:pt>
                <c:pt idx="106">
                  <c:v>Ørnes</c:v>
                </c:pt>
                <c:pt idx="108">
                  <c:v>Nesna </c:v>
                </c:pt>
                <c:pt idx="110">
                  <c:v>Sandnessjøen</c:v>
                </c:pt>
                <c:pt idx="112">
                  <c:v>Brønnøysund</c:v>
                </c:pt>
                <c:pt idx="114">
                  <c:v>Rørvik</c:v>
                </c:pt>
                <c:pt idx="116">
                  <c:v>Trondheim</c:v>
                </c:pt>
                <c:pt idx="118">
                  <c:v>Kristiandsund</c:v>
                </c:pt>
                <c:pt idx="120">
                  <c:v>Molde</c:v>
                </c:pt>
                <c:pt idx="122">
                  <c:v>Ålesund</c:v>
                </c:pt>
                <c:pt idx="124">
                  <c:v>Torvik</c:v>
                </c:pt>
                <c:pt idx="126">
                  <c:v>Måløy</c:v>
                </c:pt>
                <c:pt idx="128">
                  <c:v>Florø</c:v>
                </c:pt>
                <c:pt idx="130">
                  <c:v>Bergen</c:v>
                </c:pt>
              </c:strCache>
            </c:strRef>
          </c:cat>
          <c:val>
            <c:numRef>
              <c:f>IGNORE!$AA$6:$AA$136</c:f>
              <c:numCache>
                <c:formatCode>General</c:formatCode>
                <c:ptCount val="131"/>
                <c:pt idx="0">
                  <c:v>6.6808703098699773</c:v>
                </c:pt>
                <c:pt idx="1">
                  <c:v>6.6808703098699773</c:v>
                </c:pt>
                <c:pt idx="2">
                  <c:v>6.6808703098699773</c:v>
                </c:pt>
                <c:pt idx="3">
                  <c:v>6.6808703098699773</c:v>
                </c:pt>
                <c:pt idx="4">
                  <c:v>6.6808703098699773</c:v>
                </c:pt>
                <c:pt idx="5">
                  <c:v>6.6808703098699773</c:v>
                </c:pt>
                <c:pt idx="6">
                  <c:v>6.6808703098699773</c:v>
                </c:pt>
                <c:pt idx="7">
                  <c:v>6.6808703098699773</c:v>
                </c:pt>
                <c:pt idx="8">
                  <c:v>6.6808703098699773</c:v>
                </c:pt>
                <c:pt idx="9">
                  <c:v>6.6808703098699773</c:v>
                </c:pt>
                <c:pt idx="10">
                  <c:v>6.6808703098699773</c:v>
                </c:pt>
                <c:pt idx="11">
                  <c:v>6.6808703098699773</c:v>
                </c:pt>
                <c:pt idx="12">
                  <c:v>6.6808703098699773</c:v>
                </c:pt>
                <c:pt idx="13">
                  <c:v>3.5035151778861291</c:v>
                </c:pt>
                <c:pt idx="14">
                  <c:v>6.6808703098699773</c:v>
                </c:pt>
                <c:pt idx="15">
                  <c:v>6.6808703098699773</c:v>
                </c:pt>
                <c:pt idx="16">
                  <c:v>6.6808703098699773</c:v>
                </c:pt>
                <c:pt idx="17">
                  <c:v>6.6808703098699773</c:v>
                </c:pt>
                <c:pt idx="18">
                  <c:v>6.6808703098699773</c:v>
                </c:pt>
                <c:pt idx="19">
                  <c:v>6.6808703098699773</c:v>
                </c:pt>
                <c:pt idx="20">
                  <c:v>6.6808703098699773</c:v>
                </c:pt>
                <c:pt idx="21">
                  <c:v>6.0951906211613167</c:v>
                </c:pt>
                <c:pt idx="22">
                  <c:v>5.9654307997581268</c:v>
                </c:pt>
                <c:pt idx="23">
                  <c:v>3.1107147288879475</c:v>
                </c:pt>
                <c:pt idx="24">
                  <c:v>2.9809549074847581</c:v>
                </c:pt>
                <c:pt idx="25">
                  <c:v>0.83991785433212263</c:v>
                </c:pt>
                <c:pt idx="26">
                  <c:v>6.6808703098699773</c:v>
                </c:pt>
                <c:pt idx="27">
                  <c:v>6.6808703098699773</c:v>
                </c:pt>
                <c:pt idx="28">
                  <c:v>6.6808703098699773</c:v>
                </c:pt>
                <c:pt idx="29">
                  <c:v>6.6808703098699773</c:v>
                </c:pt>
                <c:pt idx="30">
                  <c:v>6.6808703098699773</c:v>
                </c:pt>
                <c:pt idx="31">
                  <c:v>6.6808703098699773</c:v>
                </c:pt>
                <c:pt idx="32">
                  <c:v>6.6808703098699773</c:v>
                </c:pt>
                <c:pt idx="33">
                  <c:v>6.6808703098699773</c:v>
                </c:pt>
                <c:pt idx="34">
                  <c:v>6.6808703098699773</c:v>
                </c:pt>
                <c:pt idx="35">
                  <c:v>6.6808703098699773</c:v>
                </c:pt>
                <c:pt idx="36">
                  <c:v>6.6808703098699773</c:v>
                </c:pt>
                <c:pt idx="37">
                  <c:v>6.1600705318629121</c:v>
                </c:pt>
                <c:pt idx="38">
                  <c:v>5.381511603443772</c:v>
                </c:pt>
                <c:pt idx="39">
                  <c:v>2.8511950860815678</c:v>
                </c:pt>
                <c:pt idx="40">
                  <c:v>2.4619156218719973</c:v>
                </c:pt>
                <c:pt idx="41">
                  <c:v>0.32087856871936316</c:v>
                </c:pt>
                <c:pt idx="42">
                  <c:v>6.6808703098699773</c:v>
                </c:pt>
                <c:pt idx="43">
                  <c:v>6.6808703098699773</c:v>
                </c:pt>
                <c:pt idx="44">
                  <c:v>6.6808703098699773</c:v>
                </c:pt>
                <c:pt idx="45">
                  <c:v>6.6808703098699773</c:v>
                </c:pt>
                <c:pt idx="46">
                  <c:v>6.6808703098699773</c:v>
                </c:pt>
                <c:pt idx="47">
                  <c:v>6.6808703098699773</c:v>
                </c:pt>
                <c:pt idx="48">
                  <c:v>6.6808703098699773</c:v>
                </c:pt>
                <c:pt idx="49">
                  <c:v>6.6808703098699773</c:v>
                </c:pt>
                <c:pt idx="50">
                  <c:v>6.6808703098699773</c:v>
                </c:pt>
                <c:pt idx="51">
                  <c:v>6.4231111594579042</c:v>
                </c:pt>
                <c:pt idx="52">
                  <c:v>6.6808703098699773</c:v>
                </c:pt>
                <c:pt idx="53">
                  <c:v>6.6808703098699773</c:v>
                </c:pt>
                <c:pt idx="54">
                  <c:v>6.6808703098699773</c:v>
                </c:pt>
                <c:pt idx="55">
                  <c:v>6.6808703098699773</c:v>
                </c:pt>
                <c:pt idx="56">
                  <c:v>6.6808703098699773</c:v>
                </c:pt>
                <c:pt idx="57">
                  <c:v>6.6808703098699773</c:v>
                </c:pt>
                <c:pt idx="58">
                  <c:v>6.6808703098699773</c:v>
                </c:pt>
                <c:pt idx="59">
                  <c:v>6.6808703098699773</c:v>
                </c:pt>
                <c:pt idx="60">
                  <c:v>6.6808703098699773</c:v>
                </c:pt>
                <c:pt idx="61">
                  <c:v>6.6808703098699773</c:v>
                </c:pt>
                <c:pt idx="62">
                  <c:v>6.6808703098699773</c:v>
                </c:pt>
                <c:pt idx="63">
                  <c:v>7.0070303557722582</c:v>
                </c:pt>
                <c:pt idx="64">
                  <c:v>6.6177508915626886</c:v>
                </c:pt>
                <c:pt idx="65">
                  <c:v>5.2552727668291936</c:v>
                </c:pt>
                <c:pt idx="66">
                  <c:v>6.6808703098699773</c:v>
                </c:pt>
                <c:pt idx="67">
                  <c:v>6.6808703098699773</c:v>
                </c:pt>
                <c:pt idx="68">
                  <c:v>6.6808703098699773</c:v>
                </c:pt>
                <c:pt idx="69">
                  <c:v>6.6808703098699773</c:v>
                </c:pt>
                <c:pt idx="70">
                  <c:v>6.6808703098699773</c:v>
                </c:pt>
                <c:pt idx="71">
                  <c:v>6.6808703098699773</c:v>
                </c:pt>
                <c:pt idx="72">
                  <c:v>6.6808703098699773</c:v>
                </c:pt>
                <c:pt idx="73">
                  <c:v>6.6808703098699773</c:v>
                </c:pt>
                <c:pt idx="74">
                  <c:v>6.6808703098699773</c:v>
                </c:pt>
                <c:pt idx="75">
                  <c:v>6.6808703098699773</c:v>
                </c:pt>
                <c:pt idx="76">
                  <c:v>6.6808703098699773</c:v>
                </c:pt>
                <c:pt idx="77">
                  <c:v>6.2284714273531172</c:v>
                </c:pt>
                <c:pt idx="78">
                  <c:v>6.6808703098699773</c:v>
                </c:pt>
                <c:pt idx="79">
                  <c:v>6.6808703098699773</c:v>
                </c:pt>
                <c:pt idx="80">
                  <c:v>6.6808703098699773</c:v>
                </c:pt>
                <c:pt idx="81">
                  <c:v>6.6808703098699773</c:v>
                </c:pt>
                <c:pt idx="82">
                  <c:v>6.6808703098699773</c:v>
                </c:pt>
                <c:pt idx="83">
                  <c:v>6.6808703098699773</c:v>
                </c:pt>
                <c:pt idx="84">
                  <c:v>6.6808703098699773</c:v>
                </c:pt>
                <c:pt idx="85">
                  <c:v>6.6808703098699773</c:v>
                </c:pt>
                <c:pt idx="86">
                  <c:v>6.6808703098699773</c:v>
                </c:pt>
                <c:pt idx="87">
                  <c:v>5.4499124989339771</c:v>
                </c:pt>
                <c:pt idx="88">
                  <c:v>6.6808703098699773</c:v>
                </c:pt>
                <c:pt idx="89">
                  <c:v>6.6808703098699773</c:v>
                </c:pt>
                <c:pt idx="90">
                  <c:v>6.6808703098699773</c:v>
                </c:pt>
                <c:pt idx="91">
                  <c:v>6.6808703098699773</c:v>
                </c:pt>
                <c:pt idx="92">
                  <c:v>6.6808703098699773</c:v>
                </c:pt>
                <c:pt idx="93">
                  <c:v>6.6808703098699773</c:v>
                </c:pt>
                <c:pt idx="94">
                  <c:v>6.6808703098699773</c:v>
                </c:pt>
                <c:pt idx="95">
                  <c:v>6.6808703098699773</c:v>
                </c:pt>
                <c:pt idx="96">
                  <c:v>6.6808703098699773</c:v>
                </c:pt>
                <c:pt idx="97">
                  <c:v>6.6808703098699773</c:v>
                </c:pt>
                <c:pt idx="98">
                  <c:v>6.6808703098699773</c:v>
                </c:pt>
                <c:pt idx="99">
                  <c:v>6.2284714273531172</c:v>
                </c:pt>
                <c:pt idx="100">
                  <c:v>4.6713535705148388</c:v>
                </c:pt>
                <c:pt idx="101">
                  <c:v>3.5035151778861287</c:v>
                </c:pt>
                <c:pt idx="102">
                  <c:v>3.1142357136765582</c:v>
                </c:pt>
                <c:pt idx="103">
                  <c:v>0</c:v>
                </c:pt>
                <c:pt idx="104">
                  <c:v>6.6808703098699773</c:v>
                </c:pt>
                <c:pt idx="105">
                  <c:v>6.6808703098699773</c:v>
                </c:pt>
                <c:pt idx="106">
                  <c:v>6.6808703098699773</c:v>
                </c:pt>
                <c:pt idx="107">
                  <c:v>6.6808703098699773</c:v>
                </c:pt>
                <c:pt idx="108">
                  <c:v>6.6808703098699773</c:v>
                </c:pt>
                <c:pt idx="109">
                  <c:v>6.6808703098699773</c:v>
                </c:pt>
                <c:pt idx="110">
                  <c:v>6.6808703098699773</c:v>
                </c:pt>
                <c:pt idx="111">
                  <c:v>6.6808703098699773</c:v>
                </c:pt>
                <c:pt idx="112">
                  <c:v>6.6808703098699773</c:v>
                </c:pt>
                <c:pt idx="113">
                  <c:v>6.033831695248332</c:v>
                </c:pt>
                <c:pt idx="114">
                  <c:v>5.6445522310387615</c:v>
                </c:pt>
                <c:pt idx="115">
                  <c:v>0.19463973210478258</c:v>
                </c:pt>
                <c:pt idx="116">
                  <c:v>6.6808703098699773</c:v>
                </c:pt>
                <c:pt idx="117">
                  <c:v>6.6808703098699773</c:v>
                </c:pt>
                <c:pt idx="118">
                  <c:v>6.6808703098699773</c:v>
                </c:pt>
                <c:pt idx="119">
                  <c:v>6.6808703098699773</c:v>
                </c:pt>
                <c:pt idx="120">
                  <c:v>6.6808703098699773</c:v>
                </c:pt>
                <c:pt idx="121">
                  <c:v>6.6808703098699773</c:v>
                </c:pt>
                <c:pt idx="122">
                  <c:v>6.6808703098699773</c:v>
                </c:pt>
                <c:pt idx="123">
                  <c:v>6.6808703098699773</c:v>
                </c:pt>
                <c:pt idx="124">
                  <c:v>6.6808703098699773</c:v>
                </c:pt>
                <c:pt idx="125">
                  <c:v>6.6808703098699773</c:v>
                </c:pt>
                <c:pt idx="126">
                  <c:v>6.6808703098699773</c:v>
                </c:pt>
                <c:pt idx="127">
                  <c:v>6.6808703098699773</c:v>
                </c:pt>
                <c:pt idx="128">
                  <c:v>6.6808703098699773</c:v>
                </c:pt>
                <c:pt idx="129">
                  <c:v>6.6808703098699773</c:v>
                </c:pt>
                <c:pt idx="130">
                  <c:v>6.6808703098699773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EE-4F7C-B021-0B8C8E871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5638848"/>
        <c:axId val="867059888"/>
      </c:lineChart>
      <c:catAx>
        <c:axId val="25563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67059888"/>
        <c:crosses val="autoZero"/>
        <c:auto val="1"/>
        <c:lblAlgn val="ctr"/>
        <c:lblOffset val="100"/>
        <c:noMultiLvlLbl val="0"/>
      </c:catAx>
      <c:valAx>
        <c:axId val="86705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55638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Content</a:t>
            </a:r>
            <a:r>
              <a:rPr lang="nb-NO" baseline="0"/>
              <a:t> storage tank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Hydrogen tank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IGNORE!$B$6:$B$136</c:f>
              <c:strCache>
                <c:ptCount val="131"/>
                <c:pt idx="0">
                  <c:v>Bergen</c:v>
                </c:pt>
                <c:pt idx="2">
                  <c:v>Florø</c:v>
                </c:pt>
                <c:pt idx="4">
                  <c:v>Måløy</c:v>
                </c:pt>
                <c:pt idx="6">
                  <c:v>Torvik</c:v>
                </c:pt>
                <c:pt idx="8">
                  <c:v>Ålesund</c:v>
                </c:pt>
                <c:pt idx="10">
                  <c:v>Molde</c:v>
                </c:pt>
                <c:pt idx="12">
                  <c:v>Kristansund</c:v>
                </c:pt>
                <c:pt idx="14">
                  <c:v>Trondheim</c:v>
                </c:pt>
                <c:pt idx="16">
                  <c:v>Rørvik</c:v>
                </c:pt>
                <c:pt idx="18">
                  <c:v>Brønnøysund</c:v>
                </c:pt>
                <c:pt idx="20">
                  <c:v>Sandnessjøen</c:v>
                </c:pt>
                <c:pt idx="22">
                  <c:v>Nesna</c:v>
                </c:pt>
                <c:pt idx="24">
                  <c:v>Ørnes</c:v>
                </c:pt>
                <c:pt idx="26">
                  <c:v>Bodø</c:v>
                </c:pt>
                <c:pt idx="28">
                  <c:v>Stamsund</c:v>
                </c:pt>
                <c:pt idx="30">
                  <c:v>Svolvær</c:v>
                </c:pt>
                <c:pt idx="32">
                  <c:v>Stokmarknes</c:v>
                </c:pt>
                <c:pt idx="34">
                  <c:v>Sortland</c:v>
                </c:pt>
                <c:pt idx="36">
                  <c:v>Risøyhamn</c:v>
                </c:pt>
                <c:pt idx="38">
                  <c:v>Harstad</c:v>
                </c:pt>
                <c:pt idx="40">
                  <c:v>Finnsnes</c:v>
                </c:pt>
                <c:pt idx="42">
                  <c:v>Tromsø</c:v>
                </c:pt>
                <c:pt idx="44">
                  <c:v>Skjervøy</c:v>
                </c:pt>
                <c:pt idx="46">
                  <c:v>Øksfjord</c:v>
                </c:pt>
                <c:pt idx="48">
                  <c:v>Hammerfest</c:v>
                </c:pt>
                <c:pt idx="50">
                  <c:v>Havøysund</c:v>
                </c:pt>
                <c:pt idx="52">
                  <c:v>Honningsvåg</c:v>
                </c:pt>
                <c:pt idx="54">
                  <c:v>Kjøllefjord</c:v>
                </c:pt>
                <c:pt idx="56">
                  <c:v>Mehamn</c:v>
                </c:pt>
                <c:pt idx="58">
                  <c:v>Berlevåg</c:v>
                </c:pt>
                <c:pt idx="60">
                  <c:v>Båtsfjord</c:v>
                </c:pt>
                <c:pt idx="62">
                  <c:v>Vardø</c:v>
                </c:pt>
                <c:pt idx="64">
                  <c:v>Vadsø</c:v>
                </c:pt>
                <c:pt idx="66">
                  <c:v>Kirkenes</c:v>
                </c:pt>
                <c:pt idx="68">
                  <c:v>Vardø</c:v>
                </c:pt>
                <c:pt idx="70">
                  <c:v>Båtsfjord</c:v>
                </c:pt>
                <c:pt idx="72">
                  <c:v>Berlevåg</c:v>
                </c:pt>
                <c:pt idx="74">
                  <c:v>Mehamn</c:v>
                </c:pt>
                <c:pt idx="76">
                  <c:v>Kjøllefjord</c:v>
                </c:pt>
                <c:pt idx="78">
                  <c:v>Honningsvåg</c:v>
                </c:pt>
                <c:pt idx="80">
                  <c:v>Havøysund</c:v>
                </c:pt>
                <c:pt idx="82">
                  <c:v>Hammerfest</c:v>
                </c:pt>
                <c:pt idx="84">
                  <c:v>Øksfjord</c:v>
                </c:pt>
                <c:pt idx="86">
                  <c:v>Skjervøy</c:v>
                </c:pt>
                <c:pt idx="88">
                  <c:v>Tromsø</c:v>
                </c:pt>
                <c:pt idx="90">
                  <c:v>Finnsnes</c:v>
                </c:pt>
                <c:pt idx="92">
                  <c:v>Harstad</c:v>
                </c:pt>
                <c:pt idx="94">
                  <c:v>Risøyhamn</c:v>
                </c:pt>
                <c:pt idx="96">
                  <c:v>Sortland</c:v>
                </c:pt>
                <c:pt idx="98">
                  <c:v>Stokmarknes</c:v>
                </c:pt>
                <c:pt idx="100">
                  <c:v>Svovlær</c:v>
                </c:pt>
                <c:pt idx="102">
                  <c:v>Stamsund</c:v>
                </c:pt>
                <c:pt idx="104">
                  <c:v>Bodø</c:v>
                </c:pt>
                <c:pt idx="106">
                  <c:v>Ørnes</c:v>
                </c:pt>
                <c:pt idx="108">
                  <c:v>Nesna </c:v>
                </c:pt>
                <c:pt idx="110">
                  <c:v>Sandnessjøen</c:v>
                </c:pt>
                <c:pt idx="112">
                  <c:v>Brønnøysund</c:v>
                </c:pt>
                <c:pt idx="114">
                  <c:v>Rørvik</c:v>
                </c:pt>
                <c:pt idx="116">
                  <c:v>Trondheim</c:v>
                </c:pt>
                <c:pt idx="118">
                  <c:v>Kristiandsund</c:v>
                </c:pt>
                <c:pt idx="120">
                  <c:v>Molde</c:v>
                </c:pt>
                <c:pt idx="122">
                  <c:v>Ålesund</c:v>
                </c:pt>
                <c:pt idx="124">
                  <c:v>Torvik</c:v>
                </c:pt>
                <c:pt idx="126">
                  <c:v>Måløy</c:v>
                </c:pt>
                <c:pt idx="128">
                  <c:v>Florø</c:v>
                </c:pt>
                <c:pt idx="130">
                  <c:v>Bergen</c:v>
                </c:pt>
              </c:strCache>
            </c:strRef>
          </c:cat>
          <c:val>
            <c:numRef>
              <c:f>'Route and energy requirements 2'!$S$6:$S$136</c:f>
              <c:numCache>
                <c:formatCode>0.0</c:formatCode>
                <c:ptCount val="131"/>
                <c:pt idx="0">
                  <c:v>100</c:v>
                </c:pt>
                <c:pt idx="1">
                  <c:v>63.456810080966598</c:v>
                </c:pt>
                <c:pt idx="2">
                  <c:v>62.441721472104547</c:v>
                </c:pt>
                <c:pt idx="3">
                  <c:v>50.260658165760077</c:v>
                </c:pt>
                <c:pt idx="4">
                  <c:v>49.245569556898047</c:v>
                </c:pt>
                <c:pt idx="5">
                  <c:v>33.004151815105416</c:v>
                </c:pt>
                <c:pt idx="6">
                  <c:v>31.98906320624338</c:v>
                </c:pt>
                <c:pt idx="7">
                  <c:v>25.390987248640123</c:v>
                </c:pt>
                <c:pt idx="8">
                  <c:v>100</c:v>
                </c:pt>
                <c:pt idx="9">
                  <c:v>83.251037953776347</c:v>
                </c:pt>
                <c:pt idx="10">
                  <c:v>66.502075907552722</c:v>
                </c:pt>
                <c:pt idx="11">
                  <c:v>45.185215121449893</c:v>
                </c:pt>
                <c:pt idx="12">
                  <c:v>26.913620161933189</c:v>
                </c:pt>
                <c:pt idx="13">
                  <c:v>0</c:v>
                </c:pt>
                <c:pt idx="14">
                  <c:v>100</c:v>
                </c:pt>
                <c:pt idx="15">
                  <c:v>45.185215121449886</c:v>
                </c:pt>
                <c:pt idx="16">
                  <c:v>43.662582208156827</c:v>
                </c:pt>
                <c:pt idx="17">
                  <c:v>29.958885988519306</c:v>
                </c:pt>
                <c:pt idx="18">
                  <c:v>28.943797379657266</c:v>
                </c:pt>
                <c:pt idx="19">
                  <c:v>12.702379637864643</c:v>
                </c:pt>
                <c:pt idx="20">
                  <c:v>11.687291029002605</c:v>
                </c:pt>
                <c:pt idx="21">
                  <c:v>4.5816707669683279</c:v>
                </c:pt>
                <c:pt idx="22">
                  <c:v>3.566582158106292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100</c:v>
                </c:pt>
                <c:pt idx="27">
                  <c:v>75.637873387311075</c:v>
                </c:pt>
                <c:pt idx="28">
                  <c:v>72.592607560724943</c:v>
                </c:pt>
                <c:pt idx="29">
                  <c:v>63.456810080966598</c:v>
                </c:pt>
                <c:pt idx="30">
                  <c:v>57.366278427794356</c:v>
                </c:pt>
                <c:pt idx="31">
                  <c:v>39.094683468277658</c:v>
                </c:pt>
                <c:pt idx="32">
                  <c:v>37.572050554984592</c:v>
                </c:pt>
                <c:pt idx="33">
                  <c:v>28.436253075226247</c:v>
                </c:pt>
                <c:pt idx="34">
                  <c:v>26.913620161933181</c:v>
                </c:pt>
                <c:pt idx="35">
                  <c:v>19.300455595467891</c:v>
                </c:pt>
                <c:pt idx="36">
                  <c:v>17.777822682174833</c:v>
                </c:pt>
                <c:pt idx="37">
                  <c:v>4.0741264625373033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100</c:v>
                </c:pt>
                <c:pt idx="43">
                  <c:v>75.637873387311075</c:v>
                </c:pt>
                <c:pt idx="44">
                  <c:v>74.115240474018023</c:v>
                </c:pt>
                <c:pt idx="45">
                  <c:v>54.321012601208253</c:v>
                </c:pt>
                <c:pt idx="46">
                  <c:v>52.798379687915201</c:v>
                </c:pt>
                <c:pt idx="47">
                  <c:v>34.526784728398489</c:v>
                </c:pt>
                <c:pt idx="48">
                  <c:v>29.958885988519313</c:v>
                </c:pt>
                <c:pt idx="49">
                  <c:v>13.209923942295671</c:v>
                </c:pt>
                <c:pt idx="50">
                  <c:v>10.16465811570955</c:v>
                </c:pt>
                <c:pt idx="51">
                  <c:v>0</c:v>
                </c:pt>
                <c:pt idx="52">
                  <c:v>100</c:v>
                </c:pt>
                <c:pt idx="53">
                  <c:v>86.296303780362464</c:v>
                </c:pt>
                <c:pt idx="54">
                  <c:v>84.773670867069413</c:v>
                </c:pt>
                <c:pt idx="55">
                  <c:v>72.592607560724943</c:v>
                </c:pt>
                <c:pt idx="56">
                  <c:v>71.069974647431906</c:v>
                </c:pt>
                <c:pt idx="57">
                  <c:v>55.843645514501318</c:v>
                </c:pt>
                <c:pt idx="58">
                  <c:v>54.321012601208253</c:v>
                </c:pt>
                <c:pt idx="59">
                  <c:v>43.662582208156827</c:v>
                </c:pt>
                <c:pt idx="60">
                  <c:v>42.139949294863769</c:v>
                </c:pt>
                <c:pt idx="61">
                  <c:v>23.868354335347071</c:v>
                </c:pt>
                <c:pt idx="62">
                  <c:v>22.345721422054012</c:v>
                </c:pt>
                <c:pt idx="63">
                  <c:v>2.5514935492442494</c:v>
                </c:pt>
                <c:pt idx="64">
                  <c:v>0</c:v>
                </c:pt>
                <c:pt idx="65">
                  <c:v>0</c:v>
                </c:pt>
                <c:pt idx="66">
                  <c:v>100</c:v>
                </c:pt>
                <c:pt idx="67">
                  <c:v>80.205772127190244</c:v>
                </c:pt>
                <c:pt idx="68">
                  <c:v>74.115240474018009</c:v>
                </c:pt>
                <c:pt idx="69">
                  <c:v>55.843645514501297</c:v>
                </c:pt>
                <c:pt idx="70">
                  <c:v>52.798379687915173</c:v>
                </c:pt>
                <c:pt idx="71">
                  <c:v>43.662582208156827</c:v>
                </c:pt>
                <c:pt idx="72">
                  <c:v>42.139949294863769</c:v>
                </c:pt>
                <c:pt idx="73">
                  <c:v>25.390987248640123</c:v>
                </c:pt>
                <c:pt idx="74">
                  <c:v>23.868354335347064</c:v>
                </c:pt>
                <c:pt idx="75">
                  <c:v>13.209923942295656</c:v>
                </c:pt>
                <c:pt idx="76">
                  <c:v>11.687291029002594</c:v>
                </c:pt>
                <c:pt idx="77">
                  <c:v>0</c:v>
                </c:pt>
                <c:pt idx="78">
                  <c:v>100</c:v>
                </c:pt>
                <c:pt idx="79">
                  <c:v>87.81893669365553</c:v>
                </c:pt>
                <c:pt idx="80">
                  <c:v>86.296303780362464</c:v>
                </c:pt>
                <c:pt idx="81">
                  <c:v>69.547341734138826</c:v>
                </c:pt>
                <c:pt idx="82">
                  <c:v>57.366278427794356</c:v>
                </c:pt>
                <c:pt idx="83">
                  <c:v>40.617316381570703</c:v>
                </c:pt>
                <c:pt idx="84">
                  <c:v>39.094683468277658</c:v>
                </c:pt>
                <c:pt idx="85">
                  <c:v>17.777822682174829</c:v>
                </c:pt>
                <c:pt idx="86">
                  <c:v>14.732556855588724</c:v>
                </c:pt>
                <c:pt idx="87">
                  <c:v>0</c:v>
                </c:pt>
                <c:pt idx="88">
                  <c:v>100</c:v>
                </c:pt>
                <c:pt idx="89">
                  <c:v>83.251037953776347</c:v>
                </c:pt>
                <c:pt idx="90">
                  <c:v>80.205772127190244</c:v>
                </c:pt>
                <c:pt idx="91">
                  <c:v>61.426632863242503</c:v>
                </c:pt>
                <c:pt idx="92">
                  <c:v>57.366278427794349</c:v>
                </c:pt>
                <c:pt idx="93">
                  <c:v>43.662582208156827</c:v>
                </c:pt>
                <c:pt idx="94">
                  <c:v>42.139949294863769</c:v>
                </c:pt>
                <c:pt idx="95">
                  <c:v>33.004151815105416</c:v>
                </c:pt>
                <c:pt idx="96">
                  <c:v>29.958885988519306</c:v>
                </c:pt>
                <c:pt idx="97">
                  <c:v>22.345721422054009</c:v>
                </c:pt>
                <c:pt idx="98">
                  <c:v>16.255189768881777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100</c:v>
                </c:pt>
                <c:pt idx="105">
                  <c:v>82.235949344914317</c:v>
                </c:pt>
                <c:pt idx="106">
                  <c:v>81.220860736052288</c:v>
                </c:pt>
                <c:pt idx="107">
                  <c:v>59.396455645518429</c:v>
                </c:pt>
                <c:pt idx="108">
                  <c:v>58.381367036656371</c:v>
                </c:pt>
                <c:pt idx="109">
                  <c:v>51.275746774622121</c:v>
                </c:pt>
                <c:pt idx="110">
                  <c:v>48.230480948036003</c:v>
                </c:pt>
                <c:pt idx="111">
                  <c:v>31.48151890181235</c:v>
                </c:pt>
                <c:pt idx="112">
                  <c:v>16.255189768881774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100</c:v>
                </c:pt>
                <c:pt idx="117">
                  <c:v>82.235949344914317</c:v>
                </c:pt>
                <c:pt idx="118">
                  <c:v>81.220860736052288</c:v>
                </c:pt>
                <c:pt idx="119">
                  <c:v>59.396455645518429</c:v>
                </c:pt>
                <c:pt idx="120">
                  <c:v>58.381367036656371</c:v>
                </c:pt>
                <c:pt idx="121">
                  <c:v>51.275746774622121</c:v>
                </c:pt>
                <c:pt idx="122">
                  <c:v>100</c:v>
                </c:pt>
                <c:pt idx="123">
                  <c:v>92.386835433534714</c:v>
                </c:pt>
                <c:pt idx="124">
                  <c:v>90.864202520241662</c:v>
                </c:pt>
                <c:pt idx="125">
                  <c:v>74.115240474018009</c:v>
                </c:pt>
                <c:pt idx="126">
                  <c:v>72.085063256293935</c:v>
                </c:pt>
                <c:pt idx="127">
                  <c:v>58.888911341087422</c:v>
                </c:pt>
                <c:pt idx="128">
                  <c:v>55.843645514501304</c:v>
                </c:pt>
                <c:pt idx="129">
                  <c:v>17.777822682174843</c:v>
                </c:pt>
                <c:pt idx="1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88-44AF-8390-B3E2085706CC}"/>
            </c:ext>
          </c:extLst>
        </c:ser>
        <c:ser>
          <c:idx val="1"/>
          <c:order val="1"/>
          <c:tx>
            <c:v>LNG tank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IGNORE!$B$6:$B$136</c:f>
              <c:strCache>
                <c:ptCount val="131"/>
                <c:pt idx="0">
                  <c:v>Bergen</c:v>
                </c:pt>
                <c:pt idx="2">
                  <c:v>Florø</c:v>
                </c:pt>
                <c:pt idx="4">
                  <c:v>Måløy</c:v>
                </c:pt>
                <c:pt idx="6">
                  <c:v>Torvik</c:v>
                </c:pt>
                <c:pt idx="8">
                  <c:v>Ålesund</c:v>
                </c:pt>
                <c:pt idx="10">
                  <c:v>Molde</c:v>
                </c:pt>
                <c:pt idx="12">
                  <c:v>Kristansund</c:v>
                </c:pt>
                <c:pt idx="14">
                  <c:v>Trondheim</c:v>
                </c:pt>
                <c:pt idx="16">
                  <c:v>Rørvik</c:v>
                </c:pt>
                <c:pt idx="18">
                  <c:v>Brønnøysund</c:v>
                </c:pt>
                <c:pt idx="20">
                  <c:v>Sandnessjøen</c:v>
                </c:pt>
                <c:pt idx="22">
                  <c:v>Nesna</c:v>
                </c:pt>
                <c:pt idx="24">
                  <c:v>Ørnes</c:v>
                </c:pt>
                <c:pt idx="26">
                  <c:v>Bodø</c:v>
                </c:pt>
                <c:pt idx="28">
                  <c:v>Stamsund</c:v>
                </c:pt>
                <c:pt idx="30">
                  <c:v>Svolvær</c:v>
                </c:pt>
                <c:pt idx="32">
                  <c:v>Stokmarknes</c:v>
                </c:pt>
                <c:pt idx="34">
                  <c:v>Sortland</c:v>
                </c:pt>
                <c:pt idx="36">
                  <c:v>Risøyhamn</c:v>
                </c:pt>
                <c:pt idx="38">
                  <c:v>Harstad</c:v>
                </c:pt>
                <c:pt idx="40">
                  <c:v>Finnsnes</c:v>
                </c:pt>
                <c:pt idx="42">
                  <c:v>Tromsø</c:v>
                </c:pt>
                <c:pt idx="44">
                  <c:v>Skjervøy</c:v>
                </c:pt>
                <c:pt idx="46">
                  <c:v>Øksfjord</c:v>
                </c:pt>
                <c:pt idx="48">
                  <c:v>Hammerfest</c:v>
                </c:pt>
                <c:pt idx="50">
                  <c:v>Havøysund</c:v>
                </c:pt>
                <c:pt idx="52">
                  <c:v>Honningsvåg</c:v>
                </c:pt>
                <c:pt idx="54">
                  <c:v>Kjøllefjord</c:v>
                </c:pt>
                <c:pt idx="56">
                  <c:v>Mehamn</c:v>
                </c:pt>
                <c:pt idx="58">
                  <c:v>Berlevåg</c:v>
                </c:pt>
                <c:pt idx="60">
                  <c:v>Båtsfjord</c:v>
                </c:pt>
                <c:pt idx="62">
                  <c:v>Vardø</c:v>
                </c:pt>
                <c:pt idx="64">
                  <c:v>Vadsø</c:v>
                </c:pt>
                <c:pt idx="66">
                  <c:v>Kirkenes</c:v>
                </c:pt>
                <c:pt idx="68">
                  <c:v>Vardø</c:v>
                </c:pt>
                <c:pt idx="70">
                  <c:v>Båtsfjord</c:v>
                </c:pt>
                <c:pt idx="72">
                  <c:v>Berlevåg</c:v>
                </c:pt>
                <c:pt idx="74">
                  <c:v>Mehamn</c:v>
                </c:pt>
                <c:pt idx="76">
                  <c:v>Kjøllefjord</c:v>
                </c:pt>
                <c:pt idx="78">
                  <c:v>Honningsvåg</c:v>
                </c:pt>
                <c:pt idx="80">
                  <c:v>Havøysund</c:v>
                </c:pt>
                <c:pt idx="82">
                  <c:v>Hammerfest</c:v>
                </c:pt>
                <c:pt idx="84">
                  <c:v>Øksfjord</c:v>
                </c:pt>
                <c:pt idx="86">
                  <c:v>Skjervøy</c:v>
                </c:pt>
                <c:pt idx="88">
                  <c:v>Tromsø</c:v>
                </c:pt>
                <c:pt idx="90">
                  <c:v>Finnsnes</c:v>
                </c:pt>
                <c:pt idx="92">
                  <c:v>Harstad</c:v>
                </c:pt>
                <c:pt idx="94">
                  <c:v>Risøyhamn</c:v>
                </c:pt>
                <c:pt idx="96">
                  <c:v>Sortland</c:v>
                </c:pt>
                <c:pt idx="98">
                  <c:v>Stokmarknes</c:v>
                </c:pt>
                <c:pt idx="100">
                  <c:v>Svovlær</c:v>
                </c:pt>
                <c:pt idx="102">
                  <c:v>Stamsund</c:v>
                </c:pt>
                <c:pt idx="104">
                  <c:v>Bodø</c:v>
                </c:pt>
                <c:pt idx="106">
                  <c:v>Ørnes</c:v>
                </c:pt>
                <c:pt idx="108">
                  <c:v>Nesna </c:v>
                </c:pt>
                <c:pt idx="110">
                  <c:v>Sandnessjøen</c:v>
                </c:pt>
                <c:pt idx="112">
                  <c:v>Brønnøysund</c:v>
                </c:pt>
                <c:pt idx="114">
                  <c:v>Rørvik</c:v>
                </c:pt>
                <c:pt idx="116">
                  <c:v>Trondheim</c:v>
                </c:pt>
                <c:pt idx="118">
                  <c:v>Kristiandsund</c:v>
                </c:pt>
                <c:pt idx="120">
                  <c:v>Molde</c:v>
                </c:pt>
                <c:pt idx="122">
                  <c:v>Ålesund</c:v>
                </c:pt>
                <c:pt idx="124">
                  <c:v>Torvik</c:v>
                </c:pt>
                <c:pt idx="126">
                  <c:v>Måløy</c:v>
                </c:pt>
                <c:pt idx="128">
                  <c:v>Florø</c:v>
                </c:pt>
                <c:pt idx="130">
                  <c:v>Bergen</c:v>
                </c:pt>
              </c:strCache>
            </c:strRef>
          </c:cat>
          <c:val>
            <c:numRef>
              <c:f>'Route and energy requirements 2'!$AD$6:$AD$136</c:f>
              <c:numCache>
                <c:formatCode>0.0</c:formatCode>
                <c:ptCount val="1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52.4409996809879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64.094555165651855</c:v>
                </c:pt>
                <c:pt idx="24">
                  <c:v>62.152295918207869</c:v>
                </c:pt>
                <c:pt idx="25">
                  <c:v>30.105018335381928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96.141832748477768</c:v>
                </c:pt>
                <c:pt idx="39">
                  <c:v>58.267777423319863</c:v>
                </c:pt>
                <c:pt idx="40">
                  <c:v>52.440999680987879</c:v>
                </c:pt>
                <c:pt idx="41">
                  <c:v>20.393722098161959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96.14183274847781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99.055221619643788</c:v>
                </c:pt>
                <c:pt idx="65">
                  <c:v>78.661499521481844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93.22844387731179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81.574888392647807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93.22844387731179</c:v>
                </c:pt>
                <c:pt idx="100">
                  <c:v>69.921332907983853</c:v>
                </c:pt>
                <c:pt idx="101">
                  <c:v>52.440999680987886</c:v>
                </c:pt>
                <c:pt idx="102">
                  <c:v>46.614221938655895</c:v>
                </c:pt>
                <c:pt idx="103">
                  <c:v>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90.315055006145784</c:v>
                </c:pt>
                <c:pt idx="114">
                  <c:v>84.488277263813785</c:v>
                </c:pt>
                <c:pt idx="115">
                  <c:v>2.9133888711659841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88-44AF-8390-B3E208570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350400"/>
        <c:axId val="867082352"/>
      </c:lineChart>
      <c:catAx>
        <c:axId val="19135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67082352"/>
        <c:crosses val="autoZero"/>
        <c:auto val="1"/>
        <c:lblAlgn val="ctr"/>
        <c:lblOffset val="100"/>
        <c:noMultiLvlLbl val="0"/>
      </c:catAx>
      <c:valAx>
        <c:axId val="86708235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Percentage</a:t>
                </a:r>
                <a:r>
                  <a:rPr lang="nb-NO" baseline="0"/>
                  <a:t> of full storage tank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1350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Emissions by fuel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Emissions</c:v>
              </c:pt>
            </c:strLit>
          </c:cat>
          <c:val>
            <c:numRef>
              <c:f>Emissions!$B$18</c:f>
              <c:numCache>
                <c:formatCode>General</c:formatCode>
                <c:ptCount val="1"/>
                <c:pt idx="0">
                  <c:v>718.04599999999994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9F-45D9-A9C7-A2666498B4BA}"/>
            </c:ext>
          </c:extLst>
        </c:ser>
        <c:ser>
          <c:idx val="2"/>
          <c:order val="1"/>
          <c:tx>
            <c:v>Grey hydrogen + LNG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Emissions!$H$4</c:f>
              <c:numCache>
                <c:formatCode>General</c:formatCode>
                <c:ptCount val="1"/>
                <c:pt idx="0">
                  <c:v>725.36832137173064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9F-45D9-A9C7-A2666498B4BA}"/>
            </c:ext>
          </c:extLst>
        </c:ser>
        <c:ser>
          <c:idx val="3"/>
          <c:order val="2"/>
          <c:tx>
            <c:v>Blue hydrogen + LNG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Emissions!$H$5</c:f>
              <c:numCache>
                <c:formatCode>General</c:formatCode>
                <c:ptCount val="1"/>
                <c:pt idx="0">
                  <c:v>199.10002166300706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9F-45D9-A9C7-A2666498B4BA}"/>
            </c:ext>
          </c:extLst>
        </c:ser>
        <c:ser>
          <c:idx val="1"/>
          <c:order val="3"/>
          <c:tx>
            <c:v>Green hydrogen + LNG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Emissions</c:v>
              </c:pt>
            </c:strLit>
          </c:cat>
          <c:val>
            <c:numRef>
              <c:f>Emissions!$H$3</c:f>
              <c:numCache>
                <c:formatCode>General</c:formatCode>
                <c:ptCount val="1"/>
                <c:pt idx="0">
                  <c:v>175.67783375621758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9F-45D9-A9C7-A2666498B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0001968"/>
        <c:axId val="1358579936"/>
      </c:barChart>
      <c:catAx>
        <c:axId val="137000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58579936"/>
        <c:crosses val="autoZero"/>
        <c:auto val="1"/>
        <c:lblAlgn val="ctr"/>
        <c:lblOffset val="100"/>
        <c:noMultiLvlLbl val="0"/>
      </c:catAx>
      <c:valAx>
        <c:axId val="135857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 Emissions</a:t>
                </a:r>
                <a:r>
                  <a:rPr lang="nb-NO" baseline="0"/>
                  <a:t> in tonn CO2 eq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7000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'Power path '!$F$4:$F$269</c:f>
              <c:strCache>
                <c:ptCount val="81"/>
                <c:pt idx="0">
                  <c:v>0</c:v>
                </c:pt>
                <c:pt idx="1">
                  <c:v>7,00</c:v>
                </c:pt>
                <c:pt idx="2">
                  <c:v>7,33</c:v>
                </c:pt>
                <c:pt idx="3">
                  <c:v>12,66</c:v>
                </c:pt>
                <c:pt idx="4">
                  <c:v>12,99</c:v>
                </c:pt>
                <c:pt idx="5">
                  <c:v>13,16</c:v>
                </c:pt>
                <c:pt idx="6">
                  <c:v>13,49</c:v>
                </c:pt>
                <c:pt idx="7">
                  <c:v>14,83</c:v>
                </c:pt>
                <c:pt idx="8">
                  <c:v>15,16</c:v>
                </c:pt>
                <c:pt idx="9">
                  <c:v>15,33</c:v>
                </c:pt>
                <c:pt idx="10">
                  <c:v>15,66</c:v>
                </c:pt>
                <c:pt idx="11">
                  <c:v>17,66</c:v>
                </c:pt>
                <c:pt idx="12">
                  <c:v>17,99</c:v>
                </c:pt>
                <c:pt idx="13">
                  <c:v>18,16</c:v>
                </c:pt>
                <c:pt idx="14">
                  <c:v>18,49</c:v>
                </c:pt>
                <c:pt idx="15">
                  <c:v>18,91</c:v>
                </c:pt>
                <c:pt idx="16">
                  <c:v>19,24</c:v>
                </c:pt>
                <c:pt idx="17">
                  <c:v>22,99</c:v>
                </c:pt>
                <c:pt idx="18">
                  <c:v>23,32</c:v>
                </c:pt>
                <c:pt idx="19">
                  <c:v>25,41</c:v>
                </c:pt>
                <c:pt idx="20">
                  <c:v>25,74</c:v>
                </c:pt>
                <c:pt idx="21">
                  <c:v>28,49</c:v>
                </c:pt>
                <c:pt idx="22">
                  <c:v>28,82</c:v>
                </c:pt>
                <c:pt idx="23">
                  <c:v>31,66</c:v>
                </c:pt>
                <c:pt idx="24">
                  <c:v>31,99</c:v>
                </c:pt>
                <c:pt idx="25">
                  <c:v>34,99</c:v>
                </c:pt>
                <c:pt idx="26">
                  <c:v>35,32</c:v>
                </c:pt>
                <c:pt idx="27">
                  <c:v>43,16</c:v>
                </c:pt>
                <c:pt idx="28">
                  <c:v>43,49</c:v>
                </c:pt>
                <c:pt idx="63">
                  <c:v>Departure</c:v>
                </c:pt>
                <c:pt idx="66">
                  <c:v>21:30</c:v>
                </c:pt>
                <c:pt idx="68">
                  <c:v>03:40</c:v>
                </c:pt>
                <c:pt idx="70">
                  <c:v>05:50</c:v>
                </c:pt>
                <c:pt idx="72">
                  <c:v>08:40</c:v>
                </c:pt>
                <c:pt idx="74">
                  <c:v>13:30</c:v>
                </c:pt>
                <c:pt idx="76">
                  <c:v>19:00</c:v>
                </c:pt>
                <c:pt idx="78">
                  <c:v>01:30</c:v>
                </c:pt>
                <c:pt idx="80">
                  <c:v>13:15</c:v>
                </c:pt>
              </c:strCache>
            </c:strRef>
          </c:xVal>
          <c:yVal>
            <c:numRef>
              <c:f>'Power path '!$G$4:$G$269</c:f>
              <c:numCache>
                <c:formatCode>General</c:formatCode>
                <c:ptCount val="266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  <c:pt idx="23">
                  <c:v>3.5</c:v>
                </c:pt>
                <c:pt idx="24">
                  <c:v>3.5</c:v>
                </c:pt>
                <c:pt idx="25">
                  <c:v>3.5</c:v>
                </c:pt>
                <c:pt idx="26">
                  <c:v>3.5</c:v>
                </c:pt>
                <c:pt idx="27">
                  <c:v>3.5</c:v>
                </c:pt>
                <c:pt idx="28">
                  <c:v>3.5</c:v>
                </c:pt>
                <c:pt idx="63">
                  <c:v>0</c:v>
                </c:pt>
                <c:pt idx="64">
                  <c:v>0</c:v>
                </c:pt>
                <c:pt idx="66" formatCode="0.00">
                  <c:v>7.0000000000000018</c:v>
                </c:pt>
                <c:pt idx="68" formatCode="0.00">
                  <c:v>0.16666666666666607</c:v>
                </c:pt>
                <c:pt idx="70" formatCode="0.00">
                  <c:v>0.16666666666666607</c:v>
                </c:pt>
                <c:pt idx="72" formatCode="0.00">
                  <c:v>0.16666666666666607</c:v>
                </c:pt>
                <c:pt idx="74" formatCode="0.00">
                  <c:v>3.75</c:v>
                </c:pt>
                <c:pt idx="76" formatCode="0.00">
                  <c:v>2.7499999999999982</c:v>
                </c:pt>
                <c:pt idx="78" formatCode="0.00">
                  <c:v>3</c:v>
                </c:pt>
                <c:pt idx="80" formatCode="0.00">
                  <c:v>3.2500000000000004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E47-43E4-BBC6-9DFF24C57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6776319"/>
        <c:axId val="76988160"/>
      </c:scatterChart>
      <c:valAx>
        <c:axId val="20867763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6988160"/>
        <c:crosses val="autoZero"/>
        <c:crossBetween val="midCat"/>
      </c:valAx>
      <c:valAx>
        <c:axId val="7698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867763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'Power path '!$F$4:$F$267</c:f>
              <c:strCache>
                <c:ptCount val="81"/>
                <c:pt idx="0">
                  <c:v>0</c:v>
                </c:pt>
                <c:pt idx="1">
                  <c:v>7,00</c:v>
                </c:pt>
                <c:pt idx="2">
                  <c:v>7,33</c:v>
                </c:pt>
                <c:pt idx="3">
                  <c:v>12,66</c:v>
                </c:pt>
                <c:pt idx="4">
                  <c:v>12,99</c:v>
                </c:pt>
                <c:pt idx="5">
                  <c:v>13,16</c:v>
                </c:pt>
                <c:pt idx="6">
                  <c:v>13,49</c:v>
                </c:pt>
                <c:pt idx="7">
                  <c:v>14,83</c:v>
                </c:pt>
                <c:pt idx="8">
                  <c:v>15,16</c:v>
                </c:pt>
                <c:pt idx="9">
                  <c:v>15,33</c:v>
                </c:pt>
                <c:pt idx="10">
                  <c:v>15,66</c:v>
                </c:pt>
                <c:pt idx="11">
                  <c:v>17,66</c:v>
                </c:pt>
                <c:pt idx="12">
                  <c:v>17,99</c:v>
                </c:pt>
                <c:pt idx="13">
                  <c:v>18,16</c:v>
                </c:pt>
                <c:pt idx="14">
                  <c:v>18,49</c:v>
                </c:pt>
                <c:pt idx="15">
                  <c:v>18,91</c:v>
                </c:pt>
                <c:pt idx="16">
                  <c:v>19,24</c:v>
                </c:pt>
                <c:pt idx="17">
                  <c:v>22,99</c:v>
                </c:pt>
                <c:pt idx="18">
                  <c:v>23,32</c:v>
                </c:pt>
                <c:pt idx="19">
                  <c:v>25,41</c:v>
                </c:pt>
                <c:pt idx="20">
                  <c:v>25,74</c:v>
                </c:pt>
                <c:pt idx="21">
                  <c:v>28,49</c:v>
                </c:pt>
                <c:pt idx="22">
                  <c:v>28,82</c:v>
                </c:pt>
                <c:pt idx="23">
                  <c:v>31,66</c:v>
                </c:pt>
                <c:pt idx="24">
                  <c:v>31,99</c:v>
                </c:pt>
                <c:pt idx="25">
                  <c:v>34,99</c:v>
                </c:pt>
                <c:pt idx="26">
                  <c:v>35,32</c:v>
                </c:pt>
                <c:pt idx="27">
                  <c:v>43,16</c:v>
                </c:pt>
                <c:pt idx="28">
                  <c:v>43,49</c:v>
                </c:pt>
                <c:pt idx="63">
                  <c:v>Departure</c:v>
                </c:pt>
                <c:pt idx="66">
                  <c:v>21:30</c:v>
                </c:pt>
                <c:pt idx="68">
                  <c:v>03:40</c:v>
                </c:pt>
                <c:pt idx="70">
                  <c:v>05:50</c:v>
                </c:pt>
                <c:pt idx="72">
                  <c:v>08:40</c:v>
                </c:pt>
                <c:pt idx="74">
                  <c:v>13:30</c:v>
                </c:pt>
                <c:pt idx="76">
                  <c:v>19:00</c:v>
                </c:pt>
                <c:pt idx="78">
                  <c:v>01:30</c:v>
                </c:pt>
                <c:pt idx="80">
                  <c:v>13:15</c:v>
                </c:pt>
              </c:strCache>
            </c:strRef>
          </c:cat>
          <c:val>
            <c:numRef>
              <c:f>'Power path '!$G$4:$G$267</c:f>
              <c:numCache>
                <c:formatCode>General</c:formatCode>
                <c:ptCount val="264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  <c:pt idx="23">
                  <c:v>3.5</c:v>
                </c:pt>
                <c:pt idx="24">
                  <c:v>3.5</c:v>
                </c:pt>
                <c:pt idx="25">
                  <c:v>3.5</c:v>
                </c:pt>
                <c:pt idx="26">
                  <c:v>3.5</c:v>
                </c:pt>
                <c:pt idx="27">
                  <c:v>3.5</c:v>
                </c:pt>
                <c:pt idx="28">
                  <c:v>3.5</c:v>
                </c:pt>
                <c:pt idx="63">
                  <c:v>0</c:v>
                </c:pt>
                <c:pt idx="64">
                  <c:v>0</c:v>
                </c:pt>
                <c:pt idx="66" formatCode="0.00">
                  <c:v>7.0000000000000018</c:v>
                </c:pt>
                <c:pt idx="68" formatCode="0.00">
                  <c:v>0.16666666666666607</c:v>
                </c:pt>
                <c:pt idx="70" formatCode="0.00">
                  <c:v>0.16666666666666607</c:v>
                </c:pt>
                <c:pt idx="72" formatCode="0.00">
                  <c:v>0.16666666666666607</c:v>
                </c:pt>
                <c:pt idx="74" formatCode="0.00">
                  <c:v>3.75</c:v>
                </c:pt>
                <c:pt idx="76" formatCode="0.00">
                  <c:v>2.7499999999999982</c:v>
                </c:pt>
                <c:pt idx="78" formatCode="0.00">
                  <c:v>3</c:v>
                </c:pt>
                <c:pt idx="80" formatCode="0.00">
                  <c:v>3.2500000000000004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8-45C2-98EA-FDA793FFF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75808"/>
        <c:axId val="49782528"/>
      </c:barChart>
      <c:catAx>
        <c:axId val="2287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782528"/>
        <c:crosses val="autoZero"/>
        <c:auto val="1"/>
        <c:lblAlgn val="ctr"/>
        <c:lblOffset val="100"/>
        <c:noMultiLvlLbl val="0"/>
      </c:catAx>
      <c:valAx>
        <c:axId val="4978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287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Effektforløp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FC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'Power path '!$K$5:$K$60</c:f>
              <c:numCache>
                <c:formatCode>0.00</c:formatCode>
                <c:ptCount val="56"/>
                <c:pt idx="0" formatCode="General">
                  <c:v>0</c:v>
                </c:pt>
                <c:pt idx="1">
                  <c:v>7</c:v>
                </c:pt>
                <c:pt idx="2">
                  <c:v>7</c:v>
                </c:pt>
                <c:pt idx="3">
                  <c:v>7.33</c:v>
                </c:pt>
                <c:pt idx="4">
                  <c:v>7.33</c:v>
                </c:pt>
                <c:pt idx="5">
                  <c:v>12.67</c:v>
                </c:pt>
                <c:pt idx="6">
                  <c:v>12.66</c:v>
                </c:pt>
                <c:pt idx="7">
                  <c:v>12.99</c:v>
                </c:pt>
                <c:pt idx="8">
                  <c:v>12.99</c:v>
                </c:pt>
                <c:pt idx="9">
                  <c:v>13.16</c:v>
                </c:pt>
                <c:pt idx="10">
                  <c:v>13.16</c:v>
                </c:pt>
                <c:pt idx="11">
                  <c:v>13.49</c:v>
                </c:pt>
                <c:pt idx="12">
                  <c:v>13.49</c:v>
                </c:pt>
                <c:pt idx="13">
                  <c:v>14.83</c:v>
                </c:pt>
                <c:pt idx="14">
                  <c:v>14.83</c:v>
                </c:pt>
                <c:pt idx="15">
                  <c:v>15.16</c:v>
                </c:pt>
                <c:pt idx="16">
                  <c:v>15.16</c:v>
                </c:pt>
                <c:pt idx="17">
                  <c:v>15.33</c:v>
                </c:pt>
                <c:pt idx="18">
                  <c:v>15.33</c:v>
                </c:pt>
                <c:pt idx="19">
                  <c:v>15.66</c:v>
                </c:pt>
                <c:pt idx="20">
                  <c:v>15.66</c:v>
                </c:pt>
                <c:pt idx="21">
                  <c:v>17.66</c:v>
                </c:pt>
                <c:pt idx="22">
                  <c:v>17.66</c:v>
                </c:pt>
                <c:pt idx="23">
                  <c:v>17.989999999999998</c:v>
                </c:pt>
                <c:pt idx="24">
                  <c:v>17.989999999999998</c:v>
                </c:pt>
                <c:pt idx="25">
                  <c:v>18.16</c:v>
                </c:pt>
                <c:pt idx="26">
                  <c:v>18.16</c:v>
                </c:pt>
                <c:pt idx="27">
                  <c:v>18.489999999999998</c:v>
                </c:pt>
                <c:pt idx="28">
                  <c:v>18.489999999999998</c:v>
                </c:pt>
                <c:pt idx="29">
                  <c:v>18.91</c:v>
                </c:pt>
                <c:pt idx="30">
                  <c:v>18.91</c:v>
                </c:pt>
                <c:pt idx="31">
                  <c:v>19.239999999999998</c:v>
                </c:pt>
                <c:pt idx="32">
                  <c:v>19.239999999999998</c:v>
                </c:pt>
                <c:pt idx="33">
                  <c:v>22.99</c:v>
                </c:pt>
                <c:pt idx="34">
                  <c:v>22.99</c:v>
                </c:pt>
                <c:pt idx="35">
                  <c:v>23.319999999999997</c:v>
                </c:pt>
                <c:pt idx="36">
                  <c:v>23.319999999999997</c:v>
                </c:pt>
                <c:pt idx="37">
                  <c:v>25.409999999999997</c:v>
                </c:pt>
                <c:pt idx="38">
                  <c:v>25.409999999999997</c:v>
                </c:pt>
                <c:pt idx="39">
                  <c:v>25.739999999999995</c:v>
                </c:pt>
                <c:pt idx="40">
                  <c:v>25.739999999999995</c:v>
                </c:pt>
                <c:pt idx="41">
                  <c:v>28.489999999999995</c:v>
                </c:pt>
                <c:pt idx="42">
                  <c:v>28.489999999999995</c:v>
                </c:pt>
                <c:pt idx="43">
                  <c:v>28.819999999999993</c:v>
                </c:pt>
                <c:pt idx="44">
                  <c:v>28.819999999999993</c:v>
                </c:pt>
                <c:pt idx="45">
                  <c:v>31.659999999999993</c:v>
                </c:pt>
                <c:pt idx="46">
                  <c:v>31.659999999999993</c:v>
                </c:pt>
                <c:pt idx="47">
                  <c:v>31.989999999999991</c:v>
                </c:pt>
                <c:pt idx="48">
                  <c:v>31.989999999999991</c:v>
                </c:pt>
                <c:pt idx="49">
                  <c:v>34.989999999999995</c:v>
                </c:pt>
                <c:pt idx="50">
                  <c:v>34.989999999999995</c:v>
                </c:pt>
                <c:pt idx="51">
                  <c:v>35.319999999999993</c:v>
                </c:pt>
                <c:pt idx="52">
                  <c:v>35.319999999999993</c:v>
                </c:pt>
                <c:pt idx="53">
                  <c:v>43.16</c:v>
                </c:pt>
                <c:pt idx="54">
                  <c:v>43.16</c:v>
                </c:pt>
                <c:pt idx="55">
                  <c:v>43.489999999999995</c:v>
                </c:pt>
              </c:numCache>
            </c:numRef>
          </c:xVal>
          <c:yVal>
            <c:numRef>
              <c:f>'Power path '!$L$5:$L$60</c:f>
              <c:numCache>
                <c:formatCode>General</c:formatCode>
                <c:ptCount val="56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  <c:pt idx="23">
                  <c:v>3.5</c:v>
                </c:pt>
                <c:pt idx="24">
                  <c:v>3.5</c:v>
                </c:pt>
                <c:pt idx="25">
                  <c:v>3.5</c:v>
                </c:pt>
                <c:pt idx="26">
                  <c:v>3.5</c:v>
                </c:pt>
                <c:pt idx="27">
                  <c:v>3.5</c:v>
                </c:pt>
                <c:pt idx="28">
                  <c:v>3.5</c:v>
                </c:pt>
                <c:pt idx="29">
                  <c:v>3.5</c:v>
                </c:pt>
                <c:pt idx="30">
                  <c:v>3.5</c:v>
                </c:pt>
                <c:pt idx="31">
                  <c:v>3.5</c:v>
                </c:pt>
                <c:pt idx="32">
                  <c:v>3.5</c:v>
                </c:pt>
                <c:pt idx="33">
                  <c:v>3.5</c:v>
                </c:pt>
                <c:pt idx="34">
                  <c:v>3.5</c:v>
                </c:pt>
                <c:pt idx="35">
                  <c:v>3.5</c:v>
                </c:pt>
                <c:pt idx="36">
                  <c:v>3.5</c:v>
                </c:pt>
                <c:pt idx="37">
                  <c:v>3.5</c:v>
                </c:pt>
                <c:pt idx="38">
                  <c:v>3.5</c:v>
                </c:pt>
                <c:pt idx="39">
                  <c:v>3.5</c:v>
                </c:pt>
                <c:pt idx="40">
                  <c:v>3.5</c:v>
                </c:pt>
                <c:pt idx="41">
                  <c:v>3.5</c:v>
                </c:pt>
                <c:pt idx="42">
                  <c:v>3.5</c:v>
                </c:pt>
                <c:pt idx="43">
                  <c:v>3.5</c:v>
                </c:pt>
                <c:pt idx="44">
                  <c:v>3.5</c:v>
                </c:pt>
                <c:pt idx="45">
                  <c:v>3.5</c:v>
                </c:pt>
                <c:pt idx="46">
                  <c:v>3.5</c:v>
                </c:pt>
                <c:pt idx="47">
                  <c:v>3.5</c:v>
                </c:pt>
                <c:pt idx="48">
                  <c:v>3.5</c:v>
                </c:pt>
                <c:pt idx="49">
                  <c:v>3.5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A3-4251-ABC1-896ED4A66486}"/>
            </c:ext>
          </c:extLst>
        </c:ser>
        <c:ser>
          <c:idx val="2"/>
          <c:order val="1"/>
          <c:tx>
            <c:v>LNG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'Power path '!$K$5:$K$60</c:f>
              <c:numCache>
                <c:formatCode>0.00</c:formatCode>
                <c:ptCount val="56"/>
                <c:pt idx="0" formatCode="General">
                  <c:v>0</c:v>
                </c:pt>
                <c:pt idx="1">
                  <c:v>7</c:v>
                </c:pt>
                <c:pt idx="2">
                  <c:v>7</c:v>
                </c:pt>
                <c:pt idx="3">
                  <c:v>7.33</c:v>
                </c:pt>
                <c:pt idx="4">
                  <c:v>7.33</c:v>
                </c:pt>
                <c:pt idx="5">
                  <c:v>12.67</c:v>
                </c:pt>
                <c:pt idx="6">
                  <c:v>12.66</c:v>
                </c:pt>
                <c:pt idx="7">
                  <c:v>12.99</c:v>
                </c:pt>
                <c:pt idx="8">
                  <c:v>12.99</c:v>
                </c:pt>
                <c:pt idx="9">
                  <c:v>13.16</c:v>
                </c:pt>
                <c:pt idx="10">
                  <c:v>13.16</c:v>
                </c:pt>
                <c:pt idx="11">
                  <c:v>13.49</c:v>
                </c:pt>
                <c:pt idx="12">
                  <c:v>13.49</c:v>
                </c:pt>
                <c:pt idx="13">
                  <c:v>14.83</c:v>
                </c:pt>
                <c:pt idx="14">
                  <c:v>14.83</c:v>
                </c:pt>
                <c:pt idx="15">
                  <c:v>15.16</c:v>
                </c:pt>
                <c:pt idx="16">
                  <c:v>15.16</c:v>
                </c:pt>
                <c:pt idx="17">
                  <c:v>15.33</c:v>
                </c:pt>
                <c:pt idx="18">
                  <c:v>15.33</c:v>
                </c:pt>
                <c:pt idx="19">
                  <c:v>15.66</c:v>
                </c:pt>
                <c:pt idx="20">
                  <c:v>15.66</c:v>
                </c:pt>
                <c:pt idx="21">
                  <c:v>17.66</c:v>
                </c:pt>
                <c:pt idx="22">
                  <c:v>17.66</c:v>
                </c:pt>
                <c:pt idx="23">
                  <c:v>17.989999999999998</c:v>
                </c:pt>
                <c:pt idx="24">
                  <c:v>17.989999999999998</c:v>
                </c:pt>
                <c:pt idx="25">
                  <c:v>18.16</c:v>
                </c:pt>
                <c:pt idx="26">
                  <c:v>18.16</c:v>
                </c:pt>
                <c:pt idx="27">
                  <c:v>18.489999999999998</c:v>
                </c:pt>
                <c:pt idx="28">
                  <c:v>18.489999999999998</c:v>
                </c:pt>
                <c:pt idx="29">
                  <c:v>18.91</c:v>
                </c:pt>
                <c:pt idx="30">
                  <c:v>18.91</c:v>
                </c:pt>
                <c:pt idx="31">
                  <c:v>19.239999999999998</c:v>
                </c:pt>
                <c:pt idx="32">
                  <c:v>19.239999999999998</c:v>
                </c:pt>
                <c:pt idx="33">
                  <c:v>22.99</c:v>
                </c:pt>
                <c:pt idx="34">
                  <c:v>22.99</c:v>
                </c:pt>
                <c:pt idx="35">
                  <c:v>23.319999999999997</c:v>
                </c:pt>
                <c:pt idx="36">
                  <c:v>23.319999999999997</c:v>
                </c:pt>
                <c:pt idx="37">
                  <c:v>25.409999999999997</c:v>
                </c:pt>
                <c:pt idx="38">
                  <c:v>25.409999999999997</c:v>
                </c:pt>
                <c:pt idx="39">
                  <c:v>25.739999999999995</c:v>
                </c:pt>
                <c:pt idx="40">
                  <c:v>25.739999999999995</c:v>
                </c:pt>
                <c:pt idx="41">
                  <c:v>28.489999999999995</c:v>
                </c:pt>
                <c:pt idx="42">
                  <c:v>28.489999999999995</c:v>
                </c:pt>
                <c:pt idx="43">
                  <c:v>28.819999999999993</c:v>
                </c:pt>
                <c:pt idx="44">
                  <c:v>28.819999999999993</c:v>
                </c:pt>
                <c:pt idx="45">
                  <c:v>31.659999999999993</c:v>
                </c:pt>
                <c:pt idx="46">
                  <c:v>31.659999999999993</c:v>
                </c:pt>
                <c:pt idx="47">
                  <c:v>31.989999999999991</c:v>
                </c:pt>
                <c:pt idx="48">
                  <c:v>31.989999999999991</c:v>
                </c:pt>
                <c:pt idx="49">
                  <c:v>34.989999999999995</c:v>
                </c:pt>
                <c:pt idx="50">
                  <c:v>34.989999999999995</c:v>
                </c:pt>
                <c:pt idx="51">
                  <c:v>35.319999999999993</c:v>
                </c:pt>
                <c:pt idx="52">
                  <c:v>35.319999999999993</c:v>
                </c:pt>
                <c:pt idx="53">
                  <c:v>43.16</c:v>
                </c:pt>
                <c:pt idx="54">
                  <c:v>43.16</c:v>
                </c:pt>
                <c:pt idx="55">
                  <c:v>43.489999999999995</c:v>
                </c:pt>
              </c:numCache>
            </c:numRef>
          </c:xVal>
          <c:yVal>
            <c:numRef>
              <c:f>'Power path '!$M$5:$M$60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3.5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3.5</c:v>
                </c:pt>
                <c:pt idx="55">
                  <c:v>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2A3-4251-ABC1-896ED4A66486}"/>
            </c:ext>
          </c:extLst>
        </c:ser>
        <c:ser>
          <c:idx val="3"/>
          <c:order val="2"/>
          <c:tx>
            <c:v>Batteries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'Power path '!$K$5:$K$60</c:f>
              <c:numCache>
                <c:formatCode>0.00</c:formatCode>
                <c:ptCount val="56"/>
                <c:pt idx="0" formatCode="General">
                  <c:v>0</c:v>
                </c:pt>
                <c:pt idx="1">
                  <c:v>7</c:v>
                </c:pt>
                <c:pt idx="2">
                  <c:v>7</c:v>
                </c:pt>
                <c:pt idx="3">
                  <c:v>7.33</c:v>
                </c:pt>
                <c:pt idx="4">
                  <c:v>7.33</c:v>
                </c:pt>
                <c:pt idx="5">
                  <c:v>12.67</c:v>
                </c:pt>
                <c:pt idx="6">
                  <c:v>12.66</c:v>
                </c:pt>
                <c:pt idx="7">
                  <c:v>12.99</c:v>
                </c:pt>
                <c:pt idx="8">
                  <c:v>12.99</c:v>
                </c:pt>
                <c:pt idx="9">
                  <c:v>13.16</c:v>
                </c:pt>
                <c:pt idx="10">
                  <c:v>13.16</c:v>
                </c:pt>
                <c:pt idx="11">
                  <c:v>13.49</c:v>
                </c:pt>
                <c:pt idx="12">
                  <c:v>13.49</c:v>
                </c:pt>
                <c:pt idx="13">
                  <c:v>14.83</c:v>
                </c:pt>
                <c:pt idx="14">
                  <c:v>14.83</c:v>
                </c:pt>
                <c:pt idx="15">
                  <c:v>15.16</c:v>
                </c:pt>
                <c:pt idx="16">
                  <c:v>15.16</c:v>
                </c:pt>
                <c:pt idx="17">
                  <c:v>15.33</c:v>
                </c:pt>
                <c:pt idx="18">
                  <c:v>15.33</c:v>
                </c:pt>
                <c:pt idx="19">
                  <c:v>15.66</c:v>
                </c:pt>
                <c:pt idx="20">
                  <c:v>15.66</c:v>
                </c:pt>
                <c:pt idx="21">
                  <c:v>17.66</c:v>
                </c:pt>
                <c:pt idx="22">
                  <c:v>17.66</c:v>
                </c:pt>
                <c:pt idx="23">
                  <c:v>17.989999999999998</c:v>
                </c:pt>
                <c:pt idx="24">
                  <c:v>17.989999999999998</c:v>
                </c:pt>
                <c:pt idx="25">
                  <c:v>18.16</c:v>
                </c:pt>
                <c:pt idx="26">
                  <c:v>18.16</c:v>
                </c:pt>
                <c:pt idx="27">
                  <c:v>18.489999999999998</c:v>
                </c:pt>
                <c:pt idx="28">
                  <c:v>18.489999999999998</c:v>
                </c:pt>
                <c:pt idx="29">
                  <c:v>18.91</c:v>
                </c:pt>
                <c:pt idx="30">
                  <c:v>18.91</c:v>
                </c:pt>
                <c:pt idx="31">
                  <c:v>19.239999999999998</c:v>
                </c:pt>
                <c:pt idx="32">
                  <c:v>19.239999999999998</c:v>
                </c:pt>
                <c:pt idx="33">
                  <c:v>22.99</c:v>
                </c:pt>
                <c:pt idx="34">
                  <c:v>22.99</c:v>
                </c:pt>
                <c:pt idx="35">
                  <c:v>23.319999999999997</c:v>
                </c:pt>
                <c:pt idx="36">
                  <c:v>23.319999999999997</c:v>
                </c:pt>
                <c:pt idx="37">
                  <c:v>25.409999999999997</c:v>
                </c:pt>
                <c:pt idx="38">
                  <c:v>25.409999999999997</c:v>
                </c:pt>
                <c:pt idx="39">
                  <c:v>25.739999999999995</c:v>
                </c:pt>
                <c:pt idx="40">
                  <c:v>25.739999999999995</c:v>
                </c:pt>
                <c:pt idx="41">
                  <c:v>28.489999999999995</c:v>
                </c:pt>
                <c:pt idx="42">
                  <c:v>28.489999999999995</c:v>
                </c:pt>
                <c:pt idx="43">
                  <c:v>28.819999999999993</c:v>
                </c:pt>
                <c:pt idx="44">
                  <c:v>28.819999999999993</c:v>
                </c:pt>
                <c:pt idx="45">
                  <c:v>31.659999999999993</c:v>
                </c:pt>
                <c:pt idx="46">
                  <c:v>31.659999999999993</c:v>
                </c:pt>
                <c:pt idx="47">
                  <c:v>31.989999999999991</c:v>
                </c:pt>
                <c:pt idx="48">
                  <c:v>31.989999999999991</c:v>
                </c:pt>
                <c:pt idx="49">
                  <c:v>34.989999999999995</c:v>
                </c:pt>
                <c:pt idx="50">
                  <c:v>34.989999999999995</c:v>
                </c:pt>
                <c:pt idx="51">
                  <c:v>35.319999999999993</c:v>
                </c:pt>
                <c:pt idx="52">
                  <c:v>35.319999999999993</c:v>
                </c:pt>
                <c:pt idx="53">
                  <c:v>43.16</c:v>
                </c:pt>
                <c:pt idx="54">
                  <c:v>43.16</c:v>
                </c:pt>
                <c:pt idx="55">
                  <c:v>43.489999999999995</c:v>
                </c:pt>
              </c:numCache>
            </c:numRef>
          </c:xVal>
          <c:yVal>
            <c:numRef>
              <c:f>'Power path '!$N$5:$N$60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 formatCode="0.00">
                  <c:v>2.5</c:v>
                </c:pt>
                <c:pt idx="3" formatCode="0.00">
                  <c:v>2.5</c:v>
                </c:pt>
                <c:pt idx="4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7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2.5</c:v>
                </c:pt>
                <c:pt idx="11" formatCode="0.00">
                  <c:v>2.5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2.5</c:v>
                </c:pt>
                <c:pt idx="19" formatCode="0.00">
                  <c:v>2.5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6" formatCode="0.00">
                  <c:v>2.5</c:v>
                </c:pt>
                <c:pt idx="27" formatCode="0.00">
                  <c:v>2.5</c:v>
                </c:pt>
                <c:pt idx="28" formatCode="0.00">
                  <c:v>0</c:v>
                </c:pt>
                <c:pt idx="29" formatCode="0.00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 formatCode="0.00">
                  <c:v>2.5</c:v>
                </c:pt>
                <c:pt idx="35" formatCode="0.00">
                  <c:v>2.5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 formatCode="0.00">
                  <c:v>2.5</c:v>
                </c:pt>
                <c:pt idx="43" formatCode="0.00">
                  <c:v>2.5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2A3-4251-ABC1-896ED4A66486}"/>
            </c:ext>
          </c:extLst>
        </c:ser>
        <c:ser>
          <c:idx val="0"/>
          <c:order val="3"/>
          <c:tx>
            <c:v>Total effect demand 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'Power path '!$K$5:$K$60</c:f>
              <c:numCache>
                <c:formatCode>0.00</c:formatCode>
                <c:ptCount val="56"/>
                <c:pt idx="0" formatCode="General">
                  <c:v>0</c:v>
                </c:pt>
                <c:pt idx="1">
                  <c:v>7</c:v>
                </c:pt>
                <c:pt idx="2">
                  <c:v>7</c:v>
                </c:pt>
                <c:pt idx="3">
                  <c:v>7.33</c:v>
                </c:pt>
                <c:pt idx="4">
                  <c:v>7.33</c:v>
                </c:pt>
                <c:pt idx="5">
                  <c:v>12.67</c:v>
                </c:pt>
                <c:pt idx="6">
                  <c:v>12.66</c:v>
                </c:pt>
                <c:pt idx="7">
                  <c:v>12.99</c:v>
                </c:pt>
                <c:pt idx="8">
                  <c:v>12.99</c:v>
                </c:pt>
                <c:pt idx="9">
                  <c:v>13.16</c:v>
                </c:pt>
                <c:pt idx="10">
                  <c:v>13.16</c:v>
                </c:pt>
                <c:pt idx="11">
                  <c:v>13.49</c:v>
                </c:pt>
                <c:pt idx="12">
                  <c:v>13.49</c:v>
                </c:pt>
                <c:pt idx="13">
                  <c:v>14.83</c:v>
                </c:pt>
                <c:pt idx="14">
                  <c:v>14.83</c:v>
                </c:pt>
                <c:pt idx="15">
                  <c:v>15.16</c:v>
                </c:pt>
                <c:pt idx="16">
                  <c:v>15.16</c:v>
                </c:pt>
                <c:pt idx="17">
                  <c:v>15.33</c:v>
                </c:pt>
                <c:pt idx="18">
                  <c:v>15.33</c:v>
                </c:pt>
                <c:pt idx="19">
                  <c:v>15.66</c:v>
                </c:pt>
                <c:pt idx="20">
                  <c:v>15.66</c:v>
                </c:pt>
                <c:pt idx="21">
                  <c:v>17.66</c:v>
                </c:pt>
                <c:pt idx="22">
                  <c:v>17.66</c:v>
                </c:pt>
                <c:pt idx="23">
                  <c:v>17.989999999999998</c:v>
                </c:pt>
                <c:pt idx="24">
                  <c:v>17.989999999999998</c:v>
                </c:pt>
                <c:pt idx="25">
                  <c:v>18.16</c:v>
                </c:pt>
                <c:pt idx="26">
                  <c:v>18.16</c:v>
                </c:pt>
                <c:pt idx="27">
                  <c:v>18.489999999999998</c:v>
                </c:pt>
                <c:pt idx="28">
                  <c:v>18.489999999999998</c:v>
                </c:pt>
                <c:pt idx="29">
                  <c:v>18.91</c:v>
                </c:pt>
                <c:pt idx="30">
                  <c:v>18.91</c:v>
                </c:pt>
                <c:pt idx="31">
                  <c:v>19.239999999999998</c:v>
                </c:pt>
                <c:pt idx="32">
                  <c:v>19.239999999999998</c:v>
                </c:pt>
                <c:pt idx="33">
                  <c:v>22.99</c:v>
                </c:pt>
                <c:pt idx="34">
                  <c:v>22.99</c:v>
                </c:pt>
                <c:pt idx="35">
                  <c:v>23.319999999999997</c:v>
                </c:pt>
                <c:pt idx="36">
                  <c:v>23.319999999999997</c:v>
                </c:pt>
                <c:pt idx="37">
                  <c:v>25.409999999999997</c:v>
                </c:pt>
                <c:pt idx="38">
                  <c:v>25.409999999999997</c:v>
                </c:pt>
                <c:pt idx="39">
                  <c:v>25.739999999999995</c:v>
                </c:pt>
                <c:pt idx="40">
                  <c:v>25.739999999999995</c:v>
                </c:pt>
                <c:pt idx="41">
                  <c:v>28.489999999999995</c:v>
                </c:pt>
                <c:pt idx="42">
                  <c:v>28.489999999999995</c:v>
                </c:pt>
                <c:pt idx="43">
                  <c:v>28.819999999999993</c:v>
                </c:pt>
                <c:pt idx="44">
                  <c:v>28.819999999999993</c:v>
                </c:pt>
                <c:pt idx="45">
                  <c:v>31.659999999999993</c:v>
                </c:pt>
                <c:pt idx="46">
                  <c:v>31.659999999999993</c:v>
                </c:pt>
                <c:pt idx="47">
                  <c:v>31.989999999999991</c:v>
                </c:pt>
                <c:pt idx="48">
                  <c:v>31.989999999999991</c:v>
                </c:pt>
                <c:pt idx="49">
                  <c:v>34.989999999999995</c:v>
                </c:pt>
                <c:pt idx="50">
                  <c:v>34.989999999999995</c:v>
                </c:pt>
                <c:pt idx="51">
                  <c:v>35.319999999999993</c:v>
                </c:pt>
                <c:pt idx="52">
                  <c:v>35.319999999999993</c:v>
                </c:pt>
                <c:pt idx="53">
                  <c:v>43.16</c:v>
                </c:pt>
                <c:pt idx="54">
                  <c:v>43.16</c:v>
                </c:pt>
                <c:pt idx="55">
                  <c:v>43.489999999999995</c:v>
                </c:pt>
              </c:numCache>
            </c:numRef>
          </c:xVal>
          <c:yVal>
            <c:numRef>
              <c:f>'Power path '!$J$5:$J$60</c:f>
              <c:numCache>
                <c:formatCode>0.00</c:formatCode>
                <c:ptCount val="56"/>
                <c:pt idx="0">
                  <c:v>1.3</c:v>
                </c:pt>
                <c:pt idx="1">
                  <c:v>1.3</c:v>
                </c:pt>
                <c:pt idx="2">
                  <c:v>6</c:v>
                </c:pt>
                <c:pt idx="3">
                  <c:v>6</c:v>
                </c:pt>
                <c:pt idx="4">
                  <c:v>3.5</c:v>
                </c:pt>
                <c:pt idx="5">
                  <c:v>3.5</c:v>
                </c:pt>
                <c:pt idx="6">
                  <c:v>2</c:v>
                </c:pt>
                <c:pt idx="7">
                  <c:v>2</c:v>
                </c:pt>
                <c:pt idx="8">
                  <c:v>1.3</c:v>
                </c:pt>
                <c:pt idx="9">
                  <c:v>1.3</c:v>
                </c:pt>
                <c:pt idx="10">
                  <c:v>6</c:v>
                </c:pt>
                <c:pt idx="11">
                  <c:v>6</c:v>
                </c:pt>
                <c:pt idx="12">
                  <c:v>3.5</c:v>
                </c:pt>
                <c:pt idx="13">
                  <c:v>3.5</c:v>
                </c:pt>
                <c:pt idx="14">
                  <c:v>2</c:v>
                </c:pt>
                <c:pt idx="15">
                  <c:v>2</c:v>
                </c:pt>
                <c:pt idx="16" formatCode="General">
                  <c:v>1.3</c:v>
                </c:pt>
                <c:pt idx="17" formatCode="General">
                  <c:v>1.3</c:v>
                </c:pt>
                <c:pt idx="18" formatCode="General">
                  <c:v>6</c:v>
                </c:pt>
                <c:pt idx="19" formatCode="General">
                  <c:v>6</c:v>
                </c:pt>
                <c:pt idx="20" formatCode="General">
                  <c:v>3.5</c:v>
                </c:pt>
                <c:pt idx="21" formatCode="General">
                  <c:v>3.5</c:v>
                </c:pt>
                <c:pt idx="22" formatCode="General">
                  <c:v>2</c:v>
                </c:pt>
                <c:pt idx="23">
                  <c:v>2</c:v>
                </c:pt>
                <c:pt idx="24">
                  <c:v>1.3</c:v>
                </c:pt>
                <c:pt idx="25">
                  <c:v>1.3</c:v>
                </c:pt>
                <c:pt idx="26">
                  <c:v>6</c:v>
                </c:pt>
                <c:pt idx="27">
                  <c:v>6</c:v>
                </c:pt>
                <c:pt idx="28">
                  <c:v>3.5</c:v>
                </c:pt>
                <c:pt idx="29">
                  <c:v>3.5</c:v>
                </c:pt>
                <c:pt idx="30">
                  <c:v>2</c:v>
                </c:pt>
                <c:pt idx="31">
                  <c:v>2</c:v>
                </c:pt>
                <c:pt idx="32">
                  <c:v>1.3</c:v>
                </c:pt>
                <c:pt idx="33">
                  <c:v>1.3</c:v>
                </c:pt>
                <c:pt idx="34">
                  <c:v>6</c:v>
                </c:pt>
                <c:pt idx="35">
                  <c:v>6</c:v>
                </c:pt>
                <c:pt idx="36" formatCode="General">
                  <c:v>3.5</c:v>
                </c:pt>
                <c:pt idx="37" formatCode="General">
                  <c:v>3.5</c:v>
                </c:pt>
                <c:pt idx="38" formatCode="General">
                  <c:v>2</c:v>
                </c:pt>
                <c:pt idx="39" formatCode="General">
                  <c:v>2</c:v>
                </c:pt>
                <c:pt idx="40" formatCode="General">
                  <c:v>1.3</c:v>
                </c:pt>
                <c:pt idx="41" formatCode="General">
                  <c:v>1.3</c:v>
                </c:pt>
                <c:pt idx="42" formatCode="General">
                  <c:v>6</c:v>
                </c:pt>
                <c:pt idx="43" formatCode="General">
                  <c:v>6</c:v>
                </c:pt>
                <c:pt idx="44" formatCode="General">
                  <c:v>3.5</c:v>
                </c:pt>
                <c:pt idx="45" formatCode="General">
                  <c:v>3.5</c:v>
                </c:pt>
                <c:pt idx="46" formatCode="General">
                  <c:v>2</c:v>
                </c:pt>
                <c:pt idx="47" formatCode="General">
                  <c:v>2</c:v>
                </c:pt>
                <c:pt idx="48" formatCode="General">
                  <c:v>1.3</c:v>
                </c:pt>
                <c:pt idx="49" formatCode="General">
                  <c:v>1.3</c:v>
                </c:pt>
                <c:pt idx="50" formatCode="General">
                  <c:v>6</c:v>
                </c:pt>
                <c:pt idx="51" formatCode="General">
                  <c:v>6</c:v>
                </c:pt>
                <c:pt idx="52" formatCode="General">
                  <c:v>3.5</c:v>
                </c:pt>
                <c:pt idx="53" formatCode="General">
                  <c:v>3.5</c:v>
                </c:pt>
                <c:pt idx="54" formatCode="General">
                  <c:v>2</c:v>
                </c:pt>
                <c:pt idx="55" formatCode="General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2A3-4251-ABC1-896ED4A66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9536239"/>
        <c:axId val="35787456"/>
      </c:scatterChart>
      <c:scatterChart>
        <c:scatterStyle val="lineMarker"/>
        <c:varyColors val="0"/>
        <c:ser>
          <c:idx val="5"/>
          <c:order val="4"/>
          <c:tx>
            <c:v>Energy content battery bank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'Power path '!$K$5:$K$60</c:f>
              <c:numCache>
                <c:formatCode>0.00</c:formatCode>
                <c:ptCount val="56"/>
                <c:pt idx="0" formatCode="General">
                  <c:v>0</c:v>
                </c:pt>
                <c:pt idx="1">
                  <c:v>7</c:v>
                </c:pt>
                <c:pt idx="2">
                  <c:v>7</c:v>
                </c:pt>
                <c:pt idx="3">
                  <c:v>7.33</c:v>
                </c:pt>
                <c:pt idx="4">
                  <c:v>7.33</c:v>
                </c:pt>
                <c:pt idx="5">
                  <c:v>12.67</c:v>
                </c:pt>
                <c:pt idx="6">
                  <c:v>12.66</c:v>
                </c:pt>
                <c:pt idx="7">
                  <c:v>12.99</c:v>
                </c:pt>
                <c:pt idx="8">
                  <c:v>12.99</c:v>
                </c:pt>
                <c:pt idx="9">
                  <c:v>13.16</c:v>
                </c:pt>
                <c:pt idx="10">
                  <c:v>13.16</c:v>
                </c:pt>
                <c:pt idx="11">
                  <c:v>13.49</c:v>
                </c:pt>
                <c:pt idx="12">
                  <c:v>13.49</c:v>
                </c:pt>
                <c:pt idx="13">
                  <c:v>14.83</c:v>
                </c:pt>
                <c:pt idx="14">
                  <c:v>14.83</c:v>
                </c:pt>
                <c:pt idx="15">
                  <c:v>15.16</c:v>
                </c:pt>
                <c:pt idx="16">
                  <c:v>15.16</c:v>
                </c:pt>
                <c:pt idx="17">
                  <c:v>15.33</c:v>
                </c:pt>
                <c:pt idx="18">
                  <c:v>15.33</c:v>
                </c:pt>
                <c:pt idx="19">
                  <c:v>15.66</c:v>
                </c:pt>
                <c:pt idx="20">
                  <c:v>15.66</c:v>
                </c:pt>
                <c:pt idx="21">
                  <c:v>17.66</c:v>
                </c:pt>
                <c:pt idx="22">
                  <c:v>17.66</c:v>
                </c:pt>
                <c:pt idx="23">
                  <c:v>17.989999999999998</c:v>
                </c:pt>
                <c:pt idx="24">
                  <c:v>17.989999999999998</c:v>
                </c:pt>
                <c:pt idx="25">
                  <c:v>18.16</c:v>
                </c:pt>
                <c:pt idx="26">
                  <c:v>18.16</c:v>
                </c:pt>
                <c:pt idx="27">
                  <c:v>18.489999999999998</c:v>
                </c:pt>
                <c:pt idx="28">
                  <c:v>18.489999999999998</c:v>
                </c:pt>
                <c:pt idx="29">
                  <c:v>18.91</c:v>
                </c:pt>
                <c:pt idx="30">
                  <c:v>18.91</c:v>
                </c:pt>
                <c:pt idx="31">
                  <c:v>19.239999999999998</c:v>
                </c:pt>
                <c:pt idx="32">
                  <c:v>19.239999999999998</c:v>
                </c:pt>
                <c:pt idx="33">
                  <c:v>22.99</c:v>
                </c:pt>
                <c:pt idx="34">
                  <c:v>22.99</c:v>
                </c:pt>
                <c:pt idx="35">
                  <c:v>23.319999999999997</c:v>
                </c:pt>
                <c:pt idx="36">
                  <c:v>23.319999999999997</c:v>
                </c:pt>
                <c:pt idx="37">
                  <c:v>25.409999999999997</c:v>
                </c:pt>
                <c:pt idx="38">
                  <c:v>25.409999999999997</c:v>
                </c:pt>
                <c:pt idx="39">
                  <c:v>25.739999999999995</c:v>
                </c:pt>
                <c:pt idx="40">
                  <c:v>25.739999999999995</c:v>
                </c:pt>
                <c:pt idx="41">
                  <c:v>28.489999999999995</c:v>
                </c:pt>
                <c:pt idx="42">
                  <c:v>28.489999999999995</c:v>
                </c:pt>
                <c:pt idx="43">
                  <c:v>28.819999999999993</c:v>
                </c:pt>
                <c:pt idx="44">
                  <c:v>28.819999999999993</c:v>
                </c:pt>
                <c:pt idx="45">
                  <c:v>31.659999999999993</c:v>
                </c:pt>
                <c:pt idx="46">
                  <c:v>31.659999999999993</c:v>
                </c:pt>
                <c:pt idx="47">
                  <c:v>31.989999999999991</c:v>
                </c:pt>
                <c:pt idx="48">
                  <c:v>31.989999999999991</c:v>
                </c:pt>
                <c:pt idx="49">
                  <c:v>34.989999999999995</c:v>
                </c:pt>
                <c:pt idx="50">
                  <c:v>34.989999999999995</c:v>
                </c:pt>
                <c:pt idx="51">
                  <c:v>35.319999999999993</c:v>
                </c:pt>
                <c:pt idx="52">
                  <c:v>35.319999999999993</c:v>
                </c:pt>
                <c:pt idx="53">
                  <c:v>43.16</c:v>
                </c:pt>
                <c:pt idx="54">
                  <c:v>43.16</c:v>
                </c:pt>
                <c:pt idx="55">
                  <c:v>43.489999999999995</c:v>
                </c:pt>
              </c:numCache>
            </c:numRef>
          </c:xVal>
          <c:yVal>
            <c:numRef>
              <c:f>'Power path '!$P$5:$P$60</c:f>
              <c:numCache>
                <c:formatCode>General</c:formatCode>
                <c:ptCount val="56"/>
                <c:pt idx="0">
                  <c:v>6.1</c:v>
                </c:pt>
                <c:pt idx="1">
                  <c:v>6.1</c:v>
                </c:pt>
                <c:pt idx="2">
                  <c:v>6.1</c:v>
                </c:pt>
                <c:pt idx="3">
                  <c:v>4.5999999999999996</c:v>
                </c:pt>
                <c:pt idx="4">
                  <c:v>4.5999999999999996</c:v>
                </c:pt>
                <c:pt idx="5">
                  <c:v>4.5999999999999996</c:v>
                </c:pt>
                <c:pt idx="6">
                  <c:v>4.5999999999999996</c:v>
                </c:pt>
                <c:pt idx="7">
                  <c:v>5.0999999999999996</c:v>
                </c:pt>
                <c:pt idx="8">
                  <c:v>5.0999999999999996</c:v>
                </c:pt>
                <c:pt idx="9">
                  <c:v>5.466666666666665</c:v>
                </c:pt>
                <c:pt idx="10">
                  <c:v>5.466666666666665</c:v>
                </c:pt>
                <c:pt idx="11">
                  <c:v>3.466666666666665</c:v>
                </c:pt>
                <c:pt idx="12">
                  <c:v>3.466666666666665</c:v>
                </c:pt>
                <c:pt idx="13">
                  <c:v>3.466666666666665</c:v>
                </c:pt>
                <c:pt idx="14">
                  <c:v>3.466666666666665</c:v>
                </c:pt>
                <c:pt idx="15">
                  <c:v>3.966666666666665</c:v>
                </c:pt>
                <c:pt idx="16">
                  <c:v>3.966666666666665</c:v>
                </c:pt>
                <c:pt idx="17">
                  <c:v>4.3333333333333304</c:v>
                </c:pt>
                <c:pt idx="18">
                  <c:v>4.3333333333333304</c:v>
                </c:pt>
                <c:pt idx="19">
                  <c:v>2.3333333333333304</c:v>
                </c:pt>
                <c:pt idx="20">
                  <c:v>2.3333333333333304</c:v>
                </c:pt>
                <c:pt idx="21">
                  <c:v>2.3333333333333304</c:v>
                </c:pt>
                <c:pt idx="22">
                  <c:v>2.3333333333333304</c:v>
                </c:pt>
                <c:pt idx="23">
                  <c:v>2.8333333333333304</c:v>
                </c:pt>
                <c:pt idx="24">
                  <c:v>2.8333333333333304</c:v>
                </c:pt>
                <c:pt idx="25">
                  <c:v>3.1999999999999957</c:v>
                </c:pt>
                <c:pt idx="26">
                  <c:v>3.1999999999999957</c:v>
                </c:pt>
                <c:pt idx="27">
                  <c:v>1.1999999999999957</c:v>
                </c:pt>
                <c:pt idx="28">
                  <c:v>1.1999999999999957</c:v>
                </c:pt>
                <c:pt idx="29">
                  <c:v>1.1999999999999957</c:v>
                </c:pt>
                <c:pt idx="30">
                  <c:v>1.1999999999999957</c:v>
                </c:pt>
                <c:pt idx="31">
                  <c:v>1.6999999999999957</c:v>
                </c:pt>
                <c:pt idx="32">
                  <c:v>1.6999999999999957</c:v>
                </c:pt>
                <c:pt idx="33">
                  <c:v>6.1</c:v>
                </c:pt>
                <c:pt idx="34">
                  <c:v>6.1</c:v>
                </c:pt>
                <c:pt idx="35">
                  <c:v>4.0999999999999996</c:v>
                </c:pt>
                <c:pt idx="36">
                  <c:v>4.0999999999999996</c:v>
                </c:pt>
                <c:pt idx="37">
                  <c:v>4.0999999999999996</c:v>
                </c:pt>
                <c:pt idx="38">
                  <c:v>4.0999999999999996</c:v>
                </c:pt>
                <c:pt idx="39">
                  <c:v>4.5999999999999996</c:v>
                </c:pt>
                <c:pt idx="40">
                  <c:v>4.5999999999999996</c:v>
                </c:pt>
                <c:pt idx="41">
                  <c:v>6.1</c:v>
                </c:pt>
                <c:pt idx="42">
                  <c:v>6.1</c:v>
                </c:pt>
                <c:pt idx="43">
                  <c:v>4.0999999999999996</c:v>
                </c:pt>
                <c:pt idx="44">
                  <c:v>4.0999999999999996</c:v>
                </c:pt>
                <c:pt idx="45">
                  <c:v>4.0999999999999996</c:v>
                </c:pt>
                <c:pt idx="46">
                  <c:v>4.0999999999999996</c:v>
                </c:pt>
                <c:pt idx="47">
                  <c:v>4.5999999999999996</c:v>
                </c:pt>
                <c:pt idx="48">
                  <c:v>4.5999999999999996</c:v>
                </c:pt>
                <c:pt idx="49">
                  <c:v>6.1</c:v>
                </c:pt>
                <c:pt idx="50">
                  <c:v>6.1</c:v>
                </c:pt>
                <c:pt idx="51">
                  <c:v>4.0999999999999996</c:v>
                </c:pt>
                <c:pt idx="52">
                  <c:v>4.0999999999999996</c:v>
                </c:pt>
                <c:pt idx="53">
                  <c:v>4.0999999999999996</c:v>
                </c:pt>
                <c:pt idx="54">
                  <c:v>4.0999999999999996</c:v>
                </c:pt>
                <c:pt idx="55">
                  <c:v>4.5999999999999996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2A3-4251-ABC1-896ED4A66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806768"/>
        <c:axId val="392796784"/>
      </c:scatterChart>
      <c:valAx>
        <c:axId val="20295362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Hours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5787456"/>
        <c:crosses val="autoZero"/>
        <c:crossBetween val="midCat"/>
      </c:valAx>
      <c:valAx>
        <c:axId val="3578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Effect</a:t>
                </a:r>
                <a:r>
                  <a:rPr lang="nb-NO" baseline="0"/>
                  <a:t>  [MW]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29536239"/>
        <c:crosses val="autoZero"/>
        <c:crossBetween val="midCat"/>
      </c:valAx>
      <c:valAx>
        <c:axId val="39279678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Energy</a:t>
                </a:r>
                <a:r>
                  <a:rPr lang="nb-NO" baseline="0"/>
                  <a:t> content battery pack [MWh]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92806768"/>
        <c:crosses val="max"/>
        <c:crossBetween val="midCat"/>
      </c:valAx>
      <c:valAx>
        <c:axId val="392806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2796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Power path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0298706286991288"/>
          <c:y val="0.12851970467881785"/>
          <c:w val="0.62618433227997272"/>
          <c:h val="0.57155169874209333"/>
        </c:manualLayout>
      </c:layout>
      <c:lineChart>
        <c:grouping val="standard"/>
        <c:varyColors val="0"/>
        <c:ser>
          <c:idx val="0"/>
          <c:order val="0"/>
          <c:tx>
            <c:v>Total power demand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55"/>
              <c:pt idx="0">
                <c:v>Bergen-Hotel</c:v>
              </c:pt>
              <c:pt idx="2">
                <c:v>Bergen-Acceleration</c:v>
              </c:pt>
              <c:pt idx="4">
                <c:v>Bergen-Crossing </c:v>
              </c:pt>
              <c:pt idx="6">
                <c:v>Florø-Arrival</c:v>
              </c:pt>
              <c:pt idx="8">
                <c:v>Florø-Hotel</c:v>
              </c:pt>
              <c:pt idx="10">
                <c:v>Florø-Acceleration</c:v>
              </c:pt>
              <c:pt idx="12">
                <c:v>Florø-Crossing</c:v>
              </c:pt>
              <c:pt idx="14">
                <c:v>Måløy-Arrival</c:v>
              </c:pt>
              <c:pt idx="16">
                <c:v>Måløy-Hotel</c:v>
              </c:pt>
              <c:pt idx="18">
                <c:v>Måløy-Acceleration</c:v>
              </c:pt>
              <c:pt idx="20">
                <c:v>Måløy-Cruise</c:v>
              </c:pt>
              <c:pt idx="22">
                <c:v>Torvik-Arrival</c:v>
              </c:pt>
              <c:pt idx="24">
                <c:v>Torvik-Hotel</c:v>
              </c:pt>
              <c:pt idx="26">
                <c:v>Torvik-Acceleration</c:v>
              </c:pt>
              <c:pt idx="28">
                <c:v>Torvik-Crossing </c:v>
              </c:pt>
              <c:pt idx="30">
                <c:v>Ålesund-Arrival</c:v>
              </c:pt>
              <c:pt idx="32">
                <c:v>Ålesund-Hotel</c:v>
              </c:pt>
              <c:pt idx="34">
                <c:v>Ålesund-Acceleration</c:v>
              </c:pt>
              <c:pt idx="36">
                <c:v>Ålesund-Crossing</c:v>
              </c:pt>
              <c:pt idx="38">
                <c:v>Molde-Arrival</c:v>
              </c:pt>
              <c:pt idx="40">
                <c:v>Molde-Hotel</c:v>
              </c:pt>
              <c:pt idx="42">
                <c:v>Molde-Acceleration</c:v>
              </c:pt>
              <c:pt idx="44">
                <c:v>Molde Crossing </c:v>
              </c:pt>
              <c:pt idx="46">
                <c:v>Kristiansund-Arrival</c:v>
              </c:pt>
              <c:pt idx="48">
                <c:v>Kristiasund-Hotel</c:v>
              </c:pt>
              <c:pt idx="50">
                <c:v>Kristiansund-Acceleration</c:v>
              </c:pt>
              <c:pt idx="52">
                <c:v>Kristiansund-Cruise</c:v>
              </c:pt>
              <c:pt idx="54">
                <c:v>Trondheim-Arrival</c:v>
              </c:pt>
            </c:strLit>
          </c:cat>
          <c:val>
            <c:numLit>
              <c:formatCode>0.00</c:formatCode>
              <c:ptCount val="56"/>
              <c:pt idx="0">
                <c:v>1.3</c:v>
              </c:pt>
              <c:pt idx="1">
                <c:v>1.3</c:v>
              </c:pt>
              <c:pt idx="2">
                <c:v>6</c:v>
              </c:pt>
              <c:pt idx="3">
                <c:v>6</c:v>
              </c:pt>
              <c:pt idx="4">
                <c:v>3.5</c:v>
              </c:pt>
              <c:pt idx="5">
                <c:v>3.5</c:v>
              </c:pt>
              <c:pt idx="6">
                <c:v>2</c:v>
              </c:pt>
              <c:pt idx="7">
                <c:v>2</c:v>
              </c:pt>
              <c:pt idx="8">
                <c:v>1.3</c:v>
              </c:pt>
              <c:pt idx="9">
                <c:v>1.3</c:v>
              </c:pt>
              <c:pt idx="10">
                <c:v>6</c:v>
              </c:pt>
              <c:pt idx="11">
                <c:v>6</c:v>
              </c:pt>
              <c:pt idx="12">
                <c:v>3.5</c:v>
              </c:pt>
              <c:pt idx="13">
                <c:v>3.5</c:v>
              </c:pt>
              <c:pt idx="14">
                <c:v>2</c:v>
              </c:pt>
              <c:pt idx="15">
                <c:v>2</c:v>
              </c:pt>
              <c:pt idx="16" formatCode="General">
                <c:v>1.3</c:v>
              </c:pt>
              <c:pt idx="17" formatCode="General">
                <c:v>1.3</c:v>
              </c:pt>
              <c:pt idx="18" formatCode="General">
                <c:v>6</c:v>
              </c:pt>
              <c:pt idx="19" formatCode="General">
                <c:v>6</c:v>
              </c:pt>
              <c:pt idx="20" formatCode="General">
                <c:v>3.5</c:v>
              </c:pt>
              <c:pt idx="21" formatCode="General">
                <c:v>3.5</c:v>
              </c:pt>
              <c:pt idx="22" formatCode="General">
                <c:v>2</c:v>
              </c:pt>
              <c:pt idx="23">
                <c:v>2</c:v>
              </c:pt>
              <c:pt idx="24">
                <c:v>1.3</c:v>
              </c:pt>
              <c:pt idx="25">
                <c:v>1.3</c:v>
              </c:pt>
              <c:pt idx="26">
                <c:v>6</c:v>
              </c:pt>
              <c:pt idx="27">
                <c:v>6</c:v>
              </c:pt>
              <c:pt idx="28">
                <c:v>3.5</c:v>
              </c:pt>
              <c:pt idx="29">
                <c:v>3.5</c:v>
              </c:pt>
              <c:pt idx="30">
                <c:v>2</c:v>
              </c:pt>
              <c:pt idx="31">
                <c:v>2</c:v>
              </c:pt>
              <c:pt idx="32">
                <c:v>1.3</c:v>
              </c:pt>
              <c:pt idx="33">
                <c:v>1.3</c:v>
              </c:pt>
              <c:pt idx="34">
                <c:v>6</c:v>
              </c:pt>
              <c:pt idx="35">
                <c:v>6</c:v>
              </c:pt>
              <c:pt idx="36" formatCode="General">
                <c:v>3.5</c:v>
              </c:pt>
              <c:pt idx="37" formatCode="General">
                <c:v>3.5</c:v>
              </c:pt>
              <c:pt idx="38" formatCode="General">
                <c:v>2</c:v>
              </c:pt>
              <c:pt idx="39" formatCode="General">
                <c:v>2</c:v>
              </c:pt>
              <c:pt idx="40" formatCode="General">
                <c:v>1.3</c:v>
              </c:pt>
              <c:pt idx="41" formatCode="General">
                <c:v>1.3</c:v>
              </c:pt>
              <c:pt idx="42" formatCode="General">
                <c:v>6</c:v>
              </c:pt>
              <c:pt idx="43" formatCode="General">
                <c:v>6</c:v>
              </c:pt>
              <c:pt idx="44" formatCode="General">
                <c:v>3.5</c:v>
              </c:pt>
              <c:pt idx="45" formatCode="General">
                <c:v>3.5</c:v>
              </c:pt>
              <c:pt idx="46" formatCode="General">
                <c:v>2</c:v>
              </c:pt>
              <c:pt idx="47" formatCode="General">
                <c:v>2</c:v>
              </c:pt>
              <c:pt idx="48" formatCode="General">
                <c:v>1.3</c:v>
              </c:pt>
              <c:pt idx="49" formatCode="General">
                <c:v>1.3</c:v>
              </c:pt>
              <c:pt idx="50" formatCode="General">
                <c:v>6</c:v>
              </c:pt>
              <c:pt idx="51" formatCode="General">
                <c:v>6</c:v>
              </c:pt>
              <c:pt idx="52" formatCode="General">
                <c:v>3.5</c:v>
              </c:pt>
              <c:pt idx="53" formatCode="General">
                <c:v>3.5</c:v>
              </c:pt>
              <c:pt idx="54" formatCode="General">
                <c:v>2</c:v>
              </c:pt>
              <c:pt idx="55" formatCode="General">
                <c:v>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D79-EC44-96FB-E0B7B7AF73DD}"/>
            </c:ext>
          </c:extLst>
        </c:ser>
        <c:ser>
          <c:idx val="1"/>
          <c:order val="1"/>
          <c:tx>
            <c:v>FC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55"/>
              <c:pt idx="0">
                <c:v>Bergen-Hotel</c:v>
              </c:pt>
              <c:pt idx="2">
                <c:v>Bergen-Acceleration</c:v>
              </c:pt>
              <c:pt idx="4">
                <c:v>Bergen-Crossing </c:v>
              </c:pt>
              <c:pt idx="6">
                <c:v>Florø-Arrival</c:v>
              </c:pt>
              <c:pt idx="8">
                <c:v>Florø-Hotel</c:v>
              </c:pt>
              <c:pt idx="10">
                <c:v>Florø-Acceleration</c:v>
              </c:pt>
              <c:pt idx="12">
                <c:v>Florø-Crossing</c:v>
              </c:pt>
              <c:pt idx="14">
                <c:v>Måløy-Arrival</c:v>
              </c:pt>
              <c:pt idx="16">
                <c:v>Måløy-Hotel</c:v>
              </c:pt>
              <c:pt idx="18">
                <c:v>Måløy-Acceleration</c:v>
              </c:pt>
              <c:pt idx="20">
                <c:v>Måløy-Cruise</c:v>
              </c:pt>
              <c:pt idx="22">
                <c:v>Torvik-Arrival</c:v>
              </c:pt>
              <c:pt idx="24">
                <c:v>Torvik-Hotel</c:v>
              </c:pt>
              <c:pt idx="26">
                <c:v>Torvik-Acceleration</c:v>
              </c:pt>
              <c:pt idx="28">
                <c:v>Torvik-Crossing </c:v>
              </c:pt>
              <c:pt idx="30">
                <c:v>Ålesund-Arrival</c:v>
              </c:pt>
              <c:pt idx="32">
                <c:v>Ålesund-Hotel</c:v>
              </c:pt>
              <c:pt idx="34">
                <c:v>Ålesund-Acceleration</c:v>
              </c:pt>
              <c:pt idx="36">
                <c:v>Ålesund-Crossing</c:v>
              </c:pt>
              <c:pt idx="38">
                <c:v>Molde-Arrival</c:v>
              </c:pt>
              <c:pt idx="40">
                <c:v>Molde-Hotel</c:v>
              </c:pt>
              <c:pt idx="42">
                <c:v>Molde-Acceleration</c:v>
              </c:pt>
              <c:pt idx="44">
                <c:v>Molde Crossing </c:v>
              </c:pt>
              <c:pt idx="46">
                <c:v>Kristiansund-Arrival</c:v>
              </c:pt>
              <c:pt idx="48">
                <c:v>Kristiasund-Hotel</c:v>
              </c:pt>
              <c:pt idx="50">
                <c:v>Kristiansund-Acceleration</c:v>
              </c:pt>
              <c:pt idx="52">
                <c:v>Kristiansund-Cruise</c:v>
              </c:pt>
              <c:pt idx="54">
                <c:v>Trondheim-Arrival</c:v>
              </c:pt>
            </c:strLit>
          </c:cat>
          <c:val>
            <c:numLit>
              <c:formatCode>General</c:formatCode>
              <c:ptCount val="56"/>
              <c:pt idx="0">
                <c:v>3.5</c:v>
              </c:pt>
              <c:pt idx="1">
                <c:v>3.5</c:v>
              </c:pt>
              <c:pt idx="2">
                <c:v>3.5</c:v>
              </c:pt>
              <c:pt idx="3">
                <c:v>3.5</c:v>
              </c:pt>
              <c:pt idx="4">
                <c:v>3.5</c:v>
              </c:pt>
              <c:pt idx="5">
                <c:v>3.5</c:v>
              </c:pt>
              <c:pt idx="6">
                <c:v>3.5</c:v>
              </c:pt>
              <c:pt idx="7">
                <c:v>3.5</c:v>
              </c:pt>
              <c:pt idx="8">
                <c:v>3.5</c:v>
              </c:pt>
              <c:pt idx="9">
                <c:v>3.5</c:v>
              </c:pt>
              <c:pt idx="10">
                <c:v>3.5</c:v>
              </c:pt>
              <c:pt idx="11">
                <c:v>3.5</c:v>
              </c:pt>
              <c:pt idx="12">
                <c:v>3.5</c:v>
              </c:pt>
              <c:pt idx="13">
                <c:v>3.5</c:v>
              </c:pt>
              <c:pt idx="14">
                <c:v>3.5</c:v>
              </c:pt>
              <c:pt idx="15">
                <c:v>3.5</c:v>
              </c:pt>
              <c:pt idx="16">
                <c:v>3.5</c:v>
              </c:pt>
              <c:pt idx="17">
                <c:v>3.5</c:v>
              </c:pt>
              <c:pt idx="18">
                <c:v>3.5</c:v>
              </c:pt>
              <c:pt idx="19">
                <c:v>3.5</c:v>
              </c:pt>
              <c:pt idx="20">
                <c:v>3.5</c:v>
              </c:pt>
              <c:pt idx="21">
                <c:v>3.5</c:v>
              </c:pt>
              <c:pt idx="22">
                <c:v>3.5</c:v>
              </c:pt>
              <c:pt idx="23">
                <c:v>3.5</c:v>
              </c:pt>
              <c:pt idx="24">
                <c:v>3.5</c:v>
              </c:pt>
              <c:pt idx="25">
                <c:v>3.5</c:v>
              </c:pt>
              <c:pt idx="26">
                <c:v>3.5</c:v>
              </c:pt>
              <c:pt idx="27">
                <c:v>3.5</c:v>
              </c:pt>
              <c:pt idx="28">
                <c:v>3.5</c:v>
              </c:pt>
              <c:pt idx="29">
                <c:v>3.5</c:v>
              </c:pt>
              <c:pt idx="30">
                <c:v>3.5</c:v>
              </c:pt>
              <c:pt idx="31">
                <c:v>3.5</c:v>
              </c:pt>
              <c:pt idx="32">
                <c:v>3.5</c:v>
              </c:pt>
              <c:pt idx="33">
                <c:v>3.5</c:v>
              </c:pt>
              <c:pt idx="34">
                <c:v>3.5</c:v>
              </c:pt>
              <c:pt idx="35">
                <c:v>3.5</c:v>
              </c:pt>
              <c:pt idx="36">
                <c:v>3.5</c:v>
              </c:pt>
              <c:pt idx="37">
                <c:v>3.5</c:v>
              </c:pt>
              <c:pt idx="38">
                <c:v>3.5</c:v>
              </c:pt>
              <c:pt idx="39">
                <c:v>3.5</c:v>
              </c:pt>
              <c:pt idx="40">
                <c:v>3.5</c:v>
              </c:pt>
              <c:pt idx="41">
                <c:v>3.5</c:v>
              </c:pt>
              <c:pt idx="42">
                <c:v>3.5</c:v>
              </c:pt>
              <c:pt idx="43">
                <c:v>3.5</c:v>
              </c:pt>
              <c:pt idx="44">
                <c:v>3.5</c:v>
              </c:pt>
              <c:pt idx="45">
                <c:v>3.5</c:v>
              </c:pt>
              <c:pt idx="46">
                <c:v>3.5</c:v>
              </c:pt>
              <c:pt idx="47">
                <c:v>3.5</c:v>
              </c:pt>
              <c:pt idx="48">
                <c:v>3.5</c:v>
              </c:pt>
              <c:pt idx="49">
                <c:v>3.5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D79-EC44-96FB-E0B7B7AF73DD}"/>
            </c:ext>
          </c:extLst>
        </c:ser>
        <c:ser>
          <c:idx val="2"/>
          <c:order val="2"/>
          <c:tx>
            <c:v>LNG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55"/>
              <c:pt idx="0">
                <c:v>Bergen-Hotel</c:v>
              </c:pt>
              <c:pt idx="2">
                <c:v>Bergen-Acceleration</c:v>
              </c:pt>
              <c:pt idx="4">
                <c:v>Bergen-Crossing </c:v>
              </c:pt>
              <c:pt idx="6">
                <c:v>Florø-Arrival</c:v>
              </c:pt>
              <c:pt idx="8">
                <c:v>Florø-Hotel</c:v>
              </c:pt>
              <c:pt idx="10">
                <c:v>Florø-Acceleration</c:v>
              </c:pt>
              <c:pt idx="12">
                <c:v>Florø-Crossing</c:v>
              </c:pt>
              <c:pt idx="14">
                <c:v>Måløy-Arrival</c:v>
              </c:pt>
              <c:pt idx="16">
                <c:v>Måløy-Hotel</c:v>
              </c:pt>
              <c:pt idx="18">
                <c:v>Måløy-Acceleration</c:v>
              </c:pt>
              <c:pt idx="20">
                <c:v>Måløy-Cruise</c:v>
              </c:pt>
              <c:pt idx="22">
                <c:v>Torvik-Arrival</c:v>
              </c:pt>
              <c:pt idx="24">
                <c:v>Torvik-Hotel</c:v>
              </c:pt>
              <c:pt idx="26">
                <c:v>Torvik-Acceleration</c:v>
              </c:pt>
              <c:pt idx="28">
                <c:v>Torvik-Crossing </c:v>
              </c:pt>
              <c:pt idx="30">
                <c:v>Ålesund-Arrival</c:v>
              </c:pt>
              <c:pt idx="32">
                <c:v>Ålesund-Hotel</c:v>
              </c:pt>
              <c:pt idx="34">
                <c:v>Ålesund-Acceleration</c:v>
              </c:pt>
              <c:pt idx="36">
                <c:v>Ålesund-Crossing</c:v>
              </c:pt>
              <c:pt idx="38">
                <c:v>Molde-Arrival</c:v>
              </c:pt>
              <c:pt idx="40">
                <c:v>Molde-Hotel</c:v>
              </c:pt>
              <c:pt idx="42">
                <c:v>Molde-Acceleration</c:v>
              </c:pt>
              <c:pt idx="44">
                <c:v>Molde Crossing </c:v>
              </c:pt>
              <c:pt idx="46">
                <c:v>Kristiansund-Arrival</c:v>
              </c:pt>
              <c:pt idx="48">
                <c:v>Kristiasund-Hotel</c:v>
              </c:pt>
              <c:pt idx="50">
                <c:v>Kristiansund-Acceleration</c:v>
              </c:pt>
              <c:pt idx="52">
                <c:v>Kristiansund-Cruise</c:v>
              </c:pt>
              <c:pt idx="54">
                <c:v>Trondheim-Arrival</c:v>
              </c:pt>
            </c:strLit>
          </c:cat>
          <c:val>
            <c:numLit>
              <c:formatCode>General</c:formatCode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3.5</c:v>
              </c:pt>
              <c:pt idx="51">
                <c:v>3.5</c:v>
              </c:pt>
              <c:pt idx="52">
                <c:v>3.5</c:v>
              </c:pt>
              <c:pt idx="53">
                <c:v>3.5</c:v>
              </c:pt>
              <c:pt idx="54">
                <c:v>3.5</c:v>
              </c:pt>
              <c:pt idx="55">
                <c:v>3.5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D79-EC44-96FB-E0B7B7AF73DD}"/>
            </c:ext>
          </c:extLst>
        </c:ser>
        <c:ser>
          <c:idx val="3"/>
          <c:order val="3"/>
          <c:tx>
            <c:v>Batteries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55"/>
              <c:pt idx="0">
                <c:v>Bergen-Hotel</c:v>
              </c:pt>
              <c:pt idx="2">
                <c:v>Bergen-Acceleration</c:v>
              </c:pt>
              <c:pt idx="4">
                <c:v>Bergen-Crossing </c:v>
              </c:pt>
              <c:pt idx="6">
                <c:v>Florø-Arrival</c:v>
              </c:pt>
              <c:pt idx="8">
                <c:v>Florø-Hotel</c:v>
              </c:pt>
              <c:pt idx="10">
                <c:v>Florø-Acceleration</c:v>
              </c:pt>
              <c:pt idx="12">
                <c:v>Florø-Crossing</c:v>
              </c:pt>
              <c:pt idx="14">
                <c:v>Måløy-Arrival</c:v>
              </c:pt>
              <c:pt idx="16">
                <c:v>Måløy-Hotel</c:v>
              </c:pt>
              <c:pt idx="18">
                <c:v>Måløy-Acceleration</c:v>
              </c:pt>
              <c:pt idx="20">
                <c:v>Måløy-Cruise</c:v>
              </c:pt>
              <c:pt idx="22">
                <c:v>Torvik-Arrival</c:v>
              </c:pt>
              <c:pt idx="24">
                <c:v>Torvik-Hotel</c:v>
              </c:pt>
              <c:pt idx="26">
                <c:v>Torvik-Acceleration</c:v>
              </c:pt>
              <c:pt idx="28">
                <c:v>Torvik-Crossing </c:v>
              </c:pt>
              <c:pt idx="30">
                <c:v>Ålesund-Arrival</c:v>
              </c:pt>
              <c:pt idx="32">
                <c:v>Ålesund-Hotel</c:v>
              </c:pt>
              <c:pt idx="34">
                <c:v>Ålesund-Acceleration</c:v>
              </c:pt>
              <c:pt idx="36">
                <c:v>Ålesund-Crossing</c:v>
              </c:pt>
              <c:pt idx="38">
                <c:v>Molde-Arrival</c:v>
              </c:pt>
              <c:pt idx="40">
                <c:v>Molde-Hotel</c:v>
              </c:pt>
              <c:pt idx="42">
                <c:v>Molde-Acceleration</c:v>
              </c:pt>
              <c:pt idx="44">
                <c:v>Molde Crossing </c:v>
              </c:pt>
              <c:pt idx="46">
                <c:v>Kristiansund-Arrival</c:v>
              </c:pt>
              <c:pt idx="48">
                <c:v>Kristiasund-Hotel</c:v>
              </c:pt>
              <c:pt idx="50">
                <c:v>Kristiansund-Acceleration</c:v>
              </c:pt>
              <c:pt idx="52">
                <c:v>Kristiansund-Cruise</c:v>
              </c:pt>
              <c:pt idx="54">
                <c:v>Trondheim-Arrival</c:v>
              </c:pt>
            </c:strLit>
          </c:cat>
          <c:val>
            <c:numLit>
              <c:formatCode>General</c:formatCode>
              <c:ptCount val="57"/>
              <c:pt idx="0">
                <c:v>0</c:v>
              </c:pt>
              <c:pt idx="1">
                <c:v>0</c:v>
              </c:pt>
              <c:pt idx="2" formatCode="0.00">
                <c:v>2.5</c:v>
              </c:pt>
              <c:pt idx="3" formatCode="0.00">
                <c:v>2.5</c:v>
              </c:pt>
              <c:pt idx="4">
                <c:v>0</c:v>
              </c:pt>
              <c:pt idx="5" formatCode="0.00">
                <c:v>0</c:v>
              </c:pt>
              <c:pt idx="6" formatCode="0.00">
                <c:v>0</c:v>
              </c:pt>
              <c:pt idx="7" formatCode="0.00">
                <c:v>0</c:v>
              </c:pt>
              <c:pt idx="8" formatCode="0.00">
                <c:v>0</c:v>
              </c:pt>
              <c:pt idx="9" formatCode="0.00">
                <c:v>0</c:v>
              </c:pt>
              <c:pt idx="10" formatCode="0.00">
                <c:v>2.5</c:v>
              </c:pt>
              <c:pt idx="11" formatCode="0.00">
                <c:v>2.5</c:v>
              </c:pt>
              <c:pt idx="12" formatCode="0.00">
                <c:v>0</c:v>
              </c:pt>
              <c:pt idx="13" formatCode="0.00">
                <c:v>0</c:v>
              </c:pt>
              <c:pt idx="14" formatCode="0.00">
                <c:v>0</c:v>
              </c:pt>
              <c:pt idx="15" formatCode="0.00">
                <c:v>0</c:v>
              </c:pt>
              <c:pt idx="16" formatCode="0.00">
                <c:v>0</c:v>
              </c:pt>
              <c:pt idx="17" formatCode="0.00">
                <c:v>0</c:v>
              </c:pt>
              <c:pt idx="18" formatCode="0.00">
                <c:v>2.5</c:v>
              </c:pt>
              <c:pt idx="19" formatCode="0.00">
                <c:v>2.5</c:v>
              </c:pt>
              <c:pt idx="20" formatCode="0.00">
                <c:v>0</c:v>
              </c:pt>
              <c:pt idx="21" formatCode="0.00">
                <c:v>0</c:v>
              </c:pt>
              <c:pt idx="22" formatCode="0.00">
                <c:v>0</c:v>
              </c:pt>
              <c:pt idx="23" formatCode="0.00">
                <c:v>0</c:v>
              </c:pt>
              <c:pt idx="24" formatCode="0.00">
                <c:v>0</c:v>
              </c:pt>
              <c:pt idx="25" formatCode="0.00">
                <c:v>0</c:v>
              </c:pt>
              <c:pt idx="26" formatCode="0.00">
                <c:v>2.5</c:v>
              </c:pt>
              <c:pt idx="27" formatCode="0.00">
                <c:v>2.5</c:v>
              </c:pt>
              <c:pt idx="28" formatCode="0.00">
                <c:v>0</c:v>
              </c:pt>
              <c:pt idx="29" formatCode="0.00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 formatCode="0.00">
                <c:v>2.5</c:v>
              </c:pt>
              <c:pt idx="35" formatCode="0.00">
                <c:v>2.5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 formatCode="0.00">
                <c:v>2.5</c:v>
              </c:pt>
              <c:pt idx="43" formatCode="0.00">
                <c:v>2.5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2.5</c:v>
              </c:pt>
              <c:pt idx="51">
                <c:v>2.5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D79-EC44-96FB-E0B7B7AF7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408304"/>
        <c:axId val="264915056"/>
      </c:lineChart>
      <c:lineChart>
        <c:grouping val="standard"/>
        <c:varyColors val="0"/>
        <c:ser>
          <c:idx val="4"/>
          <c:order val="4"/>
          <c:tx>
            <c:v>Battery energy content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55"/>
              <c:pt idx="0">
                <c:v>Bergen-Hotel</c:v>
              </c:pt>
              <c:pt idx="2">
                <c:v>Bergen-Acceleration</c:v>
              </c:pt>
              <c:pt idx="4">
                <c:v>Bergen-Crossing </c:v>
              </c:pt>
              <c:pt idx="6">
                <c:v>Florø-Arrival</c:v>
              </c:pt>
              <c:pt idx="8">
                <c:v>Florø-Hotel</c:v>
              </c:pt>
              <c:pt idx="10">
                <c:v>Florø-Acceleration</c:v>
              </c:pt>
              <c:pt idx="12">
                <c:v>Florø-Crossing</c:v>
              </c:pt>
              <c:pt idx="14">
                <c:v>Måløy-Arrival</c:v>
              </c:pt>
              <c:pt idx="16">
                <c:v>Måløy-Hotel</c:v>
              </c:pt>
              <c:pt idx="18">
                <c:v>Måløy-Acceleration</c:v>
              </c:pt>
              <c:pt idx="20">
                <c:v>Måløy-Cruise</c:v>
              </c:pt>
              <c:pt idx="22">
                <c:v>Torvik-Arrival</c:v>
              </c:pt>
              <c:pt idx="24">
                <c:v>Torvik-Hotel</c:v>
              </c:pt>
              <c:pt idx="26">
                <c:v>Torvik-Acceleration</c:v>
              </c:pt>
              <c:pt idx="28">
                <c:v>Torvik-Crossing </c:v>
              </c:pt>
              <c:pt idx="30">
                <c:v>Ålesund-Arrival</c:v>
              </c:pt>
              <c:pt idx="32">
                <c:v>Ålesund-Hotel</c:v>
              </c:pt>
              <c:pt idx="34">
                <c:v>Ålesund-Acceleration</c:v>
              </c:pt>
              <c:pt idx="36">
                <c:v>Ålesund-Crossing</c:v>
              </c:pt>
              <c:pt idx="38">
                <c:v>Molde-Arrival</c:v>
              </c:pt>
              <c:pt idx="40">
                <c:v>Molde-Hotel</c:v>
              </c:pt>
              <c:pt idx="42">
                <c:v>Molde-Acceleration</c:v>
              </c:pt>
              <c:pt idx="44">
                <c:v>Molde Crossing </c:v>
              </c:pt>
              <c:pt idx="46">
                <c:v>Kristiansund-Arrival</c:v>
              </c:pt>
              <c:pt idx="48">
                <c:v>Kristiasund-Hotel</c:v>
              </c:pt>
              <c:pt idx="50">
                <c:v>Kristiansund-Acceleration</c:v>
              </c:pt>
              <c:pt idx="52">
                <c:v>Kristiansund-Cruise</c:v>
              </c:pt>
              <c:pt idx="54">
                <c:v>Trondheim-Arrival</c:v>
              </c:pt>
            </c:strLit>
          </c:cat>
          <c:val>
            <c:numLit>
              <c:formatCode>General</c:formatCode>
              <c:ptCount val="56"/>
              <c:pt idx="0">
                <c:v>6.1</c:v>
              </c:pt>
              <c:pt idx="1">
                <c:v>6.1</c:v>
              </c:pt>
              <c:pt idx="2">
                <c:v>6.1</c:v>
              </c:pt>
              <c:pt idx="3">
                <c:v>4.5999999999999996</c:v>
              </c:pt>
              <c:pt idx="4">
                <c:v>4.5999999999999996</c:v>
              </c:pt>
              <c:pt idx="5">
                <c:v>4.5999999999999996</c:v>
              </c:pt>
              <c:pt idx="6">
                <c:v>4.5999999999999996</c:v>
              </c:pt>
              <c:pt idx="7">
                <c:v>5.0999999999999996</c:v>
              </c:pt>
              <c:pt idx="8">
                <c:v>5.0999999999999996</c:v>
              </c:pt>
              <c:pt idx="9">
                <c:v>5.466666666666665</c:v>
              </c:pt>
              <c:pt idx="10">
                <c:v>5.466666666666665</c:v>
              </c:pt>
              <c:pt idx="11">
                <c:v>3.466666666666665</c:v>
              </c:pt>
              <c:pt idx="12">
                <c:v>3.466666666666665</c:v>
              </c:pt>
              <c:pt idx="13">
                <c:v>3.466666666666665</c:v>
              </c:pt>
              <c:pt idx="14">
                <c:v>3.466666666666665</c:v>
              </c:pt>
              <c:pt idx="15">
                <c:v>3.966666666666665</c:v>
              </c:pt>
              <c:pt idx="16">
                <c:v>3.966666666666665</c:v>
              </c:pt>
              <c:pt idx="17">
                <c:v>4.3333333333333304</c:v>
              </c:pt>
              <c:pt idx="18">
                <c:v>4.3333333333333304</c:v>
              </c:pt>
              <c:pt idx="19">
                <c:v>2.3333333333333304</c:v>
              </c:pt>
              <c:pt idx="20">
                <c:v>2.3333333333333304</c:v>
              </c:pt>
              <c:pt idx="21">
                <c:v>2.3333333333333304</c:v>
              </c:pt>
              <c:pt idx="22">
                <c:v>2.3333333333333304</c:v>
              </c:pt>
              <c:pt idx="23">
                <c:v>2.8333333333333304</c:v>
              </c:pt>
              <c:pt idx="24">
                <c:v>2.8333333333333304</c:v>
              </c:pt>
              <c:pt idx="25">
                <c:v>3.1999999999999957</c:v>
              </c:pt>
              <c:pt idx="26">
                <c:v>3.1999999999999957</c:v>
              </c:pt>
              <c:pt idx="27">
                <c:v>1.1999999999999957</c:v>
              </c:pt>
              <c:pt idx="28">
                <c:v>1.1999999999999957</c:v>
              </c:pt>
              <c:pt idx="29">
                <c:v>1.1999999999999957</c:v>
              </c:pt>
              <c:pt idx="30">
                <c:v>1.1999999999999957</c:v>
              </c:pt>
              <c:pt idx="31">
                <c:v>1.6999999999999957</c:v>
              </c:pt>
              <c:pt idx="32">
                <c:v>1.6999999999999957</c:v>
              </c:pt>
              <c:pt idx="33">
                <c:v>6.1</c:v>
              </c:pt>
              <c:pt idx="34">
                <c:v>6.1</c:v>
              </c:pt>
              <c:pt idx="35">
                <c:v>4.0999999999999996</c:v>
              </c:pt>
              <c:pt idx="36">
                <c:v>4.0999999999999996</c:v>
              </c:pt>
              <c:pt idx="37">
                <c:v>4.0999999999999996</c:v>
              </c:pt>
              <c:pt idx="38">
                <c:v>4.0999999999999996</c:v>
              </c:pt>
              <c:pt idx="39">
                <c:v>4.5999999999999996</c:v>
              </c:pt>
              <c:pt idx="40">
                <c:v>4.5999999999999996</c:v>
              </c:pt>
              <c:pt idx="41">
                <c:v>6.1</c:v>
              </c:pt>
              <c:pt idx="42">
                <c:v>6.1</c:v>
              </c:pt>
              <c:pt idx="43">
                <c:v>4.0999999999999996</c:v>
              </c:pt>
              <c:pt idx="44">
                <c:v>4.0999999999999996</c:v>
              </c:pt>
              <c:pt idx="45">
                <c:v>4.0999999999999996</c:v>
              </c:pt>
              <c:pt idx="46">
                <c:v>4.0999999999999996</c:v>
              </c:pt>
              <c:pt idx="47">
                <c:v>4.5999999999999996</c:v>
              </c:pt>
              <c:pt idx="48">
                <c:v>4.5999999999999996</c:v>
              </c:pt>
              <c:pt idx="49">
                <c:v>6.1</c:v>
              </c:pt>
              <c:pt idx="50">
                <c:v>6.1</c:v>
              </c:pt>
              <c:pt idx="51">
                <c:v>4.0999999999999996</c:v>
              </c:pt>
              <c:pt idx="52">
                <c:v>4.0999999999999996</c:v>
              </c:pt>
              <c:pt idx="53">
                <c:v>4.0999999999999996</c:v>
              </c:pt>
              <c:pt idx="54">
                <c:v>4.0999999999999996</c:v>
              </c:pt>
              <c:pt idx="55">
                <c:v>4.5999999999999996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D79-EC44-96FB-E0B7B7AF73DD}"/>
            </c:ext>
          </c:extLst>
        </c:ser>
        <c:ser>
          <c:idx val="5"/>
          <c:order val="5"/>
          <c:tx>
            <c:v>Hotel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56"/>
              <c:pt idx="0">
                <c:v>1.3</c:v>
              </c:pt>
              <c:pt idx="1">
                <c:v>1.3</c:v>
              </c:pt>
              <c:pt idx="2">
                <c:v>1.3</c:v>
              </c:pt>
              <c:pt idx="3">
                <c:v>1.3</c:v>
              </c:pt>
              <c:pt idx="4">
                <c:v>1.3</c:v>
              </c:pt>
              <c:pt idx="5">
                <c:v>1.3</c:v>
              </c:pt>
              <c:pt idx="6">
                <c:v>1.3</c:v>
              </c:pt>
              <c:pt idx="7">
                <c:v>1.3</c:v>
              </c:pt>
              <c:pt idx="8">
                <c:v>1.3</c:v>
              </c:pt>
              <c:pt idx="9">
                <c:v>1.3</c:v>
              </c:pt>
              <c:pt idx="10">
                <c:v>1.3</c:v>
              </c:pt>
              <c:pt idx="11">
                <c:v>1.3</c:v>
              </c:pt>
              <c:pt idx="12">
                <c:v>1.3</c:v>
              </c:pt>
              <c:pt idx="13">
                <c:v>1.3</c:v>
              </c:pt>
              <c:pt idx="14">
                <c:v>1.3</c:v>
              </c:pt>
              <c:pt idx="15">
                <c:v>1.3</c:v>
              </c:pt>
              <c:pt idx="16">
                <c:v>1.3</c:v>
              </c:pt>
              <c:pt idx="17">
                <c:v>1.3</c:v>
              </c:pt>
              <c:pt idx="18">
                <c:v>1.3</c:v>
              </c:pt>
              <c:pt idx="19">
                <c:v>1.3</c:v>
              </c:pt>
              <c:pt idx="20">
                <c:v>1.3</c:v>
              </c:pt>
              <c:pt idx="21">
                <c:v>1.3</c:v>
              </c:pt>
              <c:pt idx="22">
                <c:v>1.3</c:v>
              </c:pt>
              <c:pt idx="23">
                <c:v>1.3</c:v>
              </c:pt>
              <c:pt idx="24">
                <c:v>1.3</c:v>
              </c:pt>
              <c:pt idx="25">
                <c:v>1.3</c:v>
              </c:pt>
              <c:pt idx="26">
                <c:v>1.3</c:v>
              </c:pt>
              <c:pt idx="27">
                <c:v>1.3</c:v>
              </c:pt>
              <c:pt idx="28">
                <c:v>1.3</c:v>
              </c:pt>
              <c:pt idx="29">
                <c:v>1.3</c:v>
              </c:pt>
              <c:pt idx="30">
                <c:v>1.3</c:v>
              </c:pt>
              <c:pt idx="31">
                <c:v>1.3</c:v>
              </c:pt>
              <c:pt idx="32">
                <c:v>1.3</c:v>
              </c:pt>
              <c:pt idx="33">
                <c:v>1.3</c:v>
              </c:pt>
              <c:pt idx="34">
                <c:v>1.3</c:v>
              </c:pt>
              <c:pt idx="35">
                <c:v>1.3</c:v>
              </c:pt>
              <c:pt idx="36">
                <c:v>1.3</c:v>
              </c:pt>
              <c:pt idx="37">
                <c:v>1.3</c:v>
              </c:pt>
              <c:pt idx="38">
                <c:v>1.3</c:v>
              </c:pt>
              <c:pt idx="39">
                <c:v>1.3</c:v>
              </c:pt>
              <c:pt idx="40">
                <c:v>1.3</c:v>
              </c:pt>
              <c:pt idx="41">
                <c:v>1.3</c:v>
              </c:pt>
              <c:pt idx="42">
                <c:v>1.3</c:v>
              </c:pt>
              <c:pt idx="43">
                <c:v>1.3</c:v>
              </c:pt>
              <c:pt idx="44">
                <c:v>1.3</c:v>
              </c:pt>
              <c:pt idx="45">
                <c:v>1.3</c:v>
              </c:pt>
              <c:pt idx="46">
                <c:v>1.3</c:v>
              </c:pt>
              <c:pt idx="47">
                <c:v>1.3</c:v>
              </c:pt>
              <c:pt idx="48">
                <c:v>1.3</c:v>
              </c:pt>
              <c:pt idx="49">
                <c:v>1.3</c:v>
              </c:pt>
              <c:pt idx="50">
                <c:v>1.3</c:v>
              </c:pt>
              <c:pt idx="51">
                <c:v>1.3</c:v>
              </c:pt>
              <c:pt idx="52">
                <c:v>1.3</c:v>
              </c:pt>
              <c:pt idx="53">
                <c:v>1.3</c:v>
              </c:pt>
              <c:pt idx="54">
                <c:v>1.3</c:v>
              </c:pt>
              <c:pt idx="55">
                <c:v>1.3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CD79-EC44-96FB-E0B7B7AF7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487328"/>
        <c:axId val="264915888"/>
      </c:lineChart>
      <c:catAx>
        <c:axId val="26440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64915056"/>
        <c:crosses val="autoZero"/>
        <c:auto val="1"/>
        <c:lblAlgn val="ctr"/>
        <c:lblOffset val="100"/>
        <c:noMultiLvlLbl val="0"/>
      </c:catAx>
      <c:valAx>
        <c:axId val="26491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Power [MW]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64408304"/>
        <c:crosses val="autoZero"/>
        <c:crossBetween val="between"/>
      </c:valAx>
      <c:valAx>
        <c:axId val="2649158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Energy content battery pack</a:t>
                </a:r>
                <a:r>
                  <a:rPr lang="nb-NO" baseline="0"/>
                  <a:t> [MWh]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00487328"/>
        <c:crosses val="max"/>
        <c:crossBetween val="between"/>
      </c:valAx>
      <c:catAx>
        <c:axId val="400487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4915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538374198753481"/>
          <c:y val="0.18073675697415939"/>
          <c:w val="0.19136683767460502"/>
          <c:h val="0.63883982047882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Nox</a:t>
            </a:r>
            <a:r>
              <a:rPr lang="nb-NO" baseline="0"/>
              <a:t> emissions 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NOx MDO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NOx Green H2 + LNG</c:v>
              </c:pt>
            </c:strLit>
          </c:cat>
          <c:val>
            <c:numRef>
              <c:f>NOx!$B$5</c:f>
              <c:numCache>
                <c:formatCode>General</c:formatCode>
                <c:ptCount val="1"/>
                <c:pt idx="0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1-9741-AA52-0EC1FA2AF10B}"/>
            </c:ext>
          </c:extLst>
        </c:ser>
        <c:ser>
          <c:idx val="1"/>
          <c:order val="1"/>
          <c:tx>
            <c:v>NOx Green H2 + LNG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NOx Green H2 + LNG</c:v>
              </c:pt>
            </c:strLit>
          </c:cat>
          <c:val>
            <c:numRef>
              <c:f>NOx!$B$6</c:f>
              <c:numCache>
                <c:formatCode>General</c:formatCode>
                <c:ptCount val="1"/>
                <c:pt idx="0">
                  <c:v>118.79661867912704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C1-9741-AA52-0EC1FA2AF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5898879"/>
        <c:axId val="1674377391"/>
      </c:barChart>
      <c:catAx>
        <c:axId val="1675898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74377391"/>
        <c:crosses val="autoZero"/>
        <c:auto val="1"/>
        <c:lblAlgn val="ctr"/>
        <c:lblOffset val="100"/>
        <c:noMultiLvlLbl val="0"/>
      </c:catAx>
      <c:valAx>
        <c:axId val="167437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kg</a:t>
                </a:r>
                <a:r>
                  <a:rPr lang="nb-NO" baseline="0"/>
                  <a:t> NOx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75898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18097</xdr:rowOff>
    </xdr:from>
    <xdr:to>
      <xdr:col>20</xdr:col>
      <xdr:colOff>99059</xdr:colOff>
      <xdr:row>15</xdr:row>
      <xdr:rowOff>48577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EAE560-31B1-4B76-8CC9-C08C6E6D1D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16192</xdr:rowOff>
    </xdr:from>
    <xdr:to>
      <xdr:col>20</xdr:col>
      <xdr:colOff>104774</xdr:colOff>
      <xdr:row>31</xdr:row>
      <xdr:rowOff>35242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B39860B-C0F0-4C06-92B0-8D1560A52A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513658</xdr:colOff>
      <xdr:row>3</xdr:row>
      <xdr:rowOff>115460</xdr:rowOff>
    </xdr:from>
    <xdr:to>
      <xdr:col>54</xdr:col>
      <xdr:colOff>328448</xdr:colOff>
      <xdr:row>28</xdr:row>
      <xdr:rowOff>55217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301874E-C04D-436F-A8BD-0FF00D62CA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330517</xdr:colOff>
      <xdr:row>7</xdr:row>
      <xdr:rowOff>65722</xdr:rowOff>
    </xdr:from>
    <xdr:to>
      <xdr:col>9</xdr:col>
      <xdr:colOff>427672</xdr:colOff>
      <xdr:row>21</xdr:row>
      <xdr:rowOff>180022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CAEB13-C033-4ED9-A230-CC560957CA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107950</xdr:colOff>
      <xdr:row>244</xdr:row>
      <xdr:rowOff>133350</xdr:rowOff>
    </xdr:from>
    <xdr:to>
      <xdr:col>33</xdr:col>
      <xdr:colOff>552450</xdr:colOff>
      <xdr:row>259</xdr:row>
      <xdr:rowOff>19050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10B4285-9967-4D71-9524-080CFE72A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146049</xdr:colOff>
      <xdr:row>247</xdr:row>
      <xdr:rowOff>133350</xdr:rowOff>
    </xdr:from>
    <xdr:to>
      <xdr:col>25</xdr:col>
      <xdr:colOff>206744</xdr:colOff>
      <xdr:row>262</xdr:row>
      <xdr:rowOff>19050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5CD5FC0-3D19-417A-B10B-EE4F33CC9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341436</xdr:colOff>
      <xdr:row>1</xdr:row>
      <xdr:rowOff>110527</xdr:rowOff>
    </xdr:from>
    <xdr:to>
      <xdr:col>36</xdr:col>
      <xdr:colOff>450874</xdr:colOff>
      <xdr:row>26</xdr:row>
      <xdr:rowOff>74806</xdr:rowOff>
    </xdr:to>
    <xdr:graphicFrame macro="">
      <xdr:nvGraphicFramePr>
        <xdr:cNvPr id="4" name="Diagram 4">
          <a:extLst>
            <a:ext uri="{FF2B5EF4-FFF2-40B4-BE49-F238E27FC236}">
              <a16:creationId xmlns:a16="http://schemas.microsoft.com/office/drawing/2014/main" id="{E107F567-2AD4-4833-AD27-C238666BFB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30</xdr:row>
      <xdr:rowOff>0</xdr:rowOff>
    </xdr:from>
    <xdr:to>
      <xdr:col>26</xdr:col>
      <xdr:colOff>101600</xdr:colOff>
      <xdr:row>51</xdr:row>
      <xdr:rowOff>177800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5FFBF836-12F4-4983-9D94-A92DB0112F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522993</xdr:colOff>
      <xdr:row>2</xdr:row>
      <xdr:rowOff>136525</xdr:rowOff>
    </xdr:from>
    <xdr:to>
      <xdr:col>9</xdr:col>
      <xdr:colOff>652638</xdr:colOff>
      <xdr:row>18</xdr:row>
      <xdr:rowOff>88194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C266B48-F800-CE42-88AB-046D22331A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474241</xdr:colOff>
      <xdr:row>4</xdr:row>
      <xdr:rowOff>176836</xdr:rowOff>
    </xdr:from>
    <xdr:to>
      <xdr:col>14</xdr:col>
      <xdr:colOff>377783</xdr:colOff>
      <xdr:row>21</xdr:row>
      <xdr:rowOff>176835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B10CB8A-04AB-0F44-9E66-752ADC90CD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135</xdr:row>
      <xdr:rowOff>0</xdr:rowOff>
    </xdr:from>
    <xdr:to>
      <xdr:col>10</xdr:col>
      <xdr:colOff>393700</xdr:colOff>
      <xdr:row>160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FA28E712-1F14-403F-9F2E-168F7677E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717500"/>
          <a:ext cx="8648700" cy="47625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21</xdr:col>
      <xdr:colOff>590550</xdr:colOff>
      <xdr:row>156</xdr:row>
      <xdr:rowOff>123825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EA8A9ED5-9218-4740-9228-C4FD58B55C71}"/>
            </a:ext>
            <a:ext uri="{147F2762-F138-4A5C-976F-8EAC2B608ADB}">
              <a16:predDERef xmlns:a16="http://schemas.microsoft.com/office/drawing/2014/main" pred="{FA28E712-1F14-403F-9F2E-168F7677E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4000" y="25717500"/>
          <a:ext cx="5543550" cy="4124325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135</xdr:row>
      <xdr:rowOff>0</xdr:rowOff>
    </xdr:from>
    <xdr:to>
      <xdr:col>31</xdr:col>
      <xdr:colOff>771525</xdr:colOff>
      <xdr:row>154</xdr:row>
      <xdr:rowOff>19050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4E7E5D3B-024F-417A-A5E0-6151FC4ABEFB}"/>
            </a:ext>
            <a:ext uri="{147F2762-F138-4A5C-976F-8EAC2B608ADB}">
              <a16:predDERef xmlns:a16="http://schemas.microsoft.com/office/drawing/2014/main" pred="{EA8A9ED5-9218-4740-9228-C4FD58B55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240000" y="25717500"/>
          <a:ext cx="5724525" cy="36385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190500</xdr:colOff>
      <xdr:row>137</xdr:row>
      <xdr:rowOff>38100</xdr:rowOff>
    </xdr:from>
    <xdr:to>
      <xdr:col>16</xdr:col>
      <xdr:colOff>28575</xdr:colOff>
      <xdr:row>145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4CA44AA-59CB-4FDF-932B-3E34A690D8FA}"/>
            </a:ext>
          </a:extLst>
        </xdr:cNvPr>
        <xdr:cNvSpPr txBox="1"/>
      </xdr:nvSpPr>
      <xdr:spPr>
        <a:xfrm>
          <a:off x="29260800" y="24831675"/>
          <a:ext cx="2581275" cy="144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Source of error; consumption</a:t>
          </a:r>
          <a:r>
            <a:rPr lang="nb-NO" sz="1100" baseline="0"/>
            <a:t> while docking is not sufficient at each port for bunkering full tank. </a:t>
          </a:r>
        </a:p>
        <a:p>
          <a:endParaRPr lang="nb-NO" sz="1100" baseline="0"/>
        </a:p>
        <a:p>
          <a:r>
            <a:rPr lang="nb-NO" sz="1100" baseline="0"/>
            <a:t>Here the existing docking time is used</a:t>
          </a:r>
        </a:p>
        <a:p>
          <a:endParaRPr lang="nb-NO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gnus Vestrheim" id="{01B38788-1E61-47C8-87EE-9BC9FA74E7FE}" userId="29e17bcfb850254c" providerId="Windows Live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6" dT="2020-05-07T10:59:31.67" personId="{01B38788-1E61-47C8-87EE-9BC9FA74E7FE}" id="{3509502B-C2BD-42BC-ADD6-F90EFAAC54B9}">
    <text>Assuming bunkering while consuming at bunkering port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99016-CEBB-4B55-9B05-6716069F76B5}">
  <dimension ref="A1:C56"/>
  <sheetViews>
    <sheetView zoomScale="109" zoomScaleNormal="121" workbookViewId="0">
      <selection activeCell="B47" sqref="B47"/>
    </sheetView>
  </sheetViews>
  <sheetFormatPr baseColWidth="10" defaultColWidth="8.83203125" defaultRowHeight="15"/>
  <cols>
    <col min="1" max="1" width="24" customWidth="1"/>
    <col min="2" max="2" width="18.33203125" customWidth="1"/>
    <col min="3" max="3" width="14" customWidth="1"/>
    <col min="5" max="5" width="26.6640625" customWidth="1"/>
  </cols>
  <sheetData>
    <row r="1" spans="1:3">
      <c r="A1" s="1" t="s">
        <v>0</v>
      </c>
    </row>
    <row r="2" spans="1:3">
      <c r="A2" t="s">
        <v>1</v>
      </c>
      <c r="B2">
        <v>5</v>
      </c>
    </row>
    <row r="3" spans="1:3">
      <c r="A3" t="s">
        <v>2</v>
      </c>
      <c r="B3">
        <v>1.3</v>
      </c>
    </row>
    <row r="4" spans="1:3">
      <c r="A4" t="s">
        <v>3</v>
      </c>
      <c r="B4">
        <v>2.2000000000000002</v>
      </c>
    </row>
    <row r="5" spans="1:3">
      <c r="A5" t="s">
        <v>4</v>
      </c>
      <c r="B5">
        <v>4.7</v>
      </c>
    </row>
    <row r="6" spans="1:3">
      <c r="A6" t="s">
        <v>5</v>
      </c>
      <c r="B6">
        <f>IGNORE!U5</f>
        <v>6.6808703098699773</v>
      </c>
    </row>
    <row r="7" spans="1:3">
      <c r="A7" t="s">
        <v>6</v>
      </c>
      <c r="B7">
        <v>6.1</v>
      </c>
    </row>
    <row r="9" spans="1:3">
      <c r="A9" t="s">
        <v>7</v>
      </c>
      <c r="B9" t="s">
        <v>8</v>
      </c>
      <c r="C9" t="s">
        <v>9</v>
      </c>
    </row>
    <row r="10" spans="1:3">
      <c r="A10" t="s">
        <v>10</v>
      </c>
      <c r="B10">
        <v>49.3</v>
      </c>
      <c r="C10">
        <v>43.1</v>
      </c>
    </row>
    <row r="11" spans="1:3">
      <c r="A11" t="s">
        <v>11</v>
      </c>
      <c r="B11">
        <v>55.9</v>
      </c>
      <c r="C11">
        <v>73.5</v>
      </c>
    </row>
    <row r="12" spans="1:3">
      <c r="A12" t="s">
        <v>12</v>
      </c>
      <c r="B12">
        <v>8.9</v>
      </c>
      <c r="C12">
        <v>9.8000000000000007</v>
      </c>
    </row>
    <row r="13" spans="1:3">
      <c r="A13" t="s">
        <v>13</v>
      </c>
      <c r="B13">
        <f>B10*(1/1000)*(1/3600)*1000000</f>
        <v>13.694444444444443</v>
      </c>
      <c r="C13">
        <f>C10*(1/1000)*(1/3600)*1000000</f>
        <v>11.972222222222221</v>
      </c>
    </row>
    <row r="14" spans="1:3">
      <c r="A14" t="s">
        <v>14</v>
      </c>
    </row>
    <row r="15" spans="1:3">
      <c r="A15" t="s">
        <v>15</v>
      </c>
      <c r="C15" s="5"/>
    </row>
    <row r="16" spans="1:3">
      <c r="A16" s="1" t="s">
        <v>16</v>
      </c>
    </row>
    <row r="17" spans="1:3">
      <c r="A17" t="s">
        <v>17</v>
      </c>
      <c r="B17">
        <v>33.33</v>
      </c>
    </row>
    <row r="18" spans="1:3">
      <c r="A18" t="s">
        <v>18</v>
      </c>
      <c r="B18">
        <f>(B3+B4)*2</f>
        <v>7</v>
      </c>
    </row>
    <row r="20" spans="1:3">
      <c r="A20" s="1" t="s">
        <v>19</v>
      </c>
    </row>
    <row r="21" spans="1:3">
      <c r="A21" t="s">
        <v>20</v>
      </c>
      <c r="B21">
        <v>18.899999999999999</v>
      </c>
      <c r="C21" s="2"/>
    </row>
    <row r="23" spans="1:3">
      <c r="A23" t="s">
        <v>21</v>
      </c>
      <c r="B23">
        <v>9</v>
      </c>
    </row>
    <row r="25" spans="1:3">
      <c r="A25" s="1" t="s">
        <v>23</v>
      </c>
    </row>
    <row r="26" spans="1:3">
      <c r="A26" t="s">
        <v>24</v>
      </c>
      <c r="B26">
        <v>7450</v>
      </c>
      <c r="C26" s="2"/>
    </row>
    <row r="27" spans="1:3">
      <c r="A27" t="s">
        <v>25</v>
      </c>
      <c r="B27">
        <f>(B26/1000)/B10</f>
        <v>0.15111561866125761</v>
      </c>
    </row>
    <row r="28" spans="1:3">
      <c r="A28" t="s">
        <v>26</v>
      </c>
      <c r="B28">
        <f>1/(B27*B13)</f>
        <v>0.48322147651006719</v>
      </c>
    </row>
    <row r="29" spans="1:3">
      <c r="A29" t="s">
        <v>27</v>
      </c>
      <c r="B29">
        <f>1.62*2</f>
        <v>3.24</v>
      </c>
      <c r="C29" s="2"/>
    </row>
    <row r="30" spans="1:3">
      <c r="A30" t="s">
        <v>28</v>
      </c>
      <c r="B30" s="3">
        <f>2*2.43</f>
        <v>4.8600000000000003</v>
      </c>
    </row>
    <row r="31" spans="1:3">
      <c r="A31" t="s">
        <v>29</v>
      </c>
      <c r="B31">
        <f>B29+B30</f>
        <v>8.1000000000000014</v>
      </c>
    </row>
    <row r="32" spans="1:3">
      <c r="A32" t="s">
        <v>30</v>
      </c>
      <c r="B32">
        <f>(B3+B4)*1.85</f>
        <v>6.4750000000000005</v>
      </c>
    </row>
    <row r="33" spans="1:2">
      <c r="A33" s="1" t="s">
        <v>31</v>
      </c>
    </row>
    <row r="34" spans="1:2">
      <c r="A34" t="s">
        <v>32</v>
      </c>
      <c r="B34" s="4">
        <v>0.54</v>
      </c>
    </row>
    <row r="35" spans="1:2">
      <c r="A35" t="s">
        <v>32</v>
      </c>
      <c r="B35" s="4">
        <v>0.48</v>
      </c>
    </row>
    <row r="37" spans="1:2">
      <c r="A37" t="s">
        <v>33</v>
      </c>
      <c r="B37">
        <f>B28</f>
        <v>0.48322147651006719</v>
      </c>
    </row>
    <row r="38" spans="1:2">
      <c r="A38" t="s">
        <v>285</v>
      </c>
      <c r="B38">
        <v>0.73</v>
      </c>
    </row>
    <row r="39" spans="1:2">
      <c r="A39" t="s">
        <v>34</v>
      </c>
      <c r="B39">
        <v>0.99</v>
      </c>
    </row>
    <row r="40" spans="1:2">
      <c r="A40" t="s">
        <v>286</v>
      </c>
      <c r="B40">
        <v>0.94</v>
      </c>
    </row>
    <row r="41" spans="1:2">
      <c r="A41" s="54"/>
      <c r="B41" s="54"/>
    </row>
    <row r="42" spans="1:2">
      <c r="A42" s="1" t="s">
        <v>35</v>
      </c>
      <c r="B42">
        <f>B37*B38*B40*B39</f>
        <v>0.32827071140939601</v>
      </c>
    </row>
    <row r="43" spans="1:2">
      <c r="A43" s="1" t="s">
        <v>36</v>
      </c>
      <c r="B43">
        <f>B34*B38*B39*B40</f>
        <v>0.36684251999999995</v>
      </c>
    </row>
    <row r="50" spans="1:2">
      <c r="A50" s="1" t="s">
        <v>37</v>
      </c>
    </row>
    <row r="51" spans="1:2">
      <c r="A51" s="84" t="s">
        <v>38</v>
      </c>
      <c r="B51">
        <v>0.5</v>
      </c>
    </row>
    <row r="52" spans="1:2">
      <c r="A52" s="84" t="s">
        <v>268</v>
      </c>
      <c r="B52">
        <v>2</v>
      </c>
    </row>
    <row r="53" spans="1:2">
      <c r="A53" s="84"/>
    </row>
    <row r="54" spans="1:2">
      <c r="A54" s="84" t="s">
        <v>39</v>
      </c>
      <c r="B54">
        <f>(4.7/B52)+2*B51</f>
        <v>3.35</v>
      </c>
    </row>
    <row r="55" spans="1:2">
      <c r="A55" s="84"/>
    </row>
    <row r="56" spans="1:2">
      <c r="A56" s="84" t="s">
        <v>40</v>
      </c>
      <c r="B56" t="s">
        <v>41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50DF6-C993-D945-8624-CE007F51638D}">
  <dimension ref="A1:B3"/>
  <sheetViews>
    <sheetView workbookViewId="0">
      <selection activeCell="A3" sqref="A3"/>
    </sheetView>
  </sheetViews>
  <sheetFormatPr baseColWidth="10" defaultRowHeight="15"/>
  <cols>
    <col min="1" max="1" width="17.6640625" customWidth="1"/>
  </cols>
  <sheetData>
    <row r="1" spans="1:2" ht="24">
      <c r="A1" s="83" t="s">
        <v>254</v>
      </c>
    </row>
    <row r="2" spans="1:2">
      <c r="A2" t="s">
        <v>284</v>
      </c>
      <c r="B2">
        <v>1.1839999999999999</v>
      </c>
    </row>
    <row r="3" spans="1:2">
      <c r="A3" t="s">
        <v>257</v>
      </c>
      <c r="B3">
        <f>B2*Assumptions!B2</f>
        <v>236.79999999999998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ADBA7-3D7A-4C95-886B-5DDE26F3A818}">
  <dimension ref="A1:F17"/>
  <sheetViews>
    <sheetView zoomScale="150" workbookViewId="0">
      <selection activeCell="A3" sqref="A3"/>
    </sheetView>
  </sheetViews>
  <sheetFormatPr baseColWidth="10" defaultColWidth="8.83203125" defaultRowHeight="15"/>
  <cols>
    <col min="1" max="1" width="43.1640625" customWidth="1"/>
  </cols>
  <sheetData>
    <row r="1" spans="1:6">
      <c r="B1" t="s">
        <v>234</v>
      </c>
      <c r="C1" t="s">
        <v>235</v>
      </c>
      <c r="D1" t="s">
        <v>236</v>
      </c>
      <c r="E1" t="s">
        <v>8</v>
      </c>
      <c r="F1" t="s">
        <v>233</v>
      </c>
    </row>
    <row r="2" spans="1:6">
      <c r="A2" t="s">
        <v>245</v>
      </c>
      <c r="B2">
        <v>29375</v>
      </c>
      <c r="C2">
        <f>B5*1000</f>
        <v>15400</v>
      </c>
      <c r="D2">
        <v>18480</v>
      </c>
      <c r="E2">
        <f>0.76*1000</f>
        <v>760</v>
      </c>
      <c r="F2">
        <f>0.61*1000</f>
        <v>610</v>
      </c>
    </row>
    <row r="3" spans="1:6">
      <c r="A3" t="s">
        <v>244</v>
      </c>
      <c r="B3">
        <f>1000*7.5</f>
        <v>7500</v>
      </c>
      <c r="C3">
        <f>1000*3.5</f>
        <v>3500</v>
      </c>
      <c r="D3">
        <f>C3*1.2</f>
        <v>4200</v>
      </c>
      <c r="E3">
        <f>0.76*1000</f>
        <v>760</v>
      </c>
      <c r="F3">
        <f>0.61*1000</f>
        <v>610</v>
      </c>
    </row>
    <row r="5" spans="1:6">
      <c r="A5" t="s">
        <v>237</v>
      </c>
      <c r="B5">
        <f>15.4</f>
        <v>15.4</v>
      </c>
    </row>
    <row r="6" spans="1:6">
      <c r="A6" t="s">
        <v>238</v>
      </c>
      <c r="B6">
        <v>7.1</v>
      </c>
    </row>
    <row r="7" spans="1:6">
      <c r="A7" t="s">
        <v>239</v>
      </c>
      <c r="B7">
        <v>5.4</v>
      </c>
    </row>
    <row r="9" spans="1:6">
      <c r="A9" t="s">
        <v>240</v>
      </c>
      <c r="B9">
        <f>200*F2</f>
        <v>122000</v>
      </c>
    </row>
    <row r="10" spans="1:6">
      <c r="A10" t="s">
        <v>360</v>
      </c>
      <c r="B10">
        <f>B2*'Route and energy requirements 2'!Q136+'Route and energy requirements 2'!AB137*'OPEX costs fuel'!E3</f>
        <v>1931106.0864309787</v>
      </c>
    </row>
    <row r="11" spans="1:6">
      <c r="A11" t="s">
        <v>241</v>
      </c>
      <c r="B11">
        <f>B3*'Route and energy requirements 2'!Q136+'Route and energy requirements 2'!AB137*'OPEX costs fuel'!E3</f>
        <v>509856.82024229661</v>
      </c>
    </row>
    <row r="13" spans="1:6">
      <c r="A13" t="s">
        <v>242</v>
      </c>
      <c r="B13">
        <f>C2*'Route and energy requirements 2'!Q136+'Route and energy requirements 2'!AB137*'OPEX costs fuel'!E2</f>
        <v>1023130.8409458664</v>
      </c>
    </row>
    <row r="14" spans="1:6">
      <c r="A14" t="s">
        <v>372</v>
      </c>
      <c r="B14" s="93">
        <f>C3*'Route and energy requirements 2'!Q136+'Route and energy requirements 2'!AB137*'OPEX costs fuel'!E3</f>
        <v>249971.24013922332</v>
      </c>
    </row>
    <row r="16" spans="1:6">
      <c r="A16" t="s">
        <v>243</v>
      </c>
      <c r="B16" s="93">
        <f>D3*'Route and energy requirements 2'!Q136+'Route and energy requirements 2'!AB137*'OPEX costs fuel'!E3</f>
        <v>295451.21665726113</v>
      </c>
    </row>
    <row r="17" spans="1:2">
      <c r="A17" t="s">
        <v>361</v>
      </c>
      <c r="B17">
        <f>D2*'Route and energy requirements 2'!Q136+'Route and energy requirements 2'!AB137*'OPEX costs fuel'!E3</f>
        <v>1223242.7376252329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C96E2-49C0-4192-B824-AEA353E1FFD4}">
  <dimension ref="A1:AO131"/>
  <sheetViews>
    <sheetView zoomScale="31" workbookViewId="0">
      <selection activeCell="O30" sqref="O30"/>
    </sheetView>
  </sheetViews>
  <sheetFormatPr baseColWidth="10" defaultRowHeight="15"/>
  <sheetData>
    <row r="1" spans="1:41">
      <c r="B1" t="s">
        <v>288</v>
      </c>
      <c r="C1" t="s">
        <v>289</v>
      </c>
      <c r="D1" t="s">
        <v>290</v>
      </c>
      <c r="E1" t="s">
        <v>291</v>
      </c>
      <c r="F1" t="s">
        <v>292</v>
      </c>
      <c r="G1" t="s">
        <v>293</v>
      </c>
      <c r="H1" t="s">
        <v>294</v>
      </c>
      <c r="I1" t="s">
        <v>295</v>
      </c>
      <c r="J1" t="s">
        <v>296</v>
      </c>
      <c r="K1" t="s">
        <v>297</v>
      </c>
      <c r="L1" t="s">
        <v>298</v>
      </c>
      <c r="AD1" t="s">
        <v>288</v>
      </c>
      <c r="AE1" t="s">
        <v>289</v>
      </c>
      <c r="AF1" t="s">
        <v>290</v>
      </c>
      <c r="AG1" t="s">
        <v>291</v>
      </c>
      <c r="AH1" t="s">
        <v>292</v>
      </c>
      <c r="AI1" t="s">
        <v>293</v>
      </c>
      <c r="AJ1" t="s">
        <v>294</v>
      </c>
      <c r="AK1" t="s">
        <v>295</v>
      </c>
      <c r="AL1" t="s">
        <v>296</v>
      </c>
      <c r="AM1" t="s">
        <v>297</v>
      </c>
      <c r="AN1" t="s">
        <v>298</v>
      </c>
      <c r="AO1" t="s">
        <v>298</v>
      </c>
    </row>
    <row r="2" spans="1:41">
      <c r="A2" t="s">
        <v>97</v>
      </c>
      <c r="B2">
        <v>4.7</v>
      </c>
      <c r="C2">
        <v>0</v>
      </c>
      <c r="D2">
        <v>0</v>
      </c>
      <c r="E2">
        <v>0</v>
      </c>
      <c r="F2">
        <v>0</v>
      </c>
      <c r="G2">
        <v>0</v>
      </c>
      <c r="I2">
        <v>0</v>
      </c>
      <c r="J2">
        <v>0</v>
      </c>
      <c r="K2">
        <v>0</v>
      </c>
      <c r="L2">
        <v>0</v>
      </c>
      <c r="AC2" t="s">
        <v>97</v>
      </c>
      <c r="AD2">
        <v>4.7</v>
      </c>
      <c r="AE2">
        <v>0</v>
      </c>
      <c r="AF2">
        <v>0</v>
      </c>
      <c r="AG2">
        <v>0</v>
      </c>
      <c r="AH2">
        <v>0</v>
      </c>
      <c r="AI2">
        <v>0</v>
      </c>
      <c r="AK2">
        <v>0</v>
      </c>
      <c r="AL2">
        <v>0</v>
      </c>
      <c r="AM2">
        <v>0</v>
      </c>
      <c r="AN2">
        <v>0</v>
      </c>
      <c r="AO2">
        <v>0</v>
      </c>
    </row>
    <row r="3" spans="1:41">
      <c r="A3" t="s">
        <v>103</v>
      </c>
      <c r="B3">
        <v>9.4</v>
      </c>
      <c r="C3">
        <v>4.7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AC3" t="s">
        <v>103</v>
      </c>
      <c r="AD3">
        <v>9.4</v>
      </c>
      <c r="AE3">
        <v>4.7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</row>
    <row r="4" spans="1:41">
      <c r="A4" t="s">
        <v>107</v>
      </c>
      <c r="B4">
        <v>4.7</v>
      </c>
      <c r="C4">
        <v>4.7</v>
      </c>
      <c r="D4">
        <v>4.7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AC4" t="s">
        <v>107</v>
      </c>
      <c r="AD4">
        <v>4.7</v>
      </c>
      <c r="AE4">
        <v>4.7</v>
      </c>
      <c r="AF4">
        <v>4.7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</row>
    <row r="5" spans="1:41">
      <c r="A5" t="s">
        <v>115</v>
      </c>
      <c r="B5">
        <v>4.7</v>
      </c>
      <c r="C5">
        <v>4.7</v>
      </c>
      <c r="D5">
        <v>4.7</v>
      </c>
      <c r="E5">
        <v>4.7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AC5" t="s">
        <v>115</v>
      </c>
      <c r="AD5">
        <v>4.7</v>
      </c>
      <c r="AE5">
        <v>4.7</v>
      </c>
      <c r="AF5">
        <v>4.7</v>
      </c>
      <c r="AG5">
        <v>4.7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</row>
    <row r="6" spans="1:41">
      <c r="A6" t="s">
        <v>124</v>
      </c>
      <c r="B6">
        <v>4.7</v>
      </c>
      <c r="C6">
        <v>4.7</v>
      </c>
      <c r="D6">
        <v>4.7</v>
      </c>
      <c r="E6">
        <v>4.7</v>
      </c>
      <c r="F6">
        <v>4.7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AC6" t="s">
        <v>124</v>
      </c>
      <c r="AD6">
        <v>4.7</v>
      </c>
      <c r="AE6">
        <v>4.7</v>
      </c>
      <c r="AF6">
        <v>4.7</v>
      </c>
      <c r="AG6">
        <v>4.7</v>
      </c>
      <c r="AH6">
        <v>4.7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</row>
    <row r="7" spans="1:41">
      <c r="A7" t="s">
        <v>299</v>
      </c>
      <c r="B7">
        <v>0</v>
      </c>
      <c r="C7">
        <v>4.7</v>
      </c>
      <c r="D7">
        <v>4.7</v>
      </c>
      <c r="E7">
        <v>4.7</v>
      </c>
      <c r="F7">
        <v>4.7</v>
      </c>
      <c r="G7">
        <v>4.7</v>
      </c>
      <c r="H7">
        <v>0</v>
      </c>
      <c r="I7">
        <v>0</v>
      </c>
      <c r="J7">
        <v>0</v>
      </c>
      <c r="K7">
        <v>0</v>
      </c>
      <c r="L7">
        <v>0</v>
      </c>
      <c r="AC7" t="s">
        <v>299</v>
      </c>
      <c r="AD7">
        <v>0</v>
      </c>
      <c r="AE7">
        <v>4.7</v>
      </c>
      <c r="AF7">
        <v>4.7</v>
      </c>
      <c r="AG7">
        <v>4.7</v>
      </c>
      <c r="AH7">
        <v>4.7</v>
      </c>
      <c r="AI7">
        <v>4.7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</row>
    <row r="8" spans="1:41">
      <c r="A8" t="s">
        <v>138</v>
      </c>
      <c r="B8">
        <v>0</v>
      </c>
      <c r="C8">
        <v>0</v>
      </c>
      <c r="D8">
        <v>4.7</v>
      </c>
      <c r="E8">
        <v>4.7</v>
      </c>
      <c r="F8">
        <v>4.7</v>
      </c>
      <c r="G8">
        <v>4.7</v>
      </c>
      <c r="H8">
        <v>4.7</v>
      </c>
      <c r="I8">
        <v>0</v>
      </c>
      <c r="J8">
        <v>0</v>
      </c>
      <c r="K8">
        <v>0</v>
      </c>
      <c r="L8">
        <v>0</v>
      </c>
      <c r="AC8" t="s">
        <v>138</v>
      </c>
      <c r="AD8">
        <v>0</v>
      </c>
      <c r="AE8">
        <v>0</v>
      </c>
      <c r="AF8">
        <v>4.7</v>
      </c>
      <c r="AG8">
        <v>4.7</v>
      </c>
      <c r="AH8">
        <v>4.7</v>
      </c>
      <c r="AI8">
        <v>4.7</v>
      </c>
      <c r="AJ8">
        <v>4.7</v>
      </c>
      <c r="AK8">
        <v>0</v>
      </c>
      <c r="AL8">
        <v>0</v>
      </c>
      <c r="AM8">
        <v>0</v>
      </c>
      <c r="AN8">
        <v>0</v>
      </c>
      <c r="AO8">
        <v>0</v>
      </c>
    </row>
    <row r="9" spans="1:41">
      <c r="A9" t="s">
        <v>299</v>
      </c>
      <c r="B9">
        <v>0</v>
      </c>
      <c r="C9">
        <v>0</v>
      </c>
      <c r="D9">
        <v>0</v>
      </c>
      <c r="E9">
        <v>4.7</v>
      </c>
      <c r="F9">
        <v>4.7</v>
      </c>
      <c r="G9">
        <v>4.7</v>
      </c>
      <c r="H9">
        <v>4.7</v>
      </c>
      <c r="I9">
        <v>4.7</v>
      </c>
      <c r="J9">
        <v>0</v>
      </c>
      <c r="K9">
        <v>0</v>
      </c>
      <c r="L9">
        <v>0</v>
      </c>
      <c r="AC9" t="s">
        <v>299</v>
      </c>
      <c r="AD9">
        <v>0</v>
      </c>
      <c r="AE9">
        <v>0</v>
      </c>
      <c r="AF9">
        <v>0</v>
      </c>
      <c r="AG9">
        <v>4.7</v>
      </c>
      <c r="AH9">
        <v>4.7</v>
      </c>
      <c r="AI9">
        <v>4.7</v>
      </c>
      <c r="AJ9">
        <v>4.7</v>
      </c>
      <c r="AK9">
        <v>4.7</v>
      </c>
      <c r="AL9">
        <v>0</v>
      </c>
      <c r="AM9">
        <v>0</v>
      </c>
      <c r="AN9">
        <v>0</v>
      </c>
      <c r="AO9">
        <v>0</v>
      </c>
    </row>
    <row r="10" spans="1:41">
      <c r="A10" t="s">
        <v>124</v>
      </c>
      <c r="B10">
        <v>0</v>
      </c>
      <c r="C10">
        <v>0</v>
      </c>
      <c r="D10">
        <v>0</v>
      </c>
      <c r="E10">
        <v>0</v>
      </c>
      <c r="F10">
        <v>4.7</v>
      </c>
      <c r="G10">
        <v>4.7</v>
      </c>
      <c r="H10">
        <v>4.7</v>
      </c>
      <c r="I10">
        <v>4.7</v>
      </c>
      <c r="J10">
        <v>4.7</v>
      </c>
      <c r="K10">
        <v>0</v>
      </c>
      <c r="L10">
        <v>0</v>
      </c>
      <c r="AC10" t="s">
        <v>124</v>
      </c>
      <c r="AD10">
        <v>0</v>
      </c>
      <c r="AE10">
        <v>0</v>
      </c>
      <c r="AF10">
        <v>0</v>
      </c>
      <c r="AG10">
        <v>0</v>
      </c>
      <c r="AH10">
        <v>4.7</v>
      </c>
      <c r="AI10">
        <v>4.7</v>
      </c>
      <c r="AJ10">
        <v>4.7</v>
      </c>
      <c r="AK10">
        <v>4.7</v>
      </c>
      <c r="AL10">
        <v>4.7</v>
      </c>
      <c r="AM10">
        <v>0</v>
      </c>
      <c r="AN10">
        <v>0</v>
      </c>
      <c r="AO10">
        <v>0</v>
      </c>
    </row>
    <row r="11" spans="1:41">
      <c r="A11" t="s">
        <v>115</v>
      </c>
      <c r="B11">
        <v>0</v>
      </c>
      <c r="C11">
        <v>0</v>
      </c>
      <c r="D11">
        <v>0</v>
      </c>
      <c r="E11">
        <v>0</v>
      </c>
      <c r="F11">
        <v>0</v>
      </c>
      <c r="G11">
        <v>4.7</v>
      </c>
      <c r="H11">
        <v>4.7</v>
      </c>
      <c r="I11">
        <v>4.7</v>
      </c>
      <c r="J11">
        <v>4.7</v>
      </c>
      <c r="K11">
        <v>4.7</v>
      </c>
      <c r="L11">
        <v>0</v>
      </c>
      <c r="AC11" t="s">
        <v>115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4.7</v>
      </c>
      <c r="AJ11">
        <v>4.7</v>
      </c>
      <c r="AK11">
        <v>4.7</v>
      </c>
      <c r="AL11">
        <v>4.7</v>
      </c>
      <c r="AM11">
        <v>4.7</v>
      </c>
      <c r="AN11">
        <v>0</v>
      </c>
      <c r="AO11">
        <v>0</v>
      </c>
    </row>
    <row r="12" spans="1:41">
      <c r="A12" t="s">
        <v>107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4.7</v>
      </c>
      <c r="I12">
        <v>4.7</v>
      </c>
      <c r="J12">
        <v>4.7</v>
      </c>
      <c r="K12">
        <v>4.7</v>
      </c>
      <c r="L12">
        <v>4.7</v>
      </c>
      <c r="AC12" t="s">
        <v>107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4.7</v>
      </c>
      <c r="AK12">
        <v>4.7</v>
      </c>
      <c r="AL12">
        <v>4.7</v>
      </c>
      <c r="AM12">
        <v>4.7</v>
      </c>
      <c r="AN12">
        <v>4.7</v>
      </c>
      <c r="AO12">
        <v>4.7</v>
      </c>
    </row>
    <row r="13" spans="1:41">
      <c r="A13" t="s">
        <v>103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4.7</v>
      </c>
      <c r="J13">
        <v>4.7</v>
      </c>
      <c r="K13">
        <v>4.7</v>
      </c>
      <c r="L13">
        <v>4.7</v>
      </c>
      <c r="AC13" t="s">
        <v>103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4.7</v>
      </c>
      <c r="AL13">
        <v>4.7</v>
      </c>
      <c r="AM13">
        <v>4.7</v>
      </c>
      <c r="AN13">
        <v>4.7</v>
      </c>
      <c r="AO13">
        <v>4.7</v>
      </c>
    </row>
    <row r="14" spans="1:41">
      <c r="A14" t="s">
        <v>97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4.7</v>
      </c>
      <c r="J14">
        <v>4.7</v>
      </c>
      <c r="K14">
        <v>4.7</v>
      </c>
      <c r="L14">
        <v>4.7</v>
      </c>
      <c r="AC14" t="s">
        <v>97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4.7</v>
      </c>
      <c r="AL14">
        <v>4.7</v>
      </c>
      <c r="AM14">
        <v>4.7</v>
      </c>
      <c r="AN14">
        <v>4.7</v>
      </c>
      <c r="AO14">
        <v>4.7</v>
      </c>
    </row>
    <row r="15" spans="1:41">
      <c r="A15" t="s">
        <v>103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4.7</v>
      </c>
      <c r="K15">
        <v>4.7</v>
      </c>
      <c r="L15">
        <v>4.7</v>
      </c>
      <c r="AC15" t="s">
        <v>103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4.7</v>
      </c>
      <c r="AM15">
        <v>4.7</v>
      </c>
      <c r="AN15">
        <v>4.7</v>
      </c>
      <c r="AO15">
        <v>4.7</v>
      </c>
    </row>
    <row r="16" spans="1:41">
      <c r="A16" t="s">
        <v>300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4.7</v>
      </c>
      <c r="L16">
        <v>4.7</v>
      </c>
      <c r="AC16" t="s">
        <v>300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4.7</v>
      </c>
      <c r="AN16">
        <v>4.7</v>
      </c>
      <c r="AO16">
        <v>4.7</v>
      </c>
    </row>
    <row r="17" spans="1:41">
      <c r="A17" t="s">
        <v>115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4.7</v>
      </c>
      <c r="AC17" t="s">
        <v>115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4.7</v>
      </c>
      <c r="AO17">
        <v>4.7</v>
      </c>
    </row>
    <row r="18" spans="1:41">
      <c r="A18" t="s">
        <v>124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AC18" t="s">
        <v>124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</row>
    <row r="19" spans="1:41">
      <c r="A19" t="s">
        <v>130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I19">
        <v>0</v>
      </c>
      <c r="J19">
        <v>0</v>
      </c>
      <c r="K19">
        <v>0</v>
      </c>
      <c r="AC19" t="s">
        <v>130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K19">
        <v>0</v>
      </c>
      <c r="AL19">
        <v>0</v>
      </c>
      <c r="AM19">
        <v>0</v>
      </c>
    </row>
    <row r="20" spans="1:41">
      <c r="A20" t="s">
        <v>301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AC20" t="s">
        <v>301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</row>
    <row r="22" spans="1:41">
      <c r="B22" t="s">
        <v>288</v>
      </c>
      <c r="C22" t="s">
        <v>289</v>
      </c>
      <c r="D22" t="s">
        <v>290</v>
      </c>
      <c r="E22" t="s">
        <v>291</v>
      </c>
      <c r="F22" t="s">
        <v>292</v>
      </c>
      <c r="G22" t="s">
        <v>293</v>
      </c>
      <c r="H22" t="s">
        <v>294</v>
      </c>
      <c r="I22" t="s">
        <v>295</v>
      </c>
      <c r="J22" t="s">
        <v>296</v>
      </c>
      <c r="K22" t="s">
        <v>297</v>
      </c>
      <c r="L22" t="s">
        <v>298</v>
      </c>
      <c r="Q22" t="s">
        <v>288</v>
      </c>
      <c r="R22" t="s">
        <v>289</v>
      </c>
      <c r="S22" t="s">
        <v>290</v>
      </c>
      <c r="T22" t="s">
        <v>291</v>
      </c>
      <c r="U22" t="s">
        <v>292</v>
      </c>
      <c r="V22" t="s">
        <v>293</v>
      </c>
      <c r="W22" t="s">
        <v>294</v>
      </c>
      <c r="X22" t="s">
        <v>295</v>
      </c>
      <c r="Y22" t="s">
        <v>296</v>
      </c>
      <c r="Z22" t="s">
        <v>297</v>
      </c>
      <c r="AA22" t="s">
        <v>298</v>
      </c>
      <c r="AD22" t="s">
        <v>288</v>
      </c>
      <c r="AE22" t="s">
        <v>289</v>
      </c>
      <c r="AF22" t="s">
        <v>290</v>
      </c>
      <c r="AG22" t="s">
        <v>291</v>
      </c>
      <c r="AH22" t="s">
        <v>292</v>
      </c>
      <c r="AI22" t="s">
        <v>293</v>
      </c>
      <c r="AJ22" t="s">
        <v>294</v>
      </c>
      <c r="AK22" t="s">
        <v>295</v>
      </c>
      <c r="AL22" t="s">
        <v>296</v>
      </c>
      <c r="AM22" t="s">
        <v>297</v>
      </c>
      <c r="AN22" t="s">
        <v>298</v>
      </c>
    </row>
    <row r="23" spans="1:41">
      <c r="A23" t="s">
        <v>97</v>
      </c>
      <c r="B23">
        <v>4.7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4.7</v>
      </c>
      <c r="J23">
        <v>4.7</v>
      </c>
      <c r="K23">
        <v>4.7</v>
      </c>
      <c r="L23">
        <v>4.7</v>
      </c>
      <c r="Q23">
        <v>4.7</v>
      </c>
      <c r="T23">
        <v>4.7</v>
      </c>
      <c r="V23">
        <v>4.7</v>
      </c>
      <c r="X23">
        <v>4.7</v>
      </c>
      <c r="Z23">
        <v>4.7</v>
      </c>
      <c r="AC23" t="s">
        <v>97</v>
      </c>
      <c r="AD23">
        <v>4.7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4.7</v>
      </c>
      <c r="AL23">
        <v>4.7</v>
      </c>
      <c r="AM23">
        <v>4.7</v>
      </c>
      <c r="AN23">
        <v>4.7</v>
      </c>
    </row>
    <row r="24" spans="1:41">
      <c r="A24" t="s">
        <v>103</v>
      </c>
      <c r="B24">
        <v>9.4</v>
      </c>
      <c r="C24">
        <v>4.7</v>
      </c>
      <c r="D24">
        <v>0</v>
      </c>
      <c r="E24">
        <v>0</v>
      </c>
      <c r="F24">
        <v>0</v>
      </c>
      <c r="G24">
        <v>0</v>
      </c>
      <c r="H24">
        <v>0</v>
      </c>
      <c r="I24">
        <v>4.7</v>
      </c>
      <c r="J24">
        <v>9.4</v>
      </c>
      <c r="K24">
        <v>9.4</v>
      </c>
      <c r="L24">
        <v>9.4</v>
      </c>
      <c r="Q24">
        <v>4.7</v>
      </c>
      <c r="R24">
        <v>4.7</v>
      </c>
      <c r="T24">
        <v>4.7</v>
      </c>
      <c r="U24">
        <v>4.7</v>
      </c>
      <c r="V24">
        <v>4.7</v>
      </c>
      <c r="W24">
        <v>4.7</v>
      </c>
      <c r="X24">
        <v>4.7</v>
      </c>
      <c r="Y24">
        <v>4.7</v>
      </c>
      <c r="Z24">
        <v>4.7</v>
      </c>
      <c r="AA24">
        <v>4.7</v>
      </c>
      <c r="AC24" t="s">
        <v>103</v>
      </c>
      <c r="AD24">
        <v>9.4</v>
      </c>
      <c r="AE24">
        <v>4.7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4.7</v>
      </c>
      <c r="AL24">
        <v>9.4</v>
      </c>
      <c r="AM24">
        <v>9.4</v>
      </c>
      <c r="AN24">
        <v>9.4</v>
      </c>
    </row>
    <row r="25" spans="1:41">
      <c r="A25" t="s">
        <v>107</v>
      </c>
      <c r="B25">
        <v>4.7</v>
      </c>
      <c r="C25">
        <v>4.7</v>
      </c>
      <c r="D25">
        <v>4.7</v>
      </c>
      <c r="E25">
        <v>0</v>
      </c>
      <c r="F25">
        <v>0</v>
      </c>
      <c r="G25">
        <v>0</v>
      </c>
      <c r="H25">
        <v>4.7</v>
      </c>
      <c r="I25">
        <v>4.7</v>
      </c>
      <c r="J25">
        <v>4.7</v>
      </c>
      <c r="K25">
        <v>9.4</v>
      </c>
      <c r="L25">
        <v>9.4</v>
      </c>
      <c r="Q25">
        <v>4.7</v>
      </c>
      <c r="S25">
        <v>9.4</v>
      </c>
      <c r="U25">
        <v>4.7</v>
      </c>
      <c r="V25">
        <v>4.7</v>
      </c>
      <c r="W25">
        <v>4.7</v>
      </c>
      <c r="X25">
        <v>4.7</v>
      </c>
      <c r="Y25">
        <v>4.7</v>
      </c>
      <c r="Z25">
        <v>4.7</v>
      </c>
      <c r="AA25">
        <v>4.7</v>
      </c>
      <c r="AC25" t="s">
        <v>107</v>
      </c>
      <c r="AD25">
        <v>4.7</v>
      </c>
      <c r="AE25">
        <v>4.7</v>
      </c>
      <c r="AF25">
        <v>4.7</v>
      </c>
      <c r="AG25">
        <v>0</v>
      </c>
      <c r="AH25">
        <v>0</v>
      </c>
      <c r="AI25">
        <v>0</v>
      </c>
      <c r="AJ25">
        <v>4.7</v>
      </c>
      <c r="AK25">
        <v>4.7</v>
      </c>
      <c r="AL25">
        <v>4.7</v>
      </c>
      <c r="AM25">
        <v>9.4</v>
      </c>
      <c r="AN25">
        <v>9.4</v>
      </c>
    </row>
    <row r="26" spans="1:41">
      <c r="A26" t="s">
        <v>115</v>
      </c>
      <c r="B26">
        <v>4.7</v>
      </c>
      <c r="C26">
        <v>4.7</v>
      </c>
      <c r="D26">
        <v>4.7</v>
      </c>
      <c r="E26">
        <v>4.7</v>
      </c>
      <c r="F26">
        <v>0</v>
      </c>
      <c r="G26">
        <v>4.7</v>
      </c>
      <c r="H26">
        <v>4.7</v>
      </c>
      <c r="I26">
        <v>4.7</v>
      </c>
      <c r="J26">
        <v>4.7</v>
      </c>
      <c r="K26">
        <v>4.7</v>
      </c>
      <c r="L26">
        <v>4.7</v>
      </c>
      <c r="R26">
        <v>9.4</v>
      </c>
      <c r="T26">
        <v>9.4</v>
      </c>
      <c r="V26">
        <v>4.7</v>
      </c>
      <c r="W26">
        <v>4.7</v>
      </c>
      <c r="X26">
        <v>4.7</v>
      </c>
      <c r="Y26">
        <v>4.7</v>
      </c>
      <c r="Z26">
        <v>4.7</v>
      </c>
      <c r="AA26">
        <v>4.7</v>
      </c>
      <c r="AC26" t="s">
        <v>115</v>
      </c>
      <c r="AD26">
        <v>4.7</v>
      </c>
      <c r="AE26">
        <v>4.7</v>
      </c>
      <c r="AF26">
        <v>4.7</v>
      </c>
      <c r="AG26">
        <v>4.7</v>
      </c>
      <c r="AH26">
        <v>0</v>
      </c>
      <c r="AI26">
        <v>4.7</v>
      </c>
      <c r="AJ26">
        <v>4.7</v>
      </c>
      <c r="AK26">
        <v>4.7</v>
      </c>
      <c r="AL26">
        <v>4.7</v>
      </c>
      <c r="AM26">
        <v>4.7</v>
      </c>
      <c r="AN26">
        <v>4.7</v>
      </c>
    </row>
    <row r="27" spans="1:41">
      <c r="A27" t="s">
        <v>124</v>
      </c>
      <c r="B27">
        <v>4.7</v>
      </c>
      <c r="C27">
        <v>4.7</v>
      </c>
      <c r="D27">
        <v>4.7</v>
      </c>
      <c r="E27">
        <v>4.7</v>
      </c>
      <c r="F27">
        <v>9.4</v>
      </c>
      <c r="G27">
        <v>4.7</v>
      </c>
      <c r="H27">
        <v>4.7</v>
      </c>
      <c r="I27">
        <v>4.7</v>
      </c>
      <c r="J27">
        <v>4.7</v>
      </c>
      <c r="K27">
        <v>0</v>
      </c>
      <c r="L27">
        <v>0</v>
      </c>
      <c r="Q27">
        <v>9.4</v>
      </c>
      <c r="S27">
        <v>9.4</v>
      </c>
      <c r="U27">
        <v>9.4</v>
      </c>
      <c r="W27">
        <v>4.7</v>
      </c>
      <c r="X27">
        <v>4.7</v>
      </c>
      <c r="Y27">
        <v>4.7</v>
      </c>
      <c r="Z27">
        <v>4.7</v>
      </c>
      <c r="AC27" t="s">
        <v>124</v>
      </c>
      <c r="AD27">
        <v>4.7</v>
      </c>
      <c r="AE27">
        <v>4.7</v>
      </c>
      <c r="AF27">
        <v>4.7</v>
      </c>
      <c r="AG27">
        <v>4.7</v>
      </c>
      <c r="AH27">
        <v>9.4</v>
      </c>
      <c r="AI27">
        <v>4.7</v>
      </c>
      <c r="AJ27">
        <v>4.7</v>
      </c>
      <c r="AK27">
        <v>4.7</v>
      </c>
      <c r="AL27">
        <v>4.7</v>
      </c>
      <c r="AM27">
        <v>0</v>
      </c>
      <c r="AN27">
        <v>0</v>
      </c>
    </row>
    <row r="28" spans="1:41">
      <c r="A28" t="s">
        <v>299</v>
      </c>
      <c r="B28">
        <v>0</v>
      </c>
      <c r="C28">
        <v>4.7</v>
      </c>
      <c r="D28">
        <v>4.7</v>
      </c>
      <c r="E28">
        <v>9.4</v>
      </c>
      <c r="F28">
        <v>9.4</v>
      </c>
      <c r="G28">
        <v>9.4</v>
      </c>
      <c r="H28">
        <v>4.7</v>
      </c>
      <c r="I28">
        <v>4.7</v>
      </c>
      <c r="J28">
        <v>0</v>
      </c>
      <c r="K28">
        <v>0</v>
      </c>
      <c r="L28">
        <v>0</v>
      </c>
      <c r="R28">
        <v>9.4</v>
      </c>
      <c r="T28">
        <v>9.4</v>
      </c>
      <c r="V28">
        <v>9.4</v>
      </c>
      <c r="X28">
        <v>4.7</v>
      </c>
      <c r="Y28">
        <v>4.7</v>
      </c>
      <c r="AA28">
        <v>9.4</v>
      </c>
      <c r="AC28" t="s">
        <v>299</v>
      </c>
      <c r="AD28">
        <v>0</v>
      </c>
      <c r="AE28">
        <v>4.7</v>
      </c>
      <c r="AF28">
        <v>4.7</v>
      </c>
      <c r="AG28">
        <v>9.4</v>
      </c>
      <c r="AH28">
        <v>9.4</v>
      </c>
      <c r="AI28">
        <v>9.4</v>
      </c>
      <c r="AJ28">
        <v>4.7</v>
      </c>
      <c r="AK28">
        <v>4.7</v>
      </c>
      <c r="AL28">
        <v>0</v>
      </c>
      <c r="AM28">
        <v>0</v>
      </c>
      <c r="AN28">
        <v>0</v>
      </c>
    </row>
    <row r="29" spans="1:41">
      <c r="A29" t="s">
        <v>138</v>
      </c>
      <c r="B29">
        <v>0</v>
      </c>
      <c r="C29">
        <v>0</v>
      </c>
      <c r="D29">
        <v>4.7</v>
      </c>
      <c r="E29">
        <v>4.7</v>
      </c>
      <c r="F29">
        <v>4.7</v>
      </c>
      <c r="G29">
        <v>4.7</v>
      </c>
      <c r="H29">
        <v>4.7</v>
      </c>
      <c r="I29">
        <v>0</v>
      </c>
      <c r="J29">
        <v>0</v>
      </c>
      <c r="K29">
        <v>0</v>
      </c>
      <c r="L29">
        <v>0</v>
      </c>
      <c r="Q29">
        <v>4.7</v>
      </c>
      <c r="S29">
        <v>4.7</v>
      </c>
      <c r="U29">
        <v>4.7</v>
      </c>
      <c r="W29">
        <v>4.7</v>
      </c>
      <c r="Z29">
        <v>4.7</v>
      </c>
      <c r="AC29" t="s">
        <v>138</v>
      </c>
      <c r="AD29">
        <v>0</v>
      </c>
      <c r="AE29">
        <v>0</v>
      </c>
      <c r="AF29">
        <v>4.7</v>
      </c>
      <c r="AG29">
        <v>4.7</v>
      </c>
      <c r="AH29">
        <v>4.7</v>
      </c>
      <c r="AI29">
        <v>4.7</v>
      </c>
      <c r="AJ29">
        <v>4.7</v>
      </c>
      <c r="AK29">
        <v>0</v>
      </c>
      <c r="AL29">
        <v>0</v>
      </c>
      <c r="AM29">
        <v>0</v>
      </c>
      <c r="AN29">
        <v>0</v>
      </c>
    </row>
    <row r="32" spans="1:41">
      <c r="B32" t="s">
        <v>288</v>
      </c>
      <c r="C32" t="s">
        <v>289</v>
      </c>
      <c r="D32" t="s">
        <v>290</v>
      </c>
      <c r="E32" t="s">
        <v>291</v>
      </c>
      <c r="F32" t="s">
        <v>292</v>
      </c>
      <c r="G32" t="s">
        <v>293</v>
      </c>
      <c r="H32" t="s">
        <v>294</v>
      </c>
      <c r="I32" t="s">
        <v>295</v>
      </c>
      <c r="J32" t="s">
        <v>296</v>
      </c>
      <c r="K32" t="s">
        <v>297</v>
      </c>
      <c r="L32" t="s">
        <v>298</v>
      </c>
      <c r="Q32" t="s">
        <v>288</v>
      </c>
      <c r="R32" t="s">
        <v>289</v>
      </c>
      <c r="S32" t="s">
        <v>290</v>
      </c>
      <c r="T32" t="s">
        <v>291</v>
      </c>
      <c r="U32" t="s">
        <v>292</v>
      </c>
      <c r="V32" t="s">
        <v>293</v>
      </c>
      <c r="W32" t="s">
        <v>294</v>
      </c>
      <c r="X32" t="s">
        <v>295</v>
      </c>
      <c r="Y32" t="s">
        <v>296</v>
      </c>
      <c r="Z32" t="s">
        <v>297</v>
      </c>
      <c r="AA32" t="s">
        <v>298</v>
      </c>
      <c r="AC32" t="s">
        <v>302</v>
      </c>
      <c r="AD32" t="s">
        <v>96</v>
      </c>
      <c r="AE32" t="s">
        <v>99</v>
      </c>
      <c r="AF32" t="s">
        <v>105</v>
      </c>
      <c r="AG32" t="s">
        <v>109</v>
      </c>
      <c r="AH32" t="s">
        <v>118</v>
      </c>
      <c r="AI32" t="s">
        <v>126</v>
      </c>
      <c r="AJ32" t="s">
        <v>134</v>
      </c>
      <c r="AK32" t="s">
        <v>139</v>
      </c>
      <c r="AL32" t="s">
        <v>140</v>
      </c>
      <c r="AM32" t="s">
        <v>142</v>
      </c>
      <c r="AN32" t="s">
        <v>144</v>
      </c>
    </row>
    <row r="33" spans="1:40">
      <c r="A33" t="s">
        <v>97</v>
      </c>
      <c r="B33">
        <v>4.7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4.7</v>
      </c>
      <c r="J33">
        <v>4.7</v>
      </c>
      <c r="K33">
        <v>4.7</v>
      </c>
      <c r="L33">
        <v>4.7</v>
      </c>
      <c r="P33" t="s">
        <v>97</v>
      </c>
      <c r="Q33">
        <v>4.7</v>
      </c>
      <c r="R33">
        <v>0</v>
      </c>
      <c r="T33">
        <v>4.7</v>
      </c>
      <c r="V33">
        <v>4.7</v>
      </c>
      <c r="X33">
        <v>4.7</v>
      </c>
      <c r="Y33">
        <v>0</v>
      </c>
      <c r="Z33">
        <v>4.7</v>
      </c>
      <c r="AA33">
        <v>0</v>
      </c>
      <c r="AC33" t="s">
        <v>97</v>
      </c>
      <c r="AD33" t="s">
        <v>303</v>
      </c>
      <c r="AE33" t="s">
        <v>304</v>
      </c>
      <c r="AF33" t="s">
        <v>304</v>
      </c>
      <c r="AG33" t="s">
        <v>305</v>
      </c>
      <c r="AH33" t="s">
        <v>306</v>
      </c>
      <c r="AI33" t="s">
        <v>305</v>
      </c>
      <c r="AJ33" t="s">
        <v>304</v>
      </c>
      <c r="AK33" t="s">
        <v>303</v>
      </c>
      <c r="AL33" t="s">
        <v>307</v>
      </c>
      <c r="AM33" t="s">
        <v>303</v>
      </c>
      <c r="AN33" t="s">
        <v>307</v>
      </c>
    </row>
    <row r="34" spans="1:40">
      <c r="A34" t="s">
        <v>308</v>
      </c>
      <c r="B34">
        <v>258500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258500</v>
      </c>
      <c r="J34">
        <v>258500</v>
      </c>
      <c r="K34">
        <v>258500</v>
      </c>
      <c r="L34">
        <v>258500</v>
      </c>
      <c r="P34" t="s">
        <v>309</v>
      </c>
      <c r="Q34">
        <v>258500</v>
      </c>
      <c r="R34">
        <v>0</v>
      </c>
      <c r="S34">
        <v>0</v>
      </c>
      <c r="T34">
        <v>258500</v>
      </c>
      <c r="U34">
        <v>0</v>
      </c>
      <c r="V34">
        <v>258500</v>
      </c>
      <c r="W34">
        <v>0</v>
      </c>
      <c r="X34">
        <v>258500</v>
      </c>
      <c r="Y34">
        <v>0</v>
      </c>
      <c r="Z34">
        <v>258500</v>
      </c>
      <c r="AA34">
        <v>0</v>
      </c>
      <c r="AC34" t="s">
        <v>103</v>
      </c>
      <c r="AD34" t="s">
        <v>310</v>
      </c>
      <c r="AE34" t="s">
        <v>303</v>
      </c>
      <c r="AF34" t="s">
        <v>304</v>
      </c>
      <c r="AG34" t="s">
        <v>305</v>
      </c>
      <c r="AH34" t="s">
        <v>305</v>
      </c>
      <c r="AI34" t="s">
        <v>305</v>
      </c>
      <c r="AJ34" t="s">
        <v>305</v>
      </c>
      <c r="AK34" t="s">
        <v>303</v>
      </c>
      <c r="AL34" t="s">
        <v>310</v>
      </c>
      <c r="AM34" t="s">
        <v>310</v>
      </c>
      <c r="AN34" t="s">
        <v>310</v>
      </c>
    </row>
    <row r="35" spans="1:40">
      <c r="A35" t="s">
        <v>311</v>
      </c>
      <c r="B35">
        <v>117500</v>
      </c>
      <c r="C35">
        <v>117500</v>
      </c>
      <c r="D35">
        <v>117500</v>
      </c>
      <c r="E35">
        <v>117500</v>
      </c>
      <c r="F35">
        <v>117500</v>
      </c>
      <c r="G35">
        <v>117500</v>
      </c>
      <c r="H35">
        <v>117500</v>
      </c>
      <c r="I35">
        <v>117500</v>
      </c>
      <c r="J35">
        <v>117500</v>
      </c>
      <c r="K35">
        <v>117500</v>
      </c>
      <c r="L35">
        <v>117500</v>
      </c>
      <c r="P35" t="s">
        <v>312</v>
      </c>
      <c r="Q35">
        <v>59690</v>
      </c>
      <c r="R35">
        <v>0</v>
      </c>
      <c r="S35">
        <v>0</v>
      </c>
      <c r="T35">
        <v>59690</v>
      </c>
      <c r="U35">
        <v>0</v>
      </c>
      <c r="V35">
        <v>59690</v>
      </c>
      <c r="W35">
        <v>0</v>
      </c>
      <c r="X35">
        <v>59690</v>
      </c>
      <c r="Y35">
        <v>0</v>
      </c>
      <c r="Z35">
        <v>59690</v>
      </c>
      <c r="AA35">
        <v>0</v>
      </c>
      <c r="AC35" t="s">
        <v>107</v>
      </c>
      <c r="AD35" t="s">
        <v>303</v>
      </c>
      <c r="AE35" t="s">
        <v>307</v>
      </c>
      <c r="AF35" t="s">
        <v>313</v>
      </c>
      <c r="AG35" t="s">
        <v>304</v>
      </c>
      <c r="AH35" t="s">
        <v>305</v>
      </c>
      <c r="AI35" t="s">
        <v>305</v>
      </c>
      <c r="AJ35" t="s">
        <v>303</v>
      </c>
      <c r="AK35" t="s">
        <v>303</v>
      </c>
      <c r="AL35" t="s">
        <v>303</v>
      </c>
      <c r="AM35" t="s">
        <v>310</v>
      </c>
      <c r="AN35" t="s">
        <v>310</v>
      </c>
    </row>
    <row r="36" spans="1:40">
      <c r="A36" t="s">
        <v>314</v>
      </c>
      <c r="B36">
        <v>2.14</v>
      </c>
      <c r="C36">
        <v>2.14</v>
      </c>
      <c r="D36">
        <v>2.136363636</v>
      </c>
      <c r="E36">
        <v>2.136363636</v>
      </c>
      <c r="F36">
        <v>2.136363636</v>
      </c>
      <c r="G36">
        <v>2.136363636</v>
      </c>
      <c r="H36">
        <v>2.136363636</v>
      </c>
      <c r="I36">
        <v>2.136363636</v>
      </c>
      <c r="J36">
        <v>2.136363636</v>
      </c>
      <c r="K36">
        <v>2.136363636</v>
      </c>
      <c r="L36">
        <v>2.136363636</v>
      </c>
      <c r="AC36" t="s">
        <v>115</v>
      </c>
      <c r="AD36" t="s">
        <v>307</v>
      </c>
      <c r="AE36" t="s">
        <v>313</v>
      </c>
      <c r="AF36" t="s">
        <v>307</v>
      </c>
      <c r="AG36" t="s">
        <v>313</v>
      </c>
      <c r="AH36" t="s">
        <v>304</v>
      </c>
      <c r="AI36" t="s">
        <v>303</v>
      </c>
      <c r="AJ36" t="s">
        <v>303</v>
      </c>
      <c r="AK36" t="s">
        <v>303</v>
      </c>
      <c r="AL36" t="s">
        <v>303</v>
      </c>
      <c r="AM36" t="s">
        <v>303</v>
      </c>
      <c r="AN36" t="s">
        <v>303</v>
      </c>
    </row>
    <row r="37" spans="1:40">
      <c r="A37" t="s">
        <v>315</v>
      </c>
      <c r="B37">
        <v>59690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59690</v>
      </c>
      <c r="J37">
        <v>59690</v>
      </c>
      <c r="K37">
        <v>59690</v>
      </c>
      <c r="L37">
        <v>59690</v>
      </c>
      <c r="P37" t="s">
        <v>103</v>
      </c>
      <c r="Q37">
        <v>4.7</v>
      </c>
      <c r="R37">
        <v>4.7</v>
      </c>
      <c r="S37">
        <v>0</v>
      </c>
      <c r="T37">
        <v>4.7</v>
      </c>
      <c r="U37">
        <v>4.7</v>
      </c>
      <c r="V37">
        <v>4.7</v>
      </c>
      <c r="W37">
        <v>4.7</v>
      </c>
      <c r="X37">
        <v>4.7</v>
      </c>
      <c r="Y37">
        <v>4.7</v>
      </c>
      <c r="Z37">
        <v>4.7</v>
      </c>
      <c r="AA37">
        <v>4.7</v>
      </c>
      <c r="AC37" t="s">
        <v>124</v>
      </c>
      <c r="AD37" t="s">
        <v>316</v>
      </c>
      <c r="AE37" t="s">
        <v>307</v>
      </c>
      <c r="AF37" t="s">
        <v>313</v>
      </c>
      <c r="AG37" t="s">
        <v>307</v>
      </c>
      <c r="AH37" t="s">
        <v>317</v>
      </c>
      <c r="AI37" t="s">
        <v>307</v>
      </c>
      <c r="AJ37" t="s">
        <v>303</v>
      </c>
      <c r="AK37" t="s">
        <v>303</v>
      </c>
      <c r="AL37" t="s">
        <v>303</v>
      </c>
      <c r="AM37" t="s">
        <v>305</v>
      </c>
      <c r="AN37" t="s">
        <v>304</v>
      </c>
    </row>
    <row r="38" spans="1:40">
      <c r="A38" t="s">
        <v>318</v>
      </c>
      <c r="B38">
        <v>16450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16450</v>
      </c>
      <c r="J38">
        <v>16450</v>
      </c>
      <c r="K38">
        <v>16450</v>
      </c>
      <c r="L38">
        <v>16450</v>
      </c>
      <c r="P38" t="s">
        <v>309</v>
      </c>
      <c r="Q38">
        <v>258500</v>
      </c>
      <c r="R38">
        <v>258500</v>
      </c>
      <c r="S38">
        <v>0</v>
      </c>
      <c r="T38">
        <v>258500</v>
      </c>
      <c r="U38">
        <v>258500</v>
      </c>
      <c r="V38">
        <v>258500</v>
      </c>
      <c r="W38">
        <v>258500</v>
      </c>
      <c r="X38">
        <v>258500</v>
      </c>
      <c r="Y38">
        <v>258500</v>
      </c>
      <c r="Z38">
        <v>258500</v>
      </c>
      <c r="AA38">
        <v>258500</v>
      </c>
      <c r="AC38" t="s">
        <v>299</v>
      </c>
      <c r="AD38" t="s">
        <v>304</v>
      </c>
      <c r="AE38" t="s">
        <v>313</v>
      </c>
      <c r="AF38" t="s">
        <v>304</v>
      </c>
      <c r="AG38" t="s">
        <v>317</v>
      </c>
      <c r="AH38" t="s">
        <v>319</v>
      </c>
      <c r="AI38" t="s">
        <v>317</v>
      </c>
      <c r="AJ38" t="s">
        <v>307</v>
      </c>
      <c r="AK38" t="s">
        <v>303</v>
      </c>
      <c r="AL38" t="s">
        <v>305</v>
      </c>
      <c r="AM38" t="s">
        <v>304</v>
      </c>
      <c r="AN38" t="s">
        <v>316</v>
      </c>
    </row>
    <row r="39" spans="1:40">
      <c r="P39" t="s">
        <v>312</v>
      </c>
      <c r="Q39">
        <v>59690</v>
      </c>
      <c r="R39">
        <v>59690</v>
      </c>
      <c r="S39">
        <v>0</v>
      </c>
      <c r="T39">
        <v>59690</v>
      </c>
      <c r="U39">
        <v>59690</v>
      </c>
      <c r="V39">
        <v>59690</v>
      </c>
      <c r="W39">
        <v>59690</v>
      </c>
      <c r="X39">
        <v>59690</v>
      </c>
      <c r="Y39">
        <v>59690</v>
      </c>
      <c r="Z39">
        <v>59690</v>
      </c>
      <c r="AA39">
        <v>59690</v>
      </c>
      <c r="AC39" t="s">
        <v>138</v>
      </c>
      <c r="AD39" t="s">
        <v>320</v>
      </c>
      <c r="AE39" t="s">
        <v>304</v>
      </c>
      <c r="AF39" t="s">
        <v>303</v>
      </c>
      <c r="AG39" t="s">
        <v>307</v>
      </c>
      <c r="AH39" t="s">
        <v>303</v>
      </c>
      <c r="AI39" t="s">
        <v>307</v>
      </c>
      <c r="AJ39" t="s">
        <v>303</v>
      </c>
      <c r="AK39" t="s">
        <v>304</v>
      </c>
      <c r="AL39" t="s">
        <v>304</v>
      </c>
      <c r="AM39" t="s">
        <v>305</v>
      </c>
      <c r="AN39" t="s">
        <v>304</v>
      </c>
    </row>
    <row r="40" spans="1:40">
      <c r="A40" t="s">
        <v>103</v>
      </c>
      <c r="B40">
        <v>9.4</v>
      </c>
      <c r="C40">
        <v>4.7</v>
      </c>
      <c r="D40">
        <v>0</v>
      </c>
      <c r="E40">
        <v>0</v>
      </c>
      <c r="F40">
        <v>0</v>
      </c>
      <c r="G40">
        <v>0</v>
      </c>
      <c r="H40">
        <v>0</v>
      </c>
      <c r="I40">
        <v>4.7</v>
      </c>
      <c r="J40">
        <v>9.4</v>
      </c>
      <c r="K40">
        <v>9.4</v>
      </c>
      <c r="L40">
        <v>9.4</v>
      </c>
    </row>
    <row r="41" spans="1:40">
      <c r="A41" t="s">
        <v>321</v>
      </c>
      <c r="B41">
        <v>517000</v>
      </c>
      <c r="C41">
        <v>258500</v>
      </c>
      <c r="D41">
        <v>0</v>
      </c>
      <c r="E41">
        <v>0</v>
      </c>
      <c r="F41">
        <v>0</v>
      </c>
      <c r="G41">
        <v>0</v>
      </c>
      <c r="H41">
        <v>0</v>
      </c>
      <c r="I41">
        <v>258500</v>
      </c>
      <c r="J41">
        <v>517000</v>
      </c>
      <c r="K41">
        <v>517000</v>
      </c>
      <c r="L41">
        <v>517000</v>
      </c>
      <c r="P41" t="s">
        <v>107</v>
      </c>
      <c r="Q41">
        <v>4.7</v>
      </c>
      <c r="S41">
        <v>9.4</v>
      </c>
      <c r="T41">
        <v>0</v>
      </c>
      <c r="U41">
        <v>4.7</v>
      </c>
      <c r="V41">
        <v>4.7</v>
      </c>
      <c r="W41">
        <v>4.7</v>
      </c>
      <c r="X41">
        <v>4.7</v>
      </c>
      <c r="Y41">
        <v>4.7</v>
      </c>
      <c r="Z41">
        <v>4.7</v>
      </c>
      <c r="AA41">
        <v>4.7</v>
      </c>
    </row>
    <row r="42" spans="1:40">
      <c r="A42" t="s">
        <v>315</v>
      </c>
      <c r="B42">
        <v>119380</v>
      </c>
      <c r="C42">
        <v>59690</v>
      </c>
      <c r="D42">
        <v>0</v>
      </c>
      <c r="E42">
        <v>0</v>
      </c>
      <c r="F42">
        <v>0</v>
      </c>
      <c r="G42">
        <v>0</v>
      </c>
      <c r="H42">
        <v>0</v>
      </c>
      <c r="I42">
        <v>59690</v>
      </c>
      <c r="J42">
        <v>119380</v>
      </c>
      <c r="K42">
        <v>119380</v>
      </c>
      <c r="L42">
        <v>119380</v>
      </c>
      <c r="P42" t="s">
        <v>309</v>
      </c>
      <c r="Q42">
        <v>258500</v>
      </c>
      <c r="R42">
        <v>0</v>
      </c>
      <c r="S42">
        <v>517000</v>
      </c>
      <c r="T42">
        <v>0</v>
      </c>
      <c r="U42">
        <v>258500</v>
      </c>
      <c r="V42">
        <v>258500</v>
      </c>
      <c r="W42">
        <v>258500</v>
      </c>
      <c r="X42">
        <v>258500</v>
      </c>
      <c r="Y42">
        <v>258500</v>
      </c>
      <c r="Z42">
        <v>258500</v>
      </c>
      <c r="AA42">
        <v>258500</v>
      </c>
    </row>
    <row r="43" spans="1:40">
      <c r="A43" t="s">
        <v>318</v>
      </c>
      <c r="B43">
        <v>32900</v>
      </c>
      <c r="C43">
        <v>16450</v>
      </c>
      <c r="D43">
        <v>0</v>
      </c>
      <c r="E43">
        <v>0</v>
      </c>
      <c r="F43">
        <v>0</v>
      </c>
      <c r="G43">
        <v>0</v>
      </c>
      <c r="H43">
        <v>0</v>
      </c>
      <c r="I43">
        <v>16450</v>
      </c>
      <c r="J43">
        <v>32900</v>
      </c>
      <c r="K43">
        <v>32900</v>
      </c>
      <c r="L43">
        <v>32900</v>
      </c>
      <c r="P43" t="s">
        <v>312</v>
      </c>
      <c r="Q43">
        <v>59690</v>
      </c>
      <c r="R43">
        <v>0</v>
      </c>
      <c r="S43">
        <v>119380</v>
      </c>
      <c r="T43">
        <v>0</v>
      </c>
      <c r="U43">
        <v>59690</v>
      </c>
      <c r="V43">
        <v>59690</v>
      </c>
      <c r="W43">
        <v>59690</v>
      </c>
      <c r="X43">
        <v>59690</v>
      </c>
      <c r="Y43">
        <v>59690</v>
      </c>
      <c r="Z43">
        <v>59690</v>
      </c>
      <c r="AA43">
        <v>59690</v>
      </c>
    </row>
    <row r="45" spans="1:40">
      <c r="A45" t="s">
        <v>107</v>
      </c>
      <c r="B45">
        <v>4.7</v>
      </c>
      <c r="C45">
        <v>4.7</v>
      </c>
      <c r="D45">
        <v>4.7</v>
      </c>
      <c r="E45">
        <v>0</v>
      </c>
      <c r="F45">
        <v>0</v>
      </c>
      <c r="G45">
        <v>0</v>
      </c>
      <c r="H45">
        <v>4.7</v>
      </c>
      <c r="I45">
        <v>4.7</v>
      </c>
      <c r="J45">
        <v>4.7</v>
      </c>
      <c r="K45">
        <v>9.4</v>
      </c>
      <c r="L45">
        <v>9.4</v>
      </c>
      <c r="P45" t="s">
        <v>115</v>
      </c>
      <c r="Q45">
        <v>0</v>
      </c>
      <c r="R45">
        <v>9.4</v>
      </c>
      <c r="S45">
        <v>0</v>
      </c>
      <c r="T45">
        <v>9.4</v>
      </c>
      <c r="U45">
        <v>0</v>
      </c>
      <c r="V45">
        <v>4.7</v>
      </c>
      <c r="W45">
        <v>4.7</v>
      </c>
      <c r="X45">
        <v>4.7</v>
      </c>
      <c r="Y45">
        <v>4.7</v>
      </c>
      <c r="Z45">
        <v>4.7</v>
      </c>
      <c r="AA45">
        <v>4.7</v>
      </c>
    </row>
    <row r="46" spans="1:40">
      <c r="A46" t="s">
        <v>321</v>
      </c>
      <c r="B46">
        <v>258500</v>
      </c>
      <c r="C46">
        <v>258500</v>
      </c>
      <c r="D46">
        <v>258500</v>
      </c>
      <c r="E46">
        <v>0</v>
      </c>
      <c r="F46">
        <v>0</v>
      </c>
      <c r="G46">
        <v>0</v>
      </c>
      <c r="H46">
        <v>258500</v>
      </c>
      <c r="I46">
        <v>258500</v>
      </c>
      <c r="J46">
        <v>258500</v>
      </c>
      <c r="K46">
        <v>517000</v>
      </c>
      <c r="L46">
        <v>517000</v>
      </c>
      <c r="P46" t="s">
        <v>309</v>
      </c>
      <c r="Q46">
        <v>0</v>
      </c>
      <c r="R46">
        <v>517000</v>
      </c>
      <c r="S46">
        <v>0</v>
      </c>
      <c r="T46">
        <v>517000</v>
      </c>
      <c r="U46">
        <v>0</v>
      </c>
      <c r="V46">
        <v>258500</v>
      </c>
      <c r="W46">
        <v>258500</v>
      </c>
      <c r="X46">
        <v>258500</v>
      </c>
      <c r="Y46">
        <v>258500</v>
      </c>
      <c r="Z46">
        <v>258500</v>
      </c>
      <c r="AA46">
        <v>258500</v>
      </c>
    </row>
    <row r="47" spans="1:40">
      <c r="A47" t="s">
        <v>315</v>
      </c>
      <c r="B47">
        <v>59690</v>
      </c>
      <c r="C47">
        <v>59690</v>
      </c>
      <c r="D47">
        <v>59690</v>
      </c>
      <c r="E47">
        <v>0</v>
      </c>
      <c r="F47">
        <v>0</v>
      </c>
      <c r="G47">
        <v>0</v>
      </c>
      <c r="H47">
        <v>59690</v>
      </c>
      <c r="I47">
        <v>59690</v>
      </c>
      <c r="J47">
        <v>59690</v>
      </c>
      <c r="K47">
        <v>119380</v>
      </c>
      <c r="L47">
        <v>119380</v>
      </c>
      <c r="P47" t="s">
        <v>312</v>
      </c>
      <c r="Q47">
        <v>0</v>
      </c>
      <c r="R47">
        <v>119380</v>
      </c>
      <c r="S47">
        <v>0</v>
      </c>
      <c r="T47">
        <v>119380</v>
      </c>
      <c r="U47">
        <v>0</v>
      </c>
      <c r="V47">
        <v>59690</v>
      </c>
      <c r="W47">
        <v>59690</v>
      </c>
      <c r="X47">
        <v>59690</v>
      </c>
      <c r="Y47">
        <v>59690</v>
      </c>
      <c r="Z47">
        <v>59690</v>
      </c>
      <c r="AA47">
        <v>59690</v>
      </c>
    </row>
    <row r="48" spans="1:40">
      <c r="A48" t="s">
        <v>318</v>
      </c>
      <c r="B48">
        <v>16450</v>
      </c>
      <c r="C48">
        <v>16450</v>
      </c>
      <c r="D48">
        <v>16450</v>
      </c>
      <c r="E48">
        <v>0</v>
      </c>
      <c r="F48">
        <v>0</v>
      </c>
      <c r="G48">
        <v>0</v>
      </c>
      <c r="H48">
        <v>16450</v>
      </c>
      <c r="I48">
        <v>16450</v>
      </c>
      <c r="J48">
        <v>16450</v>
      </c>
      <c r="K48">
        <v>32900</v>
      </c>
      <c r="L48">
        <v>32900</v>
      </c>
    </row>
    <row r="49" spans="1:27">
      <c r="P49" t="s">
        <v>124</v>
      </c>
      <c r="Q49">
        <v>9.4</v>
      </c>
      <c r="S49">
        <v>9.4</v>
      </c>
      <c r="U49">
        <v>9.4</v>
      </c>
      <c r="V49">
        <v>0</v>
      </c>
      <c r="W49">
        <v>4.7</v>
      </c>
      <c r="X49">
        <v>4.7</v>
      </c>
      <c r="Y49">
        <v>4.7</v>
      </c>
      <c r="Z49">
        <v>4.7</v>
      </c>
      <c r="AA49">
        <v>0</v>
      </c>
    </row>
    <row r="50" spans="1:27">
      <c r="A50" t="s">
        <v>115</v>
      </c>
      <c r="B50">
        <v>4.7</v>
      </c>
      <c r="C50">
        <v>4.7</v>
      </c>
      <c r="D50">
        <v>4.7</v>
      </c>
      <c r="E50">
        <v>4.7</v>
      </c>
      <c r="F50">
        <v>0</v>
      </c>
      <c r="G50">
        <v>4.7</v>
      </c>
      <c r="H50">
        <v>4.7</v>
      </c>
      <c r="I50">
        <v>4.7</v>
      </c>
      <c r="J50">
        <v>4.7</v>
      </c>
      <c r="K50">
        <v>4.7</v>
      </c>
      <c r="L50">
        <v>4.7</v>
      </c>
      <c r="P50" t="s">
        <v>309</v>
      </c>
      <c r="Q50">
        <v>517000</v>
      </c>
      <c r="R50">
        <v>0</v>
      </c>
      <c r="S50">
        <v>517000</v>
      </c>
      <c r="T50">
        <v>0</v>
      </c>
      <c r="U50">
        <v>517000</v>
      </c>
      <c r="V50">
        <v>0</v>
      </c>
      <c r="W50">
        <v>258500</v>
      </c>
      <c r="X50">
        <v>258500</v>
      </c>
      <c r="Y50">
        <v>258500</v>
      </c>
      <c r="Z50">
        <v>258500</v>
      </c>
      <c r="AA50">
        <v>0</v>
      </c>
    </row>
    <row r="51" spans="1:27">
      <c r="A51" t="s">
        <v>321</v>
      </c>
      <c r="B51">
        <v>258500</v>
      </c>
      <c r="C51">
        <v>258500</v>
      </c>
      <c r="D51">
        <v>258500</v>
      </c>
      <c r="E51">
        <v>258500</v>
      </c>
      <c r="F51">
        <v>0</v>
      </c>
      <c r="G51">
        <v>258500</v>
      </c>
      <c r="H51">
        <v>258500</v>
      </c>
      <c r="I51">
        <v>258500</v>
      </c>
      <c r="J51">
        <v>258500</v>
      </c>
      <c r="K51">
        <v>258500</v>
      </c>
      <c r="L51">
        <v>258500</v>
      </c>
      <c r="P51" t="s">
        <v>312</v>
      </c>
      <c r="Q51">
        <v>119380</v>
      </c>
      <c r="R51">
        <v>0</v>
      </c>
      <c r="S51">
        <v>119380</v>
      </c>
      <c r="T51">
        <v>0</v>
      </c>
      <c r="U51">
        <v>119380</v>
      </c>
      <c r="V51">
        <v>0</v>
      </c>
      <c r="W51">
        <v>59690</v>
      </c>
      <c r="X51">
        <v>59690</v>
      </c>
      <c r="Y51">
        <v>59690</v>
      </c>
      <c r="Z51">
        <v>59690</v>
      </c>
      <c r="AA51">
        <v>0</v>
      </c>
    </row>
    <row r="52" spans="1:27">
      <c r="A52" t="s">
        <v>315</v>
      </c>
      <c r="B52">
        <v>59690</v>
      </c>
      <c r="C52">
        <v>59690</v>
      </c>
      <c r="D52">
        <v>59690</v>
      </c>
      <c r="E52">
        <v>59690</v>
      </c>
      <c r="F52">
        <v>0</v>
      </c>
      <c r="G52">
        <v>59690</v>
      </c>
      <c r="H52">
        <v>59690</v>
      </c>
      <c r="I52">
        <v>59690</v>
      </c>
      <c r="J52">
        <v>59690</v>
      </c>
      <c r="K52">
        <v>59690</v>
      </c>
      <c r="L52">
        <v>59690</v>
      </c>
    </row>
    <row r="53" spans="1:27">
      <c r="A53" t="s">
        <v>318</v>
      </c>
      <c r="B53">
        <v>16450</v>
      </c>
      <c r="C53">
        <v>16450</v>
      </c>
      <c r="D53">
        <v>16450</v>
      </c>
      <c r="E53">
        <v>16450</v>
      </c>
      <c r="F53">
        <v>0</v>
      </c>
      <c r="G53">
        <v>16450</v>
      </c>
      <c r="H53">
        <v>16450</v>
      </c>
      <c r="I53">
        <v>16450</v>
      </c>
      <c r="J53">
        <v>16450</v>
      </c>
      <c r="K53">
        <v>16450</v>
      </c>
      <c r="L53">
        <v>16450</v>
      </c>
      <c r="P53" t="s">
        <v>130</v>
      </c>
      <c r="Q53">
        <v>0</v>
      </c>
      <c r="R53">
        <v>9.4</v>
      </c>
      <c r="S53">
        <v>0</v>
      </c>
      <c r="T53">
        <v>9.4</v>
      </c>
      <c r="U53">
        <v>0</v>
      </c>
      <c r="V53">
        <v>9.4</v>
      </c>
      <c r="W53">
        <v>0</v>
      </c>
      <c r="X53">
        <v>4.7</v>
      </c>
      <c r="Y53">
        <v>4.7</v>
      </c>
      <c r="Z53">
        <v>0</v>
      </c>
      <c r="AA53">
        <v>9.4</v>
      </c>
    </row>
    <row r="54" spans="1:27">
      <c r="P54" t="s">
        <v>309</v>
      </c>
      <c r="Q54">
        <v>0</v>
      </c>
      <c r="R54">
        <v>517000</v>
      </c>
      <c r="S54">
        <v>0</v>
      </c>
      <c r="T54">
        <v>517000</v>
      </c>
      <c r="U54">
        <v>0</v>
      </c>
      <c r="V54">
        <v>517000</v>
      </c>
      <c r="W54">
        <v>0</v>
      </c>
      <c r="X54">
        <v>258500</v>
      </c>
      <c r="Y54">
        <v>258500</v>
      </c>
      <c r="Z54">
        <v>0</v>
      </c>
      <c r="AA54">
        <v>517000</v>
      </c>
    </row>
    <row r="55" spans="1:27">
      <c r="A55" t="s">
        <v>124</v>
      </c>
      <c r="B55">
        <v>4.7</v>
      </c>
      <c r="C55">
        <v>4.7</v>
      </c>
      <c r="D55">
        <v>4.7</v>
      </c>
      <c r="E55">
        <v>4.7</v>
      </c>
      <c r="F55">
        <v>9.4</v>
      </c>
      <c r="G55">
        <v>4.7</v>
      </c>
      <c r="H55">
        <v>4.7</v>
      </c>
      <c r="I55">
        <v>4.7</v>
      </c>
      <c r="J55">
        <v>4.7</v>
      </c>
      <c r="K55">
        <v>0</v>
      </c>
      <c r="L55">
        <v>0</v>
      </c>
      <c r="P55" t="s">
        <v>312</v>
      </c>
      <c r="Q55">
        <v>0</v>
      </c>
      <c r="R55">
        <v>119380</v>
      </c>
      <c r="S55">
        <v>0</v>
      </c>
      <c r="T55">
        <v>119380</v>
      </c>
      <c r="U55">
        <v>0</v>
      </c>
      <c r="V55">
        <v>119380</v>
      </c>
      <c r="W55">
        <v>0</v>
      </c>
      <c r="X55">
        <v>59690</v>
      </c>
      <c r="Y55">
        <v>59690</v>
      </c>
      <c r="Z55">
        <v>0</v>
      </c>
      <c r="AA55">
        <v>119380</v>
      </c>
    </row>
    <row r="56" spans="1:27">
      <c r="A56" t="s">
        <v>321</v>
      </c>
      <c r="B56">
        <v>258500</v>
      </c>
      <c r="C56">
        <v>258500</v>
      </c>
      <c r="D56">
        <v>258500</v>
      </c>
      <c r="E56">
        <v>258500</v>
      </c>
      <c r="F56">
        <v>517000</v>
      </c>
      <c r="G56">
        <v>258500</v>
      </c>
      <c r="H56">
        <v>258500</v>
      </c>
      <c r="I56">
        <v>258500</v>
      </c>
      <c r="J56">
        <v>258500</v>
      </c>
      <c r="K56">
        <v>0</v>
      </c>
      <c r="L56">
        <v>0</v>
      </c>
    </row>
    <row r="57" spans="1:27">
      <c r="A57" t="s">
        <v>315</v>
      </c>
      <c r="B57">
        <v>59690</v>
      </c>
      <c r="C57">
        <v>59690</v>
      </c>
      <c r="D57">
        <v>59690</v>
      </c>
      <c r="E57">
        <v>59690</v>
      </c>
      <c r="F57">
        <v>119380</v>
      </c>
      <c r="G57">
        <v>59690</v>
      </c>
      <c r="H57">
        <v>59690</v>
      </c>
      <c r="I57">
        <v>59690</v>
      </c>
      <c r="J57">
        <v>59690</v>
      </c>
      <c r="K57">
        <v>0</v>
      </c>
      <c r="L57">
        <v>0</v>
      </c>
      <c r="P57" t="s">
        <v>138</v>
      </c>
      <c r="Q57">
        <v>4.7</v>
      </c>
      <c r="R57">
        <v>0</v>
      </c>
      <c r="S57">
        <v>4.7</v>
      </c>
      <c r="T57">
        <v>0</v>
      </c>
      <c r="U57">
        <v>4.7</v>
      </c>
      <c r="V57">
        <v>0</v>
      </c>
      <c r="W57">
        <v>4.7</v>
      </c>
      <c r="X57">
        <v>0</v>
      </c>
      <c r="Y57">
        <v>0</v>
      </c>
      <c r="Z57">
        <v>4.7</v>
      </c>
      <c r="AA57">
        <v>0</v>
      </c>
    </row>
    <row r="58" spans="1:27">
      <c r="A58" t="s">
        <v>318</v>
      </c>
      <c r="B58">
        <v>16450</v>
      </c>
      <c r="C58">
        <v>16450</v>
      </c>
      <c r="D58">
        <v>16450</v>
      </c>
      <c r="E58">
        <v>16450</v>
      </c>
      <c r="F58">
        <v>32900</v>
      </c>
      <c r="G58">
        <v>16450</v>
      </c>
      <c r="H58">
        <v>16450</v>
      </c>
      <c r="I58">
        <v>16450</v>
      </c>
      <c r="J58">
        <v>16450</v>
      </c>
      <c r="K58">
        <v>0</v>
      </c>
      <c r="L58">
        <v>0</v>
      </c>
      <c r="P58" t="s">
        <v>309</v>
      </c>
      <c r="Q58">
        <v>258500</v>
      </c>
      <c r="R58">
        <v>0</v>
      </c>
      <c r="S58">
        <v>258500</v>
      </c>
      <c r="T58">
        <v>0</v>
      </c>
      <c r="U58">
        <v>258500</v>
      </c>
      <c r="V58">
        <v>0</v>
      </c>
      <c r="W58">
        <v>258500</v>
      </c>
      <c r="X58">
        <v>0</v>
      </c>
      <c r="Y58">
        <v>0</v>
      </c>
      <c r="Z58">
        <v>258500</v>
      </c>
      <c r="AA58">
        <v>0</v>
      </c>
    </row>
    <row r="59" spans="1:27">
      <c r="P59" t="s">
        <v>312</v>
      </c>
      <c r="Q59">
        <v>59690</v>
      </c>
      <c r="R59">
        <v>0</v>
      </c>
      <c r="S59">
        <v>59690</v>
      </c>
      <c r="T59">
        <v>0</v>
      </c>
      <c r="U59">
        <v>59690</v>
      </c>
      <c r="V59">
        <v>0</v>
      </c>
      <c r="W59">
        <v>59690</v>
      </c>
      <c r="X59">
        <v>0</v>
      </c>
      <c r="Y59">
        <v>0</v>
      </c>
      <c r="Z59">
        <v>59690</v>
      </c>
      <c r="AA59">
        <v>0</v>
      </c>
    </row>
    <row r="60" spans="1:27">
      <c r="A60" t="s">
        <v>299</v>
      </c>
      <c r="B60">
        <v>0</v>
      </c>
      <c r="C60">
        <v>4.7</v>
      </c>
      <c r="D60">
        <v>4.7</v>
      </c>
      <c r="E60">
        <v>9.4</v>
      </c>
      <c r="F60">
        <v>9.4</v>
      </c>
      <c r="G60">
        <v>9.4</v>
      </c>
      <c r="H60">
        <v>4.7</v>
      </c>
      <c r="I60">
        <v>4.7</v>
      </c>
      <c r="J60">
        <v>0</v>
      </c>
      <c r="K60">
        <v>0</v>
      </c>
      <c r="L60">
        <v>0</v>
      </c>
    </row>
    <row r="61" spans="1:27">
      <c r="A61" t="s">
        <v>321</v>
      </c>
      <c r="B61">
        <v>0</v>
      </c>
      <c r="C61">
        <v>258500</v>
      </c>
      <c r="D61">
        <v>258500</v>
      </c>
      <c r="E61">
        <v>517000</v>
      </c>
      <c r="F61">
        <v>517000</v>
      </c>
      <c r="G61">
        <v>517000</v>
      </c>
      <c r="H61">
        <v>258500</v>
      </c>
      <c r="I61">
        <v>258500</v>
      </c>
      <c r="J61">
        <v>0</v>
      </c>
      <c r="K61">
        <v>0</v>
      </c>
      <c r="L61">
        <v>0</v>
      </c>
    </row>
    <row r="62" spans="1:27">
      <c r="A62" t="s">
        <v>315</v>
      </c>
      <c r="B62">
        <v>0</v>
      </c>
      <c r="C62">
        <v>59690</v>
      </c>
      <c r="D62">
        <v>59690</v>
      </c>
      <c r="E62">
        <v>119380</v>
      </c>
      <c r="F62">
        <v>119380</v>
      </c>
      <c r="G62">
        <v>119380</v>
      </c>
      <c r="H62">
        <v>59690</v>
      </c>
      <c r="I62">
        <v>59690</v>
      </c>
      <c r="J62">
        <v>0</v>
      </c>
      <c r="K62">
        <v>0</v>
      </c>
      <c r="L62">
        <v>0</v>
      </c>
    </row>
    <row r="63" spans="1:27">
      <c r="A63" t="s">
        <v>318</v>
      </c>
      <c r="B63">
        <v>0</v>
      </c>
      <c r="C63">
        <v>16450</v>
      </c>
      <c r="D63">
        <v>16450</v>
      </c>
      <c r="E63">
        <v>32900</v>
      </c>
      <c r="F63">
        <v>32900</v>
      </c>
      <c r="G63">
        <v>32900</v>
      </c>
      <c r="H63">
        <v>16450</v>
      </c>
      <c r="I63">
        <v>16450</v>
      </c>
      <c r="J63">
        <v>0</v>
      </c>
      <c r="K63">
        <v>0</v>
      </c>
      <c r="L63">
        <v>0</v>
      </c>
    </row>
    <row r="65" spans="1:27">
      <c r="A65" t="s">
        <v>138</v>
      </c>
      <c r="B65">
        <v>0</v>
      </c>
      <c r="C65">
        <v>0</v>
      </c>
      <c r="D65">
        <v>4.7</v>
      </c>
      <c r="E65">
        <v>4.7</v>
      </c>
      <c r="F65">
        <v>4.7</v>
      </c>
      <c r="G65">
        <v>4.7</v>
      </c>
      <c r="H65">
        <v>4.7</v>
      </c>
      <c r="I65">
        <v>0</v>
      </c>
      <c r="J65">
        <v>0</v>
      </c>
      <c r="K65">
        <v>0</v>
      </c>
      <c r="L65">
        <v>0</v>
      </c>
    </row>
    <row r="66" spans="1:27">
      <c r="A66" t="s">
        <v>321</v>
      </c>
      <c r="B66">
        <v>0</v>
      </c>
      <c r="C66">
        <v>0</v>
      </c>
      <c r="D66">
        <v>258500</v>
      </c>
      <c r="E66">
        <v>258500</v>
      </c>
      <c r="F66">
        <v>258500</v>
      </c>
      <c r="G66">
        <v>258500</v>
      </c>
      <c r="H66">
        <v>258500</v>
      </c>
      <c r="I66">
        <v>0</v>
      </c>
      <c r="J66">
        <v>0</v>
      </c>
      <c r="K66">
        <v>0</v>
      </c>
      <c r="L66">
        <v>0</v>
      </c>
    </row>
    <row r="67" spans="1:27">
      <c r="A67" t="s">
        <v>315</v>
      </c>
      <c r="B67">
        <v>0</v>
      </c>
      <c r="C67">
        <v>0</v>
      </c>
      <c r="D67">
        <v>59690</v>
      </c>
      <c r="E67">
        <v>59690</v>
      </c>
      <c r="F67">
        <v>59690</v>
      </c>
      <c r="G67">
        <v>59690</v>
      </c>
      <c r="H67">
        <v>59690</v>
      </c>
      <c r="I67">
        <v>0</v>
      </c>
      <c r="J67">
        <v>0</v>
      </c>
      <c r="K67">
        <v>0</v>
      </c>
      <c r="L67">
        <v>0</v>
      </c>
    </row>
    <row r="68" spans="1:27">
      <c r="A68" t="s">
        <v>318</v>
      </c>
      <c r="B68">
        <v>0</v>
      </c>
      <c r="C68">
        <v>0</v>
      </c>
      <c r="D68">
        <v>16450</v>
      </c>
      <c r="E68">
        <v>16450</v>
      </c>
      <c r="F68">
        <v>16450</v>
      </c>
      <c r="G68">
        <v>16450</v>
      </c>
      <c r="H68">
        <v>16450</v>
      </c>
      <c r="I68">
        <v>0</v>
      </c>
      <c r="J68">
        <v>0</v>
      </c>
      <c r="K68">
        <v>0</v>
      </c>
      <c r="L68">
        <v>0</v>
      </c>
    </row>
    <row r="73" spans="1:27">
      <c r="A73" t="s">
        <v>322</v>
      </c>
      <c r="B73" t="s">
        <v>323</v>
      </c>
      <c r="C73" t="s">
        <v>324</v>
      </c>
      <c r="D73" t="s">
        <v>325</v>
      </c>
      <c r="E73" t="s">
        <v>326</v>
      </c>
      <c r="F73" t="s">
        <v>327</v>
      </c>
      <c r="G73" t="s">
        <v>328</v>
      </c>
      <c r="J73" t="s">
        <v>329</v>
      </c>
      <c r="P73" t="s">
        <v>322</v>
      </c>
      <c r="Q73" t="s">
        <v>323</v>
      </c>
      <c r="R73" t="s">
        <v>324</v>
      </c>
      <c r="S73" t="s">
        <v>325</v>
      </c>
      <c r="T73" t="s">
        <v>326</v>
      </c>
      <c r="U73" t="s">
        <v>327</v>
      </c>
      <c r="V73" t="s">
        <v>328</v>
      </c>
      <c r="Y73" t="s">
        <v>329</v>
      </c>
    </row>
    <row r="74" spans="1:27">
      <c r="A74">
        <v>23.5</v>
      </c>
      <c r="B74">
        <v>2.136363636</v>
      </c>
      <c r="C74">
        <v>8.9015152E-2</v>
      </c>
      <c r="D74">
        <v>1292500</v>
      </c>
      <c r="E74">
        <v>117500</v>
      </c>
      <c r="F74">
        <v>4895.83</v>
      </c>
      <c r="G74">
        <v>298450</v>
      </c>
      <c r="H74">
        <v>27131.818179999998</v>
      </c>
      <c r="I74">
        <v>1130.492424</v>
      </c>
      <c r="J74">
        <v>82250</v>
      </c>
      <c r="K74">
        <v>7477.2727269999996</v>
      </c>
      <c r="L74">
        <v>311.55303029999999</v>
      </c>
      <c r="P74">
        <v>23.5</v>
      </c>
      <c r="Q74">
        <v>2.136363636</v>
      </c>
      <c r="R74">
        <v>8.9015152E-2</v>
      </c>
      <c r="S74">
        <v>1292500</v>
      </c>
      <c r="T74">
        <v>117500</v>
      </c>
      <c r="U74">
        <v>4895.83</v>
      </c>
      <c r="V74">
        <v>298450</v>
      </c>
      <c r="W74">
        <v>27131.818179999998</v>
      </c>
      <c r="X74">
        <v>1130.492424</v>
      </c>
      <c r="Y74">
        <v>82250</v>
      </c>
      <c r="Z74">
        <v>7477.2727269999996</v>
      </c>
      <c r="AA74">
        <v>311.55303029999999</v>
      </c>
    </row>
    <row r="75" spans="1:27">
      <c r="A75">
        <v>47</v>
      </c>
      <c r="B75">
        <v>4.2727272730000001</v>
      </c>
      <c r="C75">
        <v>0.178030303</v>
      </c>
      <c r="D75">
        <v>2585000</v>
      </c>
      <c r="E75">
        <v>235000</v>
      </c>
      <c r="F75">
        <v>9791.6666669999995</v>
      </c>
      <c r="G75">
        <v>596900</v>
      </c>
      <c r="H75">
        <v>54263.636359999997</v>
      </c>
      <c r="I75">
        <v>2260.9848480000001</v>
      </c>
      <c r="J75">
        <v>164500</v>
      </c>
      <c r="K75">
        <v>14954.54545</v>
      </c>
      <c r="L75">
        <v>623.10606059999998</v>
      </c>
      <c r="P75">
        <v>47</v>
      </c>
      <c r="Q75">
        <v>4.2727272730000001</v>
      </c>
      <c r="R75">
        <v>0.178030303</v>
      </c>
      <c r="S75">
        <v>2585000</v>
      </c>
      <c r="T75">
        <v>235000</v>
      </c>
      <c r="U75">
        <v>9791.6666669999995</v>
      </c>
      <c r="V75">
        <v>596900</v>
      </c>
      <c r="W75">
        <v>54263.636359999997</v>
      </c>
      <c r="X75">
        <v>2260.9848480000001</v>
      </c>
      <c r="Y75">
        <v>164500</v>
      </c>
      <c r="Z75">
        <v>14954.54545</v>
      </c>
      <c r="AA75">
        <v>623.10606059999998</v>
      </c>
    </row>
    <row r="76" spans="1:27">
      <c r="A76">
        <v>47</v>
      </c>
      <c r="B76">
        <v>4.2727272730000001</v>
      </c>
      <c r="C76">
        <v>0.178030303</v>
      </c>
      <c r="D76">
        <v>2585000</v>
      </c>
      <c r="E76">
        <v>235000</v>
      </c>
      <c r="F76">
        <v>9791.6666669999995</v>
      </c>
      <c r="G76">
        <v>596900</v>
      </c>
      <c r="H76">
        <v>54263.636359999997</v>
      </c>
      <c r="I76">
        <v>2260.9848480000001</v>
      </c>
      <c r="J76">
        <v>164500</v>
      </c>
      <c r="K76">
        <v>14954.54545</v>
      </c>
      <c r="L76">
        <v>623.10606059999998</v>
      </c>
      <c r="P76">
        <v>47</v>
      </c>
      <c r="Q76">
        <v>4.2727272730000001</v>
      </c>
      <c r="R76">
        <v>0.178030303</v>
      </c>
      <c r="S76">
        <v>2585000</v>
      </c>
      <c r="T76">
        <v>235000</v>
      </c>
      <c r="U76">
        <v>9791.6666669999995</v>
      </c>
      <c r="V76">
        <v>596900</v>
      </c>
      <c r="W76">
        <v>54263.636359999997</v>
      </c>
      <c r="X76">
        <v>2260.9848480000001</v>
      </c>
      <c r="Y76">
        <v>164500</v>
      </c>
      <c r="Z76">
        <v>14954.54545</v>
      </c>
      <c r="AA76">
        <v>623.10606059999998</v>
      </c>
    </row>
    <row r="77" spans="1:27">
      <c r="A77">
        <v>47</v>
      </c>
      <c r="B77">
        <v>4.2727272730000001</v>
      </c>
      <c r="C77">
        <v>0.178030303</v>
      </c>
      <c r="D77">
        <v>2585000</v>
      </c>
      <c r="E77">
        <v>235000</v>
      </c>
      <c r="F77">
        <v>9791.6666669999995</v>
      </c>
      <c r="G77">
        <v>596900</v>
      </c>
      <c r="H77">
        <v>54263.636359999997</v>
      </c>
      <c r="I77">
        <v>2260.9848480000001</v>
      </c>
      <c r="J77">
        <v>164500</v>
      </c>
      <c r="K77">
        <v>14954.54545</v>
      </c>
      <c r="L77">
        <v>623.10606059999998</v>
      </c>
      <c r="P77">
        <v>47</v>
      </c>
      <c r="Q77">
        <v>4.2727272730000001</v>
      </c>
      <c r="R77">
        <v>0.178030303</v>
      </c>
      <c r="S77">
        <v>2585000</v>
      </c>
      <c r="T77">
        <v>235000</v>
      </c>
      <c r="U77">
        <v>9791.6666669999995</v>
      </c>
      <c r="V77">
        <v>596900</v>
      </c>
      <c r="W77">
        <v>54263.636359999997</v>
      </c>
      <c r="X77">
        <v>2260.9848480000001</v>
      </c>
      <c r="Y77">
        <v>164500</v>
      </c>
      <c r="Z77">
        <v>14954.54545</v>
      </c>
      <c r="AA77">
        <v>623.10606059999998</v>
      </c>
    </row>
    <row r="78" spans="1:27">
      <c r="A78">
        <v>47</v>
      </c>
      <c r="B78">
        <v>4.2727272730000001</v>
      </c>
      <c r="C78">
        <v>0.178030303</v>
      </c>
      <c r="D78">
        <v>2585000</v>
      </c>
      <c r="E78">
        <v>235000</v>
      </c>
      <c r="F78">
        <v>9791.6666669999995</v>
      </c>
      <c r="G78">
        <v>596900</v>
      </c>
      <c r="H78">
        <v>54263.636359999997</v>
      </c>
      <c r="I78">
        <v>2260.9848480000001</v>
      </c>
      <c r="J78">
        <v>164500</v>
      </c>
      <c r="K78">
        <v>14954.54545</v>
      </c>
      <c r="L78">
        <v>623.10606059999998</v>
      </c>
      <c r="P78">
        <v>47</v>
      </c>
      <c r="Q78">
        <v>4.2727272730000001</v>
      </c>
      <c r="R78">
        <v>0.178030303</v>
      </c>
      <c r="S78">
        <v>2585000</v>
      </c>
      <c r="T78">
        <v>235000</v>
      </c>
      <c r="U78">
        <v>9791.6666669999995</v>
      </c>
      <c r="V78">
        <v>596900</v>
      </c>
      <c r="W78">
        <v>54263.636359999997</v>
      </c>
      <c r="X78">
        <v>2260.9848480000001</v>
      </c>
      <c r="Y78">
        <v>164500</v>
      </c>
      <c r="Z78">
        <v>14954.54545</v>
      </c>
      <c r="AA78">
        <v>623.10606059999998</v>
      </c>
    </row>
    <row r="79" spans="1:27">
      <c r="A79">
        <v>47</v>
      </c>
      <c r="B79">
        <v>4.2727272730000001</v>
      </c>
      <c r="C79">
        <v>0.178030303</v>
      </c>
      <c r="D79">
        <v>2585000</v>
      </c>
      <c r="E79">
        <v>235000</v>
      </c>
      <c r="F79">
        <v>9791.6666669999995</v>
      </c>
      <c r="G79">
        <v>596900</v>
      </c>
      <c r="H79">
        <v>54263.636359999997</v>
      </c>
      <c r="I79">
        <v>2260.9848480000001</v>
      </c>
      <c r="J79">
        <v>164500</v>
      </c>
      <c r="K79">
        <v>14954.54545</v>
      </c>
      <c r="L79">
        <v>623.10606059999998</v>
      </c>
      <c r="P79">
        <v>47</v>
      </c>
      <c r="Q79">
        <v>4.2727272730000001</v>
      </c>
      <c r="R79">
        <v>0.178030303</v>
      </c>
      <c r="S79">
        <v>2585000</v>
      </c>
      <c r="T79">
        <v>235000</v>
      </c>
      <c r="U79">
        <v>9791.6666669999995</v>
      </c>
      <c r="V79">
        <v>596900</v>
      </c>
      <c r="W79">
        <v>54263.636359999997</v>
      </c>
      <c r="X79">
        <v>2260.9848480000001</v>
      </c>
      <c r="Y79">
        <v>164500</v>
      </c>
      <c r="Z79">
        <v>14954.54545</v>
      </c>
      <c r="AA79">
        <v>623.10606059999998</v>
      </c>
    </row>
    <row r="80" spans="1:27">
      <c r="A80">
        <v>23.5</v>
      </c>
      <c r="B80">
        <v>2.136363636</v>
      </c>
      <c r="C80">
        <v>8.9015152E-2</v>
      </c>
      <c r="D80">
        <v>1292500</v>
      </c>
      <c r="E80">
        <v>117500</v>
      </c>
      <c r="F80">
        <v>4895.8333329999996</v>
      </c>
      <c r="G80">
        <v>298450</v>
      </c>
      <c r="H80">
        <v>27131.818179999998</v>
      </c>
      <c r="I80">
        <v>1130.492424</v>
      </c>
      <c r="J80">
        <v>82250</v>
      </c>
      <c r="K80">
        <v>7477.2727269999996</v>
      </c>
      <c r="L80">
        <v>311.55303029999999</v>
      </c>
      <c r="P80">
        <v>23.5</v>
      </c>
      <c r="Q80">
        <v>2.136363636</v>
      </c>
      <c r="R80">
        <v>8.9015152E-2</v>
      </c>
      <c r="S80">
        <v>1292500</v>
      </c>
      <c r="T80">
        <v>117500</v>
      </c>
      <c r="U80">
        <v>4895.8333329999996</v>
      </c>
      <c r="V80">
        <v>298450</v>
      </c>
      <c r="W80">
        <v>27131.818179999998</v>
      </c>
      <c r="X80">
        <v>1130.492424</v>
      </c>
      <c r="Y80">
        <v>82250</v>
      </c>
      <c r="Z80">
        <v>7477.2727269999996</v>
      </c>
      <c r="AA80">
        <v>311.55303029999999</v>
      </c>
    </row>
    <row r="81" spans="1:28">
      <c r="AB81">
        <v>15</v>
      </c>
    </row>
    <row r="82" spans="1:28">
      <c r="A82" t="s">
        <v>330</v>
      </c>
      <c r="B82">
        <v>55</v>
      </c>
      <c r="C82">
        <v>55</v>
      </c>
      <c r="D82">
        <v>55</v>
      </c>
      <c r="P82" t="s">
        <v>330</v>
      </c>
      <c r="Q82">
        <v>55</v>
      </c>
      <c r="R82">
        <v>55</v>
      </c>
      <c r="S82">
        <v>55</v>
      </c>
      <c r="AB82">
        <v>15</v>
      </c>
    </row>
    <row r="83" spans="1:28">
      <c r="A83" t="s">
        <v>328</v>
      </c>
      <c r="B83">
        <v>12.7</v>
      </c>
      <c r="C83">
        <v>12.7</v>
      </c>
      <c r="D83">
        <v>12.7</v>
      </c>
      <c r="P83" t="s">
        <v>328</v>
      </c>
      <c r="Q83">
        <v>12.7</v>
      </c>
      <c r="R83">
        <v>12.7</v>
      </c>
      <c r="S83">
        <v>12.7</v>
      </c>
      <c r="AB83">
        <v>21</v>
      </c>
    </row>
    <row r="84" spans="1:28">
      <c r="A84" t="s">
        <v>329</v>
      </c>
      <c r="B84">
        <v>3.5</v>
      </c>
      <c r="C84">
        <v>3.5</v>
      </c>
      <c r="D84">
        <v>3.5</v>
      </c>
      <c r="P84" t="s">
        <v>329</v>
      </c>
      <c r="Q84">
        <v>3.5</v>
      </c>
      <c r="R84">
        <v>3.5</v>
      </c>
      <c r="S84">
        <v>3.5</v>
      </c>
      <c r="AB84">
        <v>22</v>
      </c>
    </row>
    <row r="85" spans="1:28">
      <c r="AB85">
        <v>23</v>
      </c>
    </row>
    <row r="86" spans="1:28">
      <c r="B86" t="s">
        <v>288</v>
      </c>
      <c r="C86" t="s">
        <v>289</v>
      </c>
      <c r="D86" t="s">
        <v>290</v>
      </c>
      <c r="E86" t="s">
        <v>291</v>
      </c>
      <c r="F86" t="s">
        <v>292</v>
      </c>
      <c r="G86" t="s">
        <v>293</v>
      </c>
      <c r="H86" t="s">
        <v>294</v>
      </c>
      <c r="I86" t="s">
        <v>295</v>
      </c>
      <c r="J86" t="s">
        <v>296</v>
      </c>
      <c r="K86" t="s">
        <v>297</v>
      </c>
      <c r="L86" t="s">
        <v>298</v>
      </c>
      <c r="Q86" t="s">
        <v>288</v>
      </c>
      <c r="R86" t="s">
        <v>289</v>
      </c>
      <c r="S86" t="s">
        <v>290</v>
      </c>
      <c r="T86" t="s">
        <v>291</v>
      </c>
      <c r="U86" t="s">
        <v>292</v>
      </c>
      <c r="V86" t="s">
        <v>293</v>
      </c>
      <c r="W86" t="s">
        <v>294</v>
      </c>
      <c r="X86" t="s">
        <v>295</v>
      </c>
      <c r="Y86" t="s">
        <v>296</v>
      </c>
      <c r="Z86" t="s">
        <v>297</v>
      </c>
      <c r="AA86" t="s">
        <v>298</v>
      </c>
      <c r="AB86">
        <v>23</v>
      </c>
    </row>
    <row r="87" spans="1:28">
      <c r="A87">
        <v>5</v>
      </c>
      <c r="B87">
        <v>2.44</v>
      </c>
      <c r="C87">
        <v>4.58</v>
      </c>
      <c r="D87">
        <v>6.72</v>
      </c>
      <c r="E87">
        <v>8.86</v>
      </c>
      <c r="F87">
        <v>11</v>
      </c>
      <c r="G87">
        <v>13.14</v>
      </c>
      <c r="H87">
        <v>15.28</v>
      </c>
      <c r="I87">
        <v>12.72</v>
      </c>
      <c r="J87">
        <v>10.16</v>
      </c>
      <c r="K87">
        <v>7.6</v>
      </c>
      <c r="L87">
        <v>5.04</v>
      </c>
      <c r="P87">
        <v>3</v>
      </c>
      <c r="Q87">
        <v>0.44</v>
      </c>
      <c r="R87">
        <v>2.58</v>
      </c>
      <c r="S87">
        <v>4.72</v>
      </c>
      <c r="T87">
        <v>2.16</v>
      </c>
      <c r="U87">
        <v>4.3</v>
      </c>
      <c r="V87">
        <v>1.74</v>
      </c>
      <c r="W87">
        <v>3.88</v>
      </c>
      <c r="X87">
        <v>1.32</v>
      </c>
      <c r="Y87">
        <v>3.46</v>
      </c>
      <c r="Z87">
        <v>0.9</v>
      </c>
      <c r="AA87">
        <v>3.04</v>
      </c>
      <c r="AB87">
        <v>15</v>
      </c>
    </row>
    <row r="88" spans="1:28">
      <c r="A88">
        <v>6</v>
      </c>
      <c r="B88">
        <v>0.9</v>
      </c>
      <c r="C88">
        <v>0.5</v>
      </c>
      <c r="D88">
        <v>4.8</v>
      </c>
      <c r="E88">
        <v>9.1</v>
      </c>
      <c r="F88">
        <v>13.4</v>
      </c>
      <c r="G88">
        <v>17.7</v>
      </c>
      <c r="H88">
        <v>22</v>
      </c>
      <c r="I88">
        <v>21.6</v>
      </c>
      <c r="J88">
        <v>16.5</v>
      </c>
      <c r="K88">
        <v>11.4</v>
      </c>
      <c r="L88">
        <v>6.3</v>
      </c>
      <c r="P88">
        <v>1</v>
      </c>
      <c r="Q88">
        <v>0.6</v>
      </c>
      <c r="R88">
        <v>0.2</v>
      </c>
      <c r="S88">
        <v>4.5</v>
      </c>
      <c r="T88">
        <v>4.0999999999999996</v>
      </c>
      <c r="U88">
        <v>3.7</v>
      </c>
      <c r="V88">
        <v>3.3</v>
      </c>
      <c r="W88">
        <v>2.9</v>
      </c>
      <c r="X88">
        <v>2.5</v>
      </c>
      <c r="Y88">
        <v>2.1</v>
      </c>
      <c r="Z88">
        <v>1.7</v>
      </c>
      <c r="AA88">
        <v>1.3</v>
      </c>
    </row>
    <row r="89" spans="1:28">
      <c r="A89">
        <v>2</v>
      </c>
      <c r="B89">
        <v>1.6</v>
      </c>
      <c r="C89">
        <v>1.2</v>
      </c>
      <c r="D89">
        <v>0.8</v>
      </c>
      <c r="E89">
        <v>5.0999999999999996</v>
      </c>
      <c r="F89">
        <v>9.4</v>
      </c>
      <c r="G89">
        <v>13.7</v>
      </c>
      <c r="H89">
        <v>13.3</v>
      </c>
      <c r="I89">
        <v>12.9</v>
      </c>
      <c r="J89">
        <v>12.5</v>
      </c>
      <c r="K89">
        <v>7.4</v>
      </c>
      <c r="L89">
        <v>2.2999999999999998</v>
      </c>
      <c r="P89">
        <v>2</v>
      </c>
      <c r="Q89">
        <v>1.6</v>
      </c>
      <c r="R89">
        <v>5.9</v>
      </c>
      <c r="S89">
        <v>0.8</v>
      </c>
      <c r="T89">
        <v>5.0999999999999996</v>
      </c>
      <c r="U89">
        <v>4.7</v>
      </c>
      <c r="V89">
        <v>4.3</v>
      </c>
      <c r="W89">
        <v>3.9</v>
      </c>
      <c r="X89">
        <v>3.5</v>
      </c>
      <c r="Y89">
        <v>3.1</v>
      </c>
      <c r="Z89">
        <v>2.7</v>
      </c>
      <c r="AA89">
        <v>2.2999999999999998</v>
      </c>
    </row>
    <row r="90" spans="1:28">
      <c r="A90">
        <v>2</v>
      </c>
      <c r="B90">
        <v>1.6</v>
      </c>
      <c r="C90">
        <v>1.2</v>
      </c>
      <c r="D90">
        <v>0.8</v>
      </c>
      <c r="E90">
        <v>0.4</v>
      </c>
      <c r="F90">
        <v>4.7</v>
      </c>
      <c r="G90">
        <v>4.3</v>
      </c>
      <c r="H90">
        <v>3.9</v>
      </c>
      <c r="I90">
        <v>3.5</v>
      </c>
      <c r="J90">
        <v>3.1</v>
      </c>
      <c r="K90">
        <v>2.7</v>
      </c>
      <c r="L90">
        <v>2.2999999999999998</v>
      </c>
      <c r="P90">
        <v>2</v>
      </c>
      <c r="Q90">
        <v>6.3</v>
      </c>
      <c r="R90">
        <v>1.2</v>
      </c>
      <c r="S90">
        <v>5.5</v>
      </c>
      <c r="T90">
        <v>0.4</v>
      </c>
      <c r="U90">
        <v>4.7</v>
      </c>
      <c r="V90">
        <v>4.3</v>
      </c>
      <c r="W90">
        <v>3.9</v>
      </c>
      <c r="X90">
        <v>3.5</v>
      </c>
      <c r="Y90">
        <v>3.1</v>
      </c>
      <c r="Z90">
        <v>2.7</v>
      </c>
      <c r="AA90">
        <v>2.2999999999999998</v>
      </c>
    </row>
    <row r="91" spans="1:28">
      <c r="A91">
        <v>9</v>
      </c>
      <c r="B91">
        <v>8.6</v>
      </c>
      <c r="C91">
        <v>8.1999999999999993</v>
      </c>
      <c r="D91">
        <v>7.8</v>
      </c>
      <c r="E91">
        <v>7.4</v>
      </c>
      <c r="F91">
        <v>2.2999999999999998</v>
      </c>
      <c r="G91">
        <v>1.9</v>
      </c>
      <c r="H91">
        <v>1.5</v>
      </c>
      <c r="I91">
        <v>1.1000000000000001</v>
      </c>
      <c r="J91">
        <v>0.7</v>
      </c>
      <c r="K91">
        <v>5</v>
      </c>
      <c r="L91">
        <v>9.3000000000000007</v>
      </c>
      <c r="P91">
        <v>7</v>
      </c>
      <c r="Q91">
        <v>1.9</v>
      </c>
      <c r="R91">
        <v>6.2</v>
      </c>
      <c r="S91">
        <v>1.1000000000000001</v>
      </c>
      <c r="T91">
        <v>5.4</v>
      </c>
      <c r="U91">
        <v>0.3</v>
      </c>
      <c r="V91">
        <v>4.5999999999999996</v>
      </c>
      <c r="W91">
        <v>4.2</v>
      </c>
      <c r="X91">
        <v>3.8</v>
      </c>
      <c r="Y91">
        <v>3.4</v>
      </c>
      <c r="Z91">
        <v>3</v>
      </c>
      <c r="AA91">
        <v>7.3</v>
      </c>
    </row>
    <row r="92" spans="1:28">
      <c r="A92">
        <v>13</v>
      </c>
      <c r="B92">
        <v>17.3</v>
      </c>
      <c r="C92">
        <v>16.899999999999999</v>
      </c>
      <c r="D92">
        <v>16.5</v>
      </c>
      <c r="E92">
        <v>11.4</v>
      </c>
      <c r="F92">
        <v>6.3</v>
      </c>
      <c r="G92">
        <v>1.2</v>
      </c>
      <c r="H92">
        <v>0.8</v>
      </c>
      <c r="I92">
        <v>0.4</v>
      </c>
      <c r="J92">
        <v>4.7</v>
      </c>
      <c r="K92">
        <v>9</v>
      </c>
      <c r="L92">
        <v>13.3</v>
      </c>
      <c r="P92">
        <v>3</v>
      </c>
      <c r="Q92">
        <v>7.3</v>
      </c>
      <c r="R92">
        <v>2.2000000000000002</v>
      </c>
      <c r="S92">
        <v>6.5</v>
      </c>
      <c r="T92">
        <v>1.4</v>
      </c>
      <c r="U92">
        <v>5.7</v>
      </c>
      <c r="V92">
        <v>0.6</v>
      </c>
      <c r="W92">
        <v>4.9000000000000004</v>
      </c>
      <c r="X92">
        <v>4.5</v>
      </c>
      <c r="Y92">
        <v>4.0999999999999996</v>
      </c>
      <c r="Z92">
        <v>8.4</v>
      </c>
      <c r="AA92">
        <v>3.3</v>
      </c>
    </row>
    <row r="93" spans="1:28">
      <c r="A93">
        <v>9</v>
      </c>
      <c r="B93">
        <v>11.14</v>
      </c>
      <c r="C93">
        <v>13.28</v>
      </c>
      <c r="D93">
        <v>10.72</v>
      </c>
      <c r="E93">
        <v>8.16</v>
      </c>
      <c r="F93">
        <v>5.6</v>
      </c>
      <c r="G93">
        <v>3.04</v>
      </c>
      <c r="H93">
        <v>0.48</v>
      </c>
      <c r="I93">
        <v>2.62</v>
      </c>
      <c r="J93">
        <v>4.76</v>
      </c>
      <c r="K93">
        <v>6.9</v>
      </c>
      <c r="L93">
        <v>9.0399999999999991</v>
      </c>
      <c r="P93">
        <v>4</v>
      </c>
      <c r="Q93">
        <v>1.44</v>
      </c>
      <c r="R93">
        <v>3.58</v>
      </c>
      <c r="S93">
        <v>1.02</v>
      </c>
      <c r="T93">
        <v>3.16</v>
      </c>
      <c r="U93">
        <v>0.6</v>
      </c>
      <c r="V93">
        <v>2.74</v>
      </c>
      <c r="W93">
        <v>0.18</v>
      </c>
      <c r="X93">
        <v>2.3199999999999998</v>
      </c>
      <c r="Y93">
        <v>4.46</v>
      </c>
      <c r="Z93">
        <v>1.9</v>
      </c>
      <c r="AA93">
        <v>4.04</v>
      </c>
    </row>
    <row r="96" spans="1:28">
      <c r="N96" t="s">
        <v>331</v>
      </c>
      <c r="O96" t="s">
        <v>332</v>
      </c>
      <c r="P96" t="s">
        <v>333</v>
      </c>
      <c r="Q96" t="s">
        <v>334</v>
      </c>
    </row>
    <row r="97" spans="13:18">
      <c r="M97" t="s">
        <v>97</v>
      </c>
      <c r="N97">
        <v>26</v>
      </c>
      <c r="O97">
        <v>15</v>
      </c>
      <c r="P97">
        <v>10</v>
      </c>
      <c r="Q97">
        <v>10</v>
      </c>
    </row>
    <row r="98" spans="13:18">
      <c r="M98" t="s">
        <v>103</v>
      </c>
      <c r="N98">
        <v>37</v>
      </c>
      <c r="O98">
        <v>15</v>
      </c>
      <c r="P98">
        <v>15</v>
      </c>
      <c r="Q98">
        <v>15</v>
      </c>
    </row>
    <row r="99" spans="13:18">
      <c r="M99" t="s">
        <v>107</v>
      </c>
      <c r="N99">
        <v>29</v>
      </c>
      <c r="O99">
        <v>21</v>
      </c>
      <c r="P99">
        <v>15</v>
      </c>
      <c r="Q99">
        <v>15</v>
      </c>
    </row>
    <row r="100" spans="13:18">
      <c r="M100" t="s">
        <v>115</v>
      </c>
      <c r="N100">
        <v>20</v>
      </c>
      <c r="O100">
        <v>22</v>
      </c>
      <c r="P100">
        <v>15</v>
      </c>
      <c r="Q100">
        <v>15</v>
      </c>
    </row>
    <row r="101" spans="13:18">
      <c r="M101" t="s">
        <v>124</v>
      </c>
      <c r="N101">
        <v>24</v>
      </c>
      <c r="O101">
        <v>23</v>
      </c>
      <c r="P101">
        <v>15</v>
      </c>
      <c r="Q101">
        <v>15</v>
      </c>
    </row>
    <row r="102" spans="13:18">
      <c r="M102" t="s">
        <v>130</v>
      </c>
      <c r="N102">
        <v>32</v>
      </c>
      <c r="O102">
        <v>23</v>
      </c>
      <c r="P102">
        <v>15</v>
      </c>
      <c r="Q102">
        <v>15</v>
      </c>
    </row>
    <row r="103" spans="13:18">
      <c r="M103" t="s">
        <v>138</v>
      </c>
      <c r="N103">
        <v>29</v>
      </c>
      <c r="O103">
        <v>15</v>
      </c>
      <c r="P103">
        <v>10</v>
      </c>
      <c r="Q103">
        <v>10</v>
      </c>
    </row>
    <row r="105" spans="13:18">
      <c r="N105" t="s">
        <v>335</v>
      </c>
      <c r="O105" t="s">
        <v>336</v>
      </c>
      <c r="P105" t="s">
        <v>337</v>
      </c>
      <c r="Q105" t="s">
        <v>338</v>
      </c>
      <c r="R105" t="s">
        <v>339</v>
      </c>
    </row>
    <row r="106" spans="13:18">
      <c r="M106" t="s">
        <v>331</v>
      </c>
      <c r="N106" t="s">
        <v>340</v>
      </c>
      <c r="O106">
        <v>28.14285714</v>
      </c>
      <c r="P106" t="s">
        <v>341</v>
      </c>
      <c r="Q106" t="s">
        <v>342</v>
      </c>
      <c r="R106" t="s">
        <v>343</v>
      </c>
    </row>
    <row r="107" spans="13:18">
      <c r="M107" t="s">
        <v>332</v>
      </c>
      <c r="N107" t="s">
        <v>344</v>
      </c>
      <c r="O107">
        <v>19.14285714</v>
      </c>
      <c r="P107" t="s">
        <v>341</v>
      </c>
      <c r="Q107" t="s">
        <v>342</v>
      </c>
      <c r="R107" t="s">
        <v>343</v>
      </c>
    </row>
    <row r="108" spans="13:18">
      <c r="M108" t="s">
        <v>333</v>
      </c>
      <c r="N108" s="85">
        <v>42278</v>
      </c>
      <c r="O108">
        <v>13.57142857</v>
      </c>
      <c r="P108" t="s">
        <v>345</v>
      </c>
      <c r="Q108" t="s">
        <v>346</v>
      </c>
      <c r="R108" t="s">
        <v>347</v>
      </c>
    </row>
    <row r="109" spans="13:18">
      <c r="M109" t="s">
        <v>334</v>
      </c>
      <c r="N109" s="85">
        <v>42278</v>
      </c>
      <c r="O109">
        <v>13.57142857</v>
      </c>
      <c r="P109" t="s">
        <v>345</v>
      </c>
      <c r="Q109" t="s">
        <v>346</v>
      </c>
      <c r="R109" t="s">
        <v>347</v>
      </c>
    </row>
    <row r="111" spans="13:18">
      <c r="N111" t="s">
        <v>331</v>
      </c>
      <c r="O111" t="s">
        <v>332</v>
      </c>
      <c r="P111" t="s">
        <v>333</v>
      </c>
      <c r="Q111" t="s">
        <v>334</v>
      </c>
    </row>
    <row r="112" spans="13:18">
      <c r="M112" t="s">
        <v>97</v>
      </c>
      <c r="N112">
        <v>4896</v>
      </c>
      <c r="O112">
        <v>4896</v>
      </c>
      <c r="P112">
        <v>10771</v>
      </c>
      <c r="Q112">
        <v>10771</v>
      </c>
    </row>
    <row r="113" spans="1:17">
      <c r="M113" t="s">
        <v>103</v>
      </c>
      <c r="N113">
        <v>9792</v>
      </c>
      <c r="O113">
        <v>9792</v>
      </c>
      <c r="P113">
        <v>21542</v>
      </c>
      <c r="Q113">
        <v>10771</v>
      </c>
    </row>
    <row r="114" spans="1:17">
      <c r="M114" t="s">
        <v>107</v>
      </c>
      <c r="N114">
        <v>9792</v>
      </c>
      <c r="O114">
        <v>9792</v>
      </c>
      <c r="P114">
        <v>21542</v>
      </c>
      <c r="Q114">
        <v>21542</v>
      </c>
    </row>
    <row r="115" spans="1:17">
      <c r="M115" t="s">
        <v>115</v>
      </c>
      <c r="N115">
        <v>9792</v>
      </c>
      <c r="O115">
        <v>9792</v>
      </c>
      <c r="P115">
        <v>10771</v>
      </c>
      <c r="Q115">
        <v>21542</v>
      </c>
    </row>
    <row r="116" spans="1:17">
      <c r="M116" t="s">
        <v>124</v>
      </c>
      <c r="N116">
        <v>9792</v>
      </c>
      <c r="O116">
        <v>9792</v>
      </c>
      <c r="P116">
        <v>21542</v>
      </c>
      <c r="Q116">
        <v>21542</v>
      </c>
    </row>
    <row r="117" spans="1:17">
      <c r="M117" t="s">
        <v>130</v>
      </c>
      <c r="N117">
        <v>9792</v>
      </c>
      <c r="O117">
        <v>9792</v>
      </c>
      <c r="P117">
        <v>21542</v>
      </c>
      <c r="Q117">
        <v>21542</v>
      </c>
    </row>
    <row r="118" spans="1:17">
      <c r="M118" t="s">
        <v>138</v>
      </c>
      <c r="N118">
        <v>4896</v>
      </c>
      <c r="O118">
        <v>4896</v>
      </c>
      <c r="P118">
        <v>10771</v>
      </c>
      <c r="Q118">
        <v>10771</v>
      </c>
    </row>
    <row r="127" spans="1:17">
      <c r="A127" t="s">
        <v>97</v>
      </c>
      <c r="B127" t="s">
        <v>96</v>
      </c>
      <c r="C127" t="s">
        <v>99</v>
      </c>
      <c r="D127" t="s">
        <v>105</v>
      </c>
      <c r="E127" t="s">
        <v>109</v>
      </c>
      <c r="F127" t="s">
        <v>118</v>
      </c>
      <c r="G127" t="s">
        <v>126</v>
      </c>
      <c r="H127" t="s">
        <v>134</v>
      </c>
      <c r="I127" t="s">
        <v>139</v>
      </c>
      <c r="J127" t="s">
        <v>140</v>
      </c>
      <c r="K127" t="s">
        <v>142</v>
      </c>
      <c r="L127" t="s">
        <v>144</v>
      </c>
    </row>
    <row r="128" spans="1:17">
      <c r="A128" t="s">
        <v>348</v>
      </c>
      <c r="B128">
        <v>235000</v>
      </c>
      <c r="C128">
        <v>235000</v>
      </c>
      <c r="D128">
        <v>235000</v>
      </c>
      <c r="E128">
        <v>235000</v>
      </c>
      <c r="F128">
        <v>235000</v>
      </c>
      <c r="G128">
        <v>235000</v>
      </c>
      <c r="H128">
        <v>235000</v>
      </c>
      <c r="I128">
        <v>235000</v>
      </c>
      <c r="J128">
        <v>235000</v>
      </c>
      <c r="K128">
        <v>235000</v>
      </c>
      <c r="L128">
        <v>235000</v>
      </c>
    </row>
    <row r="129" spans="1:12">
      <c r="A129" t="s">
        <v>349</v>
      </c>
      <c r="B129">
        <v>235000</v>
      </c>
      <c r="C129">
        <v>235000</v>
      </c>
      <c r="D129">
        <v>235000</v>
      </c>
      <c r="E129">
        <v>235000</v>
      </c>
      <c r="F129">
        <v>235000</v>
      </c>
      <c r="G129">
        <v>235000</v>
      </c>
      <c r="H129">
        <v>235000</v>
      </c>
      <c r="I129">
        <v>235000</v>
      </c>
      <c r="J129">
        <v>235000</v>
      </c>
      <c r="K129">
        <v>235000</v>
      </c>
      <c r="L129">
        <v>235000</v>
      </c>
    </row>
    <row r="130" spans="1:12">
      <c r="A130" t="s">
        <v>350</v>
      </c>
      <c r="B130">
        <v>517000</v>
      </c>
      <c r="C130">
        <v>258500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258500</v>
      </c>
      <c r="J130">
        <v>517000</v>
      </c>
      <c r="K130">
        <v>517000</v>
      </c>
      <c r="L130">
        <v>517000</v>
      </c>
    </row>
    <row r="131" spans="1:12">
      <c r="A131" t="s">
        <v>351</v>
      </c>
      <c r="B131">
        <v>258500</v>
      </c>
      <c r="C131">
        <v>258500</v>
      </c>
      <c r="D131">
        <v>0</v>
      </c>
      <c r="E131">
        <v>258500</v>
      </c>
      <c r="F131">
        <v>258500</v>
      </c>
      <c r="G131">
        <v>258500</v>
      </c>
      <c r="H131">
        <v>258500</v>
      </c>
      <c r="I131">
        <v>258500</v>
      </c>
      <c r="J131">
        <v>258500</v>
      </c>
      <c r="K131">
        <v>258500</v>
      </c>
      <c r="L131">
        <v>258500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3EA4D-5213-427F-BFE8-5BFD18189428}">
  <dimension ref="A1:AK137"/>
  <sheetViews>
    <sheetView zoomScaleNormal="100" workbookViewId="0">
      <selection activeCell="F28" sqref="F28"/>
    </sheetView>
  </sheetViews>
  <sheetFormatPr baseColWidth="10" defaultColWidth="8.83203125" defaultRowHeight="15"/>
  <cols>
    <col min="1" max="1" width="7.5" customWidth="1"/>
    <col min="2" max="2" width="14" customWidth="1"/>
    <col min="3" max="3" width="10.1640625" customWidth="1"/>
    <col min="4" max="4" width="7.33203125" customWidth="1"/>
    <col min="5" max="5" width="9.1640625" customWidth="1"/>
    <col min="6" max="6" width="8.1640625" customWidth="1"/>
    <col min="7" max="7" width="7.33203125" customWidth="1"/>
    <col min="9" max="9" width="18.83203125" customWidth="1"/>
    <col min="12" max="12" width="43.83203125" customWidth="1"/>
    <col min="13" max="13" width="67.33203125" customWidth="1"/>
    <col min="14" max="14" width="65.33203125" customWidth="1"/>
    <col min="15" max="15" width="68" customWidth="1"/>
    <col min="16" max="16" width="40" customWidth="1"/>
    <col min="17" max="17" width="23.33203125" customWidth="1"/>
    <col min="20" max="20" width="48.5" customWidth="1"/>
    <col min="23" max="23" width="20.83203125" customWidth="1"/>
    <col min="24" max="24" width="27.1640625" customWidth="1"/>
    <col min="25" max="25" width="26.33203125" customWidth="1"/>
    <col min="26" max="26" width="25.33203125" customWidth="1"/>
    <col min="27" max="27" width="20.5" customWidth="1"/>
  </cols>
  <sheetData>
    <row r="1" spans="1:37">
      <c r="A1" s="108" t="s">
        <v>65</v>
      </c>
      <c r="B1" s="109"/>
      <c r="C1" s="109"/>
      <c r="D1" s="109"/>
      <c r="E1" s="109"/>
      <c r="F1" s="109"/>
      <c r="G1" s="109"/>
      <c r="H1" s="109"/>
      <c r="I1" s="109"/>
      <c r="J1" s="110"/>
      <c r="L1" s="101" t="s">
        <v>66</v>
      </c>
      <c r="M1" s="101"/>
      <c r="N1" s="101"/>
      <c r="O1" s="101"/>
      <c r="P1" s="101"/>
      <c r="Q1" s="101"/>
      <c r="W1" s="102" t="s">
        <v>8</v>
      </c>
      <c r="X1" s="102"/>
      <c r="Y1" s="102"/>
      <c r="Z1" s="102"/>
      <c r="AA1" s="102"/>
      <c r="AB1" s="102"/>
      <c r="AC1" s="102"/>
      <c r="AD1" s="102"/>
      <c r="AE1" s="102"/>
      <c r="AF1" s="102"/>
    </row>
    <row r="2" spans="1:37" ht="48">
      <c r="A2" s="87" t="s">
        <v>67</v>
      </c>
      <c r="B2" s="88" t="s">
        <v>68</v>
      </c>
      <c r="C2" s="88" t="s">
        <v>69</v>
      </c>
      <c r="D2" s="88" t="s">
        <v>70</v>
      </c>
      <c r="E2" s="88" t="s">
        <v>71</v>
      </c>
      <c r="F2" s="88" t="s">
        <v>72</v>
      </c>
      <c r="G2" s="88" t="s">
        <v>73</v>
      </c>
      <c r="H2" s="88" t="s">
        <v>364</v>
      </c>
      <c r="J2" s="89"/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T2" t="s">
        <v>270</v>
      </c>
      <c r="U2">
        <f>MIN(O5:O135)</f>
        <v>-2.4563746924773762</v>
      </c>
      <c r="W2" t="s">
        <v>81</v>
      </c>
      <c r="X2" t="s">
        <v>82</v>
      </c>
      <c r="Y2" t="s">
        <v>83</v>
      </c>
      <c r="Z2" t="s">
        <v>83</v>
      </c>
      <c r="AA2" t="s">
        <v>84</v>
      </c>
      <c r="AB2" t="s">
        <v>80</v>
      </c>
    </row>
    <row r="3" spans="1:37" ht="16">
      <c r="A3" s="87"/>
      <c r="B3" s="88"/>
      <c r="C3" s="88"/>
      <c r="D3" s="88"/>
      <c r="E3" s="88"/>
      <c r="F3" s="88" t="s">
        <v>85</v>
      </c>
      <c r="G3" s="88" t="s">
        <v>85</v>
      </c>
      <c r="H3" s="88" t="s">
        <v>85</v>
      </c>
      <c r="J3" s="89"/>
      <c r="L3" t="s">
        <v>86</v>
      </c>
      <c r="M3" t="s">
        <v>86</v>
      </c>
      <c r="N3" t="s">
        <v>272</v>
      </c>
      <c r="O3" t="s">
        <v>272</v>
      </c>
      <c r="P3" t="s">
        <v>272</v>
      </c>
      <c r="Q3" t="s">
        <v>272</v>
      </c>
      <c r="T3" t="s">
        <v>87</v>
      </c>
      <c r="U3">
        <f>-IGNORE!U2*'Data Kystruten'!B43*'Data Kystruten'!B17</f>
        <v>30.033752399480008</v>
      </c>
      <c r="W3" t="s">
        <v>271</v>
      </c>
      <c r="X3" t="s">
        <v>271</v>
      </c>
      <c r="Y3" t="s">
        <v>86</v>
      </c>
      <c r="Z3" t="s">
        <v>274</v>
      </c>
      <c r="AA3" t="s">
        <v>272</v>
      </c>
    </row>
    <row r="4" spans="1:37">
      <c r="A4" s="87"/>
      <c r="B4" s="88"/>
      <c r="C4" s="88"/>
      <c r="D4" s="88"/>
      <c r="E4" s="88"/>
      <c r="F4" s="88"/>
      <c r="G4" s="88"/>
      <c r="H4" s="88"/>
      <c r="J4" s="89"/>
      <c r="L4" t="s">
        <v>88</v>
      </c>
      <c r="M4" t="s">
        <v>89</v>
      </c>
      <c r="N4" t="s">
        <v>90</v>
      </c>
      <c r="O4" t="s">
        <v>91</v>
      </c>
      <c r="P4" t="s">
        <v>92</v>
      </c>
      <c r="T4" t="s">
        <v>93</v>
      </c>
      <c r="U4">
        <f>U3/'Data Kystruten'!B42</f>
        <v>91.490807299052747</v>
      </c>
      <c r="W4" t="s">
        <v>94</v>
      </c>
      <c r="X4" t="s">
        <v>95</v>
      </c>
    </row>
    <row r="5" spans="1:37">
      <c r="A5" s="35"/>
      <c r="B5" s="24"/>
      <c r="C5" s="24"/>
      <c r="D5" s="24"/>
      <c r="E5" s="24"/>
      <c r="F5" s="24"/>
      <c r="G5" s="24"/>
      <c r="H5" s="24"/>
      <c r="I5" s="29"/>
      <c r="J5" s="36"/>
      <c r="O5">
        <f>'Data Kystruten'!B5</f>
        <v>4.7</v>
      </c>
      <c r="T5" t="s">
        <v>273</v>
      </c>
      <c r="U5">
        <f>(U4*3.6)/'Data Kystruten'!B10</f>
        <v>6.6808703098699773</v>
      </c>
    </row>
    <row r="6" spans="1:37">
      <c r="A6" s="38" t="s">
        <v>96</v>
      </c>
      <c r="B6" s="39" t="s">
        <v>97</v>
      </c>
      <c r="C6" s="39" t="s">
        <v>98</v>
      </c>
      <c r="D6" s="41">
        <v>0.60416666666666663</v>
      </c>
      <c r="E6" s="41">
        <v>0.89583333333333337</v>
      </c>
      <c r="F6" s="42">
        <f>(E6-D6)*24</f>
        <v>7.0000000000000018</v>
      </c>
      <c r="G6" s="41"/>
      <c r="H6" s="42">
        <f>F6-('Data Kystruten'!$B$51*2)</f>
        <v>6.0000000000000018</v>
      </c>
      <c r="J6" s="43"/>
      <c r="K6" s="44"/>
      <c r="L6" s="45">
        <f>(F6+G6)*('Data Kystruten'!$B$3+'Data Kystruten'!$B$4)</f>
        <v>24.500000000000007</v>
      </c>
      <c r="M6" s="44">
        <f>L6/'Data Kystruten'!$B$43</f>
        <v>66.786151180075876</v>
      </c>
      <c r="N6" s="44">
        <f>M6/'Data Kystruten'!$B$17</f>
        <v>2.0037849138936656</v>
      </c>
      <c r="O6" s="44">
        <f>O5</f>
        <v>4.7</v>
      </c>
      <c r="P6" s="44">
        <f>O6+N6</f>
        <v>6.7037849138936654</v>
      </c>
      <c r="Q6" s="44">
        <f>O6</f>
        <v>4.7</v>
      </c>
      <c r="R6" s="44">
        <f>(Q6/$O$5)*100</f>
        <v>100</v>
      </c>
      <c r="S6" s="44"/>
      <c r="T6" s="44"/>
      <c r="U6" s="44"/>
      <c r="V6" s="44"/>
      <c r="W6" s="44"/>
      <c r="X6" s="44"/>
      <c r="Y6" s="44"/>
      <c r="Z6" s="44"/>
      <c r="AA6" s="44">
        <f>U5</f>
        <v>6.6808703098699773</v>
      </c>
      <c r="AB6" s="44">
        <f>(AA6/$U$5)*100</f>
        <v>100</v>
      </c>
      <c r="AC6" s="44"/>
      <c r="AD6" s="44"/>
      <c r="AE6" s="44"/>
      <c r="AF6" s="44"/>
      <c r="AG6" s="44"/>
      <c r="AH6" s="44"/>
      <c r="AI6" s="44"/>
      <c r="AJ6" s="44"/>
    </row>
    <row r="7" spans="1:37">
      <c r="A7" s="35"/>
      <c r="B7" s="24"/>
      <c r="C7" s="24"/>
      <c r="D7" s="31"/>
      <c r="E7" s="31"/>
      <c r="F7" s="32"/>
      <c r="G7" s="32">
        <v>6</v>
      </c>
      <c r="H7" s="90"/>
      <c r="J7" s="36"/>
      <c r="L7" s="23">
        <f>(F7+G7)*('Data Kystruten'!$B$3+'Data Kystruten'!$B$4)</f>
        <v>21</v>
      </c>
      <c r="M7">
        <f>L7/'Data Kystruten'!$B$43</f>
        <v>57.245272440065023</v>
      </c>
      <c r="N7">
        <f>M7/'Data Kystruten'!$B$17</f>
        <v>1.7175299261945702</v>
      </c>
      <c r="O7">
        <f>O6-N7</f>
        <v>2.9824700738054299</v>
      </c>
      <c r="Q7" s="44">
        <f t="shared" ref="Q7:Q68" si="0">O7</f>
        <v>2.9824700738054299</v>
      </c>
      <c r="R7" s="44">
        <f>(Q7/$O$5)*100</f>
        <v>63.456810080966598</v>
      </c>
      <c r="AA7">
        <f>AA6</f>
        <v>6.6808703098699773</v>
      </c>
      <c r="AB7" s="44">
        <f t="shared" ref="AB7:AB70" si="1">(AA7/$U$5)*100</f>
        <v>100</v>
      </c>
    </row>
    <row r="8" spans="1:37">
      <c r="A8" s="35" t="s">
        <v>99</v>
      </c>
      <c r="B8" s="24" t="s">
        <v>100</v>
      </c>
      <c r="C8" s="24"/>
      <c r="D8" s="31">
        <v>0.14583333333333334</v>
      </c>
      <c r="E8" s="31">
        <v>0.15277777777777776</v>
      </c>
      <c r="F8" s="32">
        <f t="shared" ref="F8:F72" si="2">(E8-D8)*24</f>
        <v>0.16666666666666607</v>
      </c>
      <c r="G8" s="32"/>
      <c r="H8" s="90">
        <v>0</v>
      </c>
      <c r="J8" s="36"/>
      <c r="L8" s="23">
        <f>(F8+G8)*('Data Kystruten'!$B$3+'Data Kystruten'!$B$4)</f>
        <v>0.58333333333333126</v>
      </c>
      <c r="M8">
        <f>L8/'Data Kystruten'!$B$43</f>
        <v>1.5901464566684673</v>
      </c>
      <c r="N8">
        <f>M8/'Data Kystruten'!$B$17</f>
        <v>4.7709164616515677E-2</v>
      </c>
      <c r="O8">
        <f t="shared" ref="O8:O13" si="3">O7-N8</f>
        <v>2.9347609091889142</v>
      </c>
      <c r="Q8" s="44">
        <f t="shared" si="0"/>
        <v>2.9347609091889142</v>
      </c>
      <c r="R8" s="44">
        <f t="shared" ref="R8:R71" si="4">(Q8/$O$5)*100</f>
        <v>62.441721472104547</v>
      </c>
      <c r="AA8">
        <f t="shared" ref="AA8:AA18" si="5">AA7</f>
        <v>6.6808703098699773</v>
      </c>
      <c r="AB8" s="44">
        <f t="shared" si="1"/>
        <v>100</v>
      </c>
    </row>
    <row r="9" spans="1:37">
      <c r="A9" s="35"/>
      <c r="B9" s="24"/>
      <c r="C9" s="24"/>
      <c r="D9" s="31"/>
      <c r="E9" s="31"/>
      <c r="F9" s="32"/>
      <c r="G9" s="32">
        <f t="shared" ref="G9:G71" si="6">(D10-E8)*24</f>
        <v>2.0000000000000009</v>
      </c>
      <c r="H9" s="90"/>
      <c r="J9" s="36"/>
      <c r="L9" s="23">
        <f>(F9+G9)*('Data Kystruten'!$B$3+'Data Kystruten'!$B$4)</f>
        <v>7.0000000000000036</v>
      </c>
      <c r="M9">
        <f>L9/'Data Kystruten'!$B$43</f>
        <v>19.081757480021686</v>
      </c>
      <c r="N9">
        <f>M9/'Data Kystruten'!$B$17</f>
        <v>0.57250997539819048</v>
      </c>
      <c r="O9">
        <f t="shared" si="3"/>
        <v>2.3622509337907238</v>
      </c>
      <c r="Q9" s="44">
        <f t="shared" si="0"/>
        <v>2.3622509337907238</v>
      </c>
      <c r="R9" s="44">
        <f t="shared" si="4"/>
        <v>50.260658165760077</v>
      </c>
      <c r="AA9">
        <f t="shared" si="5"/>
        <v>6.6808703098699773</v>
      </c>
      <c r="AB9" s="44">
        <f t="shared" si="1"/>
        <v>100</v>
      </c>
    </row>
    <row r="10" spans="1:37">
      <c r="A10" s="35"/>
      <c r="B10" s="24" t="s">
        <v>101</v>
      </c>
      <c r="C10" s="24"/>
      <c r="D10" s="31">
        <v>0.23611111111111113</v>
      </c>
      <c r="E10" s="31">
        <v>0.24305555555555555</v>
      </c>
      <c r="F10" s="32">
        <f t="shared" si="2"/>
        <v>0.16666666666666607</v>
      </c>
      <c r="G10" s="32"/>
      <c r="H10" s="90">
        <v>0</v>
      </c>
      <c r="J10" s="36"/>
      <c r="L10" s="23">
        <f>(F10+G10)*('Data Kystruten'!$B$3+'Data Kystruten'!$B$4)</f>
        <v>0.58333333333333126</v>
      </c>
      <c r="M10">
        <f>L10/'Data Kystruten'!$B$43</f>
        <v>1.5901464566684673</v>
      </c>
      <c r="N10">
        <f>M10/'Data Kystruten'!$B$17</f>
        <v>4.7709164616515677E-2</v>
      </c>
      <c r="O10">
        <f t="shared" si="3"/>
        <v>2.3145417691742081</v>
      </c>
      <c r="Q10" s="44">
        <f t="shared" si="0"/>
        <v>2.3145417691742081</v>
      </c>
      <c r="R10" s="44">
        <f t="shared" si="4"/>
        <v>49.245569556898047</v>
      </c>
      <c r="AA10">
        <f t="shared" si="5"/>
        <v>6.6808703098699773</v>
      </c>
      <c r="AB10" s="44">
        <f t="shared" si="1"/>
        <v>100</v>
      </c>
    </row>
    <row r="11" spans="1:37">
      <c r="A11" s="35"/>
      <c r="B11" s="24"/>
      <c r="C11" s="24"/>
      <c r="D11" s="31"/>
      <c r="E11" s="31"/>
      <c r="F11" s="32"/>
      <c r="G11" s="32">
        <f t="shared" si="6"/>
        <v>2.666666666666667</v>
      </c>
      <c r="H11" s="90"/>
      <c r="J11" s="36"/>
      <c r="L11" s="23">
        <f>(F11+G11)*('Data Kystruten'!$B$3+'Data Kystruten'!$B$4)</f>
        <v>9.3333333333333339</v>
      </c>
      <c r="M11">
        <f>L11/'Data Kystruten'!$B$43</f>
        <v>25.44234330669557</v>
      </c>
      <c r="N11">
        <f>M11/'Data Kystruten'!$B$17</f>
        <v>0.7633466338642535</v>
      </c>
      <c r="O11">
        <f t="shared" si="3"/>
        <v>1.5511951353099547</v>
      </c>
      <c r="Q11" s="44">
        <f t="shared" si="0"/>
        <v>1.5511951353099547</v>
      </c>
      <c r="R11" s="44">
        <f t="shared" si="4"/>
        <v>33.004151815105416</v>
      </c>
      <c r="AA11">
        <f t="shared" si="5"/>
        <v>6.6808703098699773</v>
      </c>
      <c r="AB11" s="44">
        <f t="shared" si="1"/>
        <v>100</v>
      </c>
    </row>
    <row r="12" spans="1:37">
      <c r="A12" s="35"/>
      <c r="B12" s="24" t="s">
        <v>102</v>
      </c>
      <c r="C12" s="24"/>
      <c r="D12" s="31">
        <v>0.35416666666666669</v>
      </c>
      <c r="E12" s="31">
        <v>0.3611111111111111</v>
      </c>
      <c r="F12" s="32">
        <f t="shared" si="2"/>
        <v>0.16666666666666607</v>
      </c>
      <c r="G12" s="32"/>
      <c r="H12" s="90">
        <v>0</v>
      </c>
      <c r="J12" s="36"/>
      <c r="L12" s="23">
        <f>(F12+G12)*('Data Kystruten'!$B$3+'Data Kystruten'!$B$4)</f>
        <v>0.58333333333333126</v>
      </c>
      <c r="M12">
        <f>L12/'Data Kystruten'!$B$43</f>
        <v>1.5901464566684673</v>
      </c>
      <c r="N12">
        <f>M12/'Data Kystruten'!$B$17</f>
        <v>4.7709164616515677E-2</v>
      </c>
      <c r="O12">
        <f t="shared" si="3"/>
        <v>1.5034859706934389</v>
      </c>
      <c r="Q12" s="44">
        <f t="shared" si="0"/>
        <v>1.5034859706934389</v>
      </c>
      <c r="R12" s="44">
        <f t="shared" si="4"/>
        <v>31.98906320624338</v>
      </c>
      <c r="AA12">
        <f t="shared" si="5"/>
        <v>6.6808703098699773</v>
      </c>
      <c r="AB12" s="44">
        <f t="shared" si="1"/>
        <v>100</v>
      </c>
    </row>
    <row r="13" spans="1:37">
      <c r="A13" s="35"/>
      <c r="B13" s="24"/>
      <c r="C13" s="24"/>
      <c r="D13" s="31"/>
      <c r="E13" s="31"/>
      <c r="F13" s="32"/>
      <c r="G13" s="32">
        <f t="shared" si="6"/>
        <v>1.0833333333333335</v>
      </c>
      <c r="H13" s="90"/>
      <c r="I13" s="24"/>
      <c r="J13" s="36"/>
      <c r="L13" s="23">
        <f>(F13+G13)*('Data Kystruten'!$B$3+'Data Kystruten'!$B$4)</f>
        <v>3.791666666666667</v>
      </c>
      <c r="M13">
        <f>L13/'Data Kystruten'!$B$43</f>
        <v>10.335951968345075</v>
      </c>
      <c r="N13">
        <f>M13/'Data Kystruten'!$B$17</f>
        <v>0.31010957000735301</v>
      </c>
      <c r="O13">
        <f t="shared" si="3"/>
        <v>1.1933764006860859</v>
      </c>
      <c r="Q13" s="44">
        <f t="shared" si="0"/>
        <v>1.1933764006860859</v>
      </c>
      <c r="R13" s="44">
        <f t="shared" si="4"/>
        <v>25.390987248640123</v>
      </c>
      <c r="AA13">
        <f t="shared" si="5"/>
        <v>6.6808703098699773</v>
      </c>
      <c r="AB13" s="44">
        <f t="shared" si="1"/>
        <v>100</v>
      </c>
    </row>
    <row r="14" spans="1:37">
      <c r="A14" s="38"/>
      <c r="B14" s="39" t="s">
        <v>103</v>
      </c>
      <c r="C14" s="39" t="s">
        <v>98</v>
      </c>
      <c r="D14" s="41">
        <v>0.40625</v>
      </c>
      <c r="E14" s="41">
        <v>0.5625</v>
      </c>
      <c r="F14" s="42">
        <f t="shared" si="2"/>
        <v>3.75</v>
      </c>
      <c r="G14" s="42"/>
      <c r="H14" s="42">
        <f>F14-('Data Kystruten'!$B$51*2)</f>
        <v>2.75</v>
      </c>
      <c r="J14" s="43"/>
      <c r="K14" s="44"/>
      <c r="L14" s="45">
        <f>(F14+G14)*('Data Kystruten'!$B$3+'Data Kystruten'!$B$4)</f>
        <v>13.125</v>
      </c>
      <c r="M14" s="44">
        <f>L14/'Data Kystruten'!$B$43</f>
        <v>35.778295275040641</v>
      </c>
      <c r="N14" s="44">
        <f>M14/'Data Kystruten'!$B$17</f>
        <v>1.0734562038716065</v>
      </c>
      <c r="O14" s="44">
        <f>O5</f>
        <v>4.7</v>
      </c>
      <c r="P14" s="44">
        <f>O14+N14-O13</f>
        <v>4.5800798031855212</v>
      </c>
      <c r="Q14" s="44">
        <f t="shared" si="0"/>
        <v>4.7</v>
      </c>
      <c r="R14" s="44">
        <f t="shared" si="4"/>
        <v>100</v>
      </c>
      <c r="S14" s="44"/>
      <c r="T14" s="44"/>
      <c r="U14" s="44"/>
      <c r="V14" s="44"/>
      <c r="W14" s="44"/>
      <c r="X14" s="44"/>
      <c r="Y14" s="44"/>
      <c r="Z14" s="44"/>
      <c r="AA14" s="44">
        <f t="shared" si="5"/>
        <v>6.6808703098699773</v>
      </c>
      <c r="AB14" s="44">
        <f t="shared" si="1"/>
        <v>100</v>
      </c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>
      <c r="A15" s="35"/>
      <c r="B15" s="24"/>
      <c r="C15" s="24"/>
      <c r="D15" s="31"/>
      <c r="E15" s="31"/>
      <c r="F15" s="32"/>
      <c r="G15" s="32">
        <f t="shared" si="6"/>
        <v>2.7500000000000009</v>
      </c>
      <c r="H15" s="90"/>
      <c r="J15" s="36"/>
      <c r="L15" s="23">
        <f>(F15+G15)*('Data Kystruten'!$B$3+'Data Kystruten'!$B$4)</f>
        <v>9.6250000000000036</v>
      </c>
      <c r="M15">
        <f>L15/'Data Kystruten'!$B$43</f>
        <v>26.237416535029812</v>
      </c>
      <c r="N15">
        <f>M15/'Data Kystruten'!$B$17</f>
        <v>0.78720121617251171</v>
      </c>
      <c r="O15">
        <f>O14-N15</f>
        <v>3.9127987838274887</v>
      </c>
      <c r="Q15" s="44">
        <f t="shared" si="0"/>
        <v>3.9127987838274887</v>
      </c>
      <c r="R15" s="44">
        <f t="shared" si="4"/>
        <v>83.251037953776347</v>
      </c>
      <c r="AA15">
        <f t="shared" si="5"/>
        <v>6.6808703098699773</v>
      </c>
      <c r="AB15" s="44">
        <f t="shared" si="1"/>
        <v>100</v>
      </c>
    </row>
    <row r="16" spans="1:37">
      <c r="A16" s="35"/>
      <c r="B16" s="24" t="s">
        <v>104</v>
      </c>
      <c r="C16" s="24"/>
      <c r="D16" s="31">
        <v>0.67708333333333337</v>
      </c>
      <c r="E16" s="31">
        <v>0.79166666666666663</v>
      </c>
      <c r="F16" s="32">
        <f t="shared" si="2"/>
        <v>2.7499999999999982</v>
      </c>
      <c r="G16" s="32"/>
      <c r="H16" s="90">
        <f>F16-('Data Kystruten'!$B$51*2)</f>
        <v>1.7499999999999982</v>
      </c>
      <c r="J16" s="36"/>
      <c r="L16" s="23">
        <f>(F16+G16)*('Data Kystruten'!$B$3+'Data Kystruten'!$B$4)</f>
        <v>9.6249999999999929</v>
      </c>
      <c r="M16">
        <f>L16/'Data Kystruten'!$B$43</f>
        <v>26.237416535029784</v>
      </c>
      <c r="N16">
        <f>M16/'Data Kystruten'!$B$17</f>
        <v>0.78720121617251082</v>
      </c>
      <c r="O16">
        <f t="shared" ref="O16:O18" si="7">O15-N16</f>
        <v>3.1255975676549781</v>
      </c>
      <c r="Q16" s="44">
        <f t="shared" si="0"/>
        <v>3.1255975676549781</v>
      </c>
      <c r="R16" s="44">
        <f t="shared" si="4"/>
        <v>66.502075907552722</v>
      </c>
      <c r="AA16">
        <f t="shared" si="5"/>
        <v>6.6808703098699773</v>
      </c>
      <c r="AB16" s="44">
        <f t="shared" si="1"/>
        <v>100</v>
      </c>
    </row>
    <row r="17" spans="1:35">
      <c r="A17" s="35"/>
      <c r="B17" s="24"/>
      <c r="C17" s="24"/>
      <c r="D17" s="31"/>
      <c r="E17" s="31"/>
      <c r="F17" s="32"/>
      <c r="G17" s="32">
        <f t="shared" si="6"/>
        <v>3.5000000000000009</v>
      </c>
      <c r="H17" s="90"/>
      <c r="J17" s="36"/>
      <c r="L17" s="23">
        <f>(F17+G17)*('Data Kystruten'!$B$3+'Data Kystruten'!$B$4)</f>
        <v>12.250000000000004</v>
      </c>
      <c r="M17">
        <f>L17/'Data Kystruten'!$B$43</f>
        <v>33.393075590037938</v>
      </c>
      <c r="N17">
        <f>M17/'Data Kystruten'!$B$17</f>
        <v>1.0018924569468328</v>
      </c>
      <c r="O17">
        <f t="shared" si="7"/>
        <v>2.123705110708145</v>
      </c>
      <c r="Q17" s="44">
        <f t="shared" si="0"/>
        <v>2.123705110708145</v>
      </c>
      <c r="R17" s="44">
        <f t="shared" si="4"/>
        <v>45.185215121449893</v>
      </c>
      <c r="AA17">
        <f t="shared" si="5"/>
        <v>6.6808703098699773</v>
      </c>
      <c r="AB17" s="44">
        <f t="shared" si="1"/>
        <v>100</v>
      </c>
    </row>
    <row r="18" spans="1:35">
      <c r="A18" s="35" t="s">
        <v>105</v>
      </c>
      <c r="B18" s="24" t="s">
        <v>106</v>
      </c>
      <c r="C18" s="24"/>
      <c r="D18" s="31">
        <v>0.9375</v>
      </c>
      <c r="E18" s="31">
        <v>6.25E-2</v>
      </c>
      <c r="F18" s="32">
        <v>3</v>
      </c>
      <c r="G18" s="32"/>
      <c r="H18" s="90">
        <f>F18-('Data Kystruten'!$B$51*2)</f>
        <v>2</v>
      </c>
      <c r="J18" s="36"/>
      <c r="L18" s="23">
        <f>(F18+G18)*('Data Kystruten'!$B$3+'Data Kystruten'!$B$4)</f>
        <v>10.5</v>
      </c>
      <c r="M18">
        <f>L18/'Data Kystruten'!$B$43</f>
        <v>28.622636220032511</v>
      </c>
      <c r="N18">
        <f>M18/'Data Kystruten'!$B$17</f>
        <v>0.85876496309728512</v>
      </c>
      <c r="O18">
        <f t="shared" si="7"/>
        <v>1.2649401476108599</v>
      </c>
      <c r="Q18" s="44">
        <f t="shared" si="0"/>
        <v>1.2649401476108599</v>
      </c>
      <c r="R18" s="44">
        <f t="shared" si="4"/>
        <v>26.913620161933189</v>
      </c>
      <c r="AA18">
        <f t="shared" si="5"/>
        <v>6.6808703098699773</v>
      </c>
      <c r="AB18" s="44">
        <f t="shared" si="1"/>
        <v>100</v>
      </c>
    </row>
    <row r="19" spans="1:35">
      <c r="A19" s="35"/>
      <c r="B19" s="24"/>
      <c r="C19" s="24"/>
      <c r="D19" s="31"/>
      <c r="E19" s="31"/>
      <c r="F19" s="32"/>
      <c r="G19" s="32">
        <f t="shared" si="6"/>
        <v>8.5</v>
      </c>
      <c r="H19" s="90"/>
      <c r="J19" s="36"/>
      <c r="L19" s="23">
        <f>(F19+G19)*('Data Kystruten'!$B$3+'Data Kystruten'!$B$4)</f>
        <v>29.75</v>
      </c>
      <c r="M19">
        <f>L19/'Data Kystruten'!$B$43</f>
        <v>81.097469290092121</v>
      </c>
      <c r="N19">
        <f>M19/'Data Kystruten'!$B$17</f>
        <v>2.4331673954423079</v>
      </c>
      <c r="O19">
        <f>O18-N19</f>
        <v>-1.1682272478314479</v>
      </c>
      <c r="Q19" s="44">
        <v>0</v>
      </c>
      <c r="R19" s="44">
        <f t="shared" si="4"/>
        <v>0</v>
      </c>
      <c r="W19">
        <f t="shared" ref="W19:W71" si="8">-O19</f>
        <v>1.1682272478314479</v>
      </c>
      <c r="X19">
        <f>W19</f>
        <v>1.1682272478314479</v>
      </c>
      <c r="Y19">
        <f>(X19*'Data Kystruten'!$B$43*'Data Kystruten'!$B$17)/'Data Kystruten'!$B$42</f>
        <v>43.512113335223248</v>
      </c>
      <c r="Z19">
        <f>(Y19*3.6)/'Data Kystruten'!$B$10</f>
        <v>3.1773551319838482</v>
      </c>
      <c r="AA19">
        <f>AA18-Z19</f>
        <v>3.5035151778861291</v>
      </c>
      <c r="AB19" s="44">
        <f t="shared" si="1"/>
        <v>52.440999680987886</v>
      </c>
    </row>
    <row r="20" spans="1:35">
      <c r="A20" s="38"/>
      <c r="B20" s="39" t="s">
        <v>107</v>
      </c>
      <c r="C20" s="39" t="s">
        <v>98</v>
      </c>
      <c r="D20" s="41">
        <v>0.41666666666666669</v>
      </c>
      <c r="E20" s="41">
        <v>0.55208333333333337</v>
      </c>
      <c r="F20" s="42">
        <f t="shared" si="2"/>
        <v>3.2500000000000004</v>
      </c>
      <c r="G20" s="42"/>
      <c r="H20" s="42">
        <f>F20-('Data Kystruten'!$B$51*2)</f>
        <v>2.2500000000000004</v>
      </c>
      <c r="J20" s="43"/>
      <c r="K20" s="44"/>
      <c r="L20" s="45">
        <f>(F20+G20)*('Data Kystruten'!$B$3+'Data Kystruten'!$B$4)</f>
        <v>11.375000000000002</v>
      </c>
      <c r="M20" s="44">
        <f>L20/'Data Kystruten'!$B$43</f>
        <v>31.007855905035228</v>
      </c>
      <c r="N20" s="44">
        <f>M20/'Data Kystruten'!$B$17</f>
        <v>0.93032871002205908</v>
      </c>
      <c r="O20" s="44">
        <f>O5</f>
        <v>4.7</v>
      </c>
      <c r="P20" s="44">
        <f>O20+N20</f>
        <v>5.6303287100220594</v>
      </c>
      <c r="Q20" s="44">
        <f t="shared" si="0"/>
        <v>4.7</v>
      </c>
      <c r="R20" s="44">
        <f t="shared" si="4"/>
        <v>100</v>
      </c>
      <c r="S20" s="44"/>
      <c r="T20" s="44"/>
      <c r="U20" s="44"/>
      <c r="V20" s="44"/>
      <c r="W20" s="44"/>
      <c r="X20" s="44"/>
      <c r="Y20" s="44">
        <f>(X20*'Data Kystruten'!$B$43*'Data Kystruten'!$B$17)/'Data Kystruten'!$B$42</f>
        <v>0</v>
      </c>
      <c r="Z20" s="44">
        <f>(Y20*3.6)/'Data Kystruten'!$B$10</f>
        <v>0</v>
      </c>
      <c r="AA20" s="44">
        <f>AA6-Z20</f>
        <v>6.6808703098699773</v>
      </c>
      <c r="AB20" s="44">
        <f t="shared" si="1"/>
        <v>100</v>
      </c>
      <c r="AC20" s="44"/>
      <c r="AD20" s="44"/>
      <c r="AE20" s="44"/>
      <c r="AF20" s="44"/>
      <c r="AG20" s="44"/>
      <c r="AH20" s="44"/>
      <c r="AI20" s="44"/>
    </row>
    <row r="21" spans="1:35">
      <c r="A21" s="35"/>
      <c r="B21" s="24"/>
      <c r="C21" s="24"/>
      <c r="D21" s="31"/>
      <c r="E21" s="31"/>
      <c r="F21" s="32"/>
      <c r="G21" s="32">
        <f t="shared" si="6"/>
        <v>9</v>
      </c>
      <c r="H21" s="90"/>
      <c r="J21" s="36"/>
      <c r="L21" s="23">
        <f>(F21+G21)*('Data Kystruten'!$B$3+'Data Kystruten'!$B$4)</f>
        <v>31.5</v>
      </c>
      <c r="M21">
        <f>L21/'Data Kystruten'!$B$43</f>
        <v>85.867908660097541</v>
      </c>
      <c r="N21">
        <f>M21/'Data Kystruten'!$B$17</f>
        <v>2.5762948892918556</v>
      </c>
      <c r="O21">
        <f>O20-N21</f>
        <v>2.1237051107081446</v>
      </c>
      <c r="Q21" s="44">
        <f t="shared" si="0"/>
        <v>2.1237051107081446</v>
      </c>
      <c r="R21" s="44">
        <f t="shared" si="4"/>
        <v>45.185215121449886</v>
      </c>
      <c r="Y21">
        <f>(X21*'Data Kystruten'!$B$43*'Data Kystruten'!$B$17)/'Data Kystruten'!$B$42</f>
        <v>0</v>
      </c>
      <c r="Z21">
        <f>(Y21*3.6)/'Data Kystruten'!$B$10</f>
        <v>0</v>
      </c>
      <c r="AA21" s="54">
        <f t="shared" ref="AA21:AA26" si="9">AA7-Z21</f>
        <v>6.6808703098699773</v>
      </c>
      <c r="AB21" s="44">
        <f t="shared" si="1"/>
        <v>100</v>
      </c>
    </row>
    <row r="22" spans="1:35">
      <c r="A22" s="35"/>
      <c r="B22" s="24" t="s">
        <v>108</v>
      </c>
      <c r="C22" s="24"/>
      <c r="D22" s="31">
        <v>0.92708333333333337</v>
      </c>
      <c r="E22" s="31">
        <v>0.9375</v>
      </c>
      <c r="F22" s="32">
        <f t="shared" si="2"/>
        <v>0.24999999999999911</v>
      </c>
      <c r="G22" s="32"/>
      <c r="H22" s="90">
        <v>0</v>
      </c>
      <c r="J22" s="36"/>
      <c r="L22" s="23">
        <f>(F22+G22)*('Data Kystruten'!$B$3+'Data Kystruten'!$B$4)</f>
        <v>0.87499999999999689</v>
      </c>
      <c r="M22">
        <f>L22/'Data Kystruten'!$B$43</f>
        <v>2.385219685002701</v>
      </c>
      <c r="N22">
        <f>M22/'Data Kystruten'!$B$17</f>
        <v>7.1563746924773505E-2</v>
      </c>
      <c r="O22">
        <f t="shared" ref="O22:O31" si="10">O21-N22</f>
        <v>2.0521413637833712</v>
      </c>
      <c r="Q22" s="44">
        <f t="shared" si="0"/>
        <v>2.0521413637833712</v>
      </c>
      <c r="R22" s="44">
        <f t="shared" si="4"/>
        <v>43.662582208156827</v>
      </c>
      <c r="Y22">
        <f>(X22*'Data Kystruten'!$B$43*'Data Kystruten'!$B$17)/'Data Kystruten'!$B$42</f>
        <v>0</v>
      </c>
      <c r="Z22">
        <f>(Y22*3.6)/'Data Kystruten'!$B$10</f>
        <v>0</v>
      </c>
      <c r="AA22" s="54">
        <f t="shared" si="9"/>
        <v>6.6808703098699773</v>
      </c>
      <c r="AB22" s="44">
        <f t="shared" si="1"/>
        <v>100</v>
      </c>
    </row>
    <row r="23" spans="1:35">
      <c r="A23" s="35"/>
      <c r="B23" s="24"/>
      <c r="C23" s="24"/>
      <c r="D23" s="31"/>
      <c r="E23" s="31"/>
      <c r="F23" s="32"/>
      <c r="G23" s="32">
        <v>2.25</v>
      </c>
      <c r="H23" s="90"/>
      <c r="J23" s="36"/>
      <c r="L23" s="23">
        <f>(F23+G23)*('Data Kystruten'!$B$3+'Data Kystruten'!$B$4)</f>
        <v>7.875</v>
      </c>
      <c r="M23">
        <f>L23/'Data Kystruten'!$B$43</f>
        <v>21.466977165024385</v>
      </c>
      <c r="N23">
        <f>M23/'Data Kystruten'!$B$17</f>
        <v>0.64407372232296389</v>
      </c>
      <c r="O23">
        <f t="shared" si="10"/>
        <v>1.4080676414604074</v>
      </c>
      <c r="Q23" s="44">
        <f t="shared" si="0"/>
        <v>1.4080676414604074</v>
      </c>
      <c r="R23" s="44">
        <f t="shared" si="4"/>
        <v>29.958885988519306</v>
      </c>
      <c r="Y23">
        <f>(X23*'Data Kystruten'!$B$43*'Data Kystruten'!$B$17)/'Data Kystruten'!$B$42</f>
        <v>0</v>
      </c>
      <c r="Z23">
        <f>(Y23*3.6)/'Data Kystruten'!$B$10</f>
        <v>0</v>
      </c>
      <c r="AA23" s="54">
        <f t="shared" si="9"/>
        <v>6.6808703098699773</v>
      </c>
      <c r="AB23" s="44">
        <f t="shared" si="1"/>
        <v>100</v>
      </c>
    </row>
    <row r="24" spans="1:35">
      <c r="A24" s="35" t="s">
        <v>109</v>
      </c>
      <c r="B24" s="24" t="s">
        <v>110</v>
      </c>
      <c r="C24" s="24"/>
      <c r="D24" s="31">
        <v>7.2916666666666671E-2</v>
      </c>
      <c r="E24" s="31">
        <v>7.9861111111111105E-2</v>
      </c>
      <c r="F24" s="32">
        <f t="shared" si="2"/>
        <v>0.16666666666666641</v>
      </c>
      <c r="G24" s="32"/>
      <c r="H24" s="90">
        <v>0</v>
      </c>
      <c r="J24" s="36"/>
      <c r="L24" s="23">
        <f>(F24+G24)*('Data Kystruten'!$B$3+'Data Kystruten'!$B$4)</f>
        <v>0.58333333333333237</v>
      </c>
      <c r="M24">
        <f>L24/'Data Kystruten'!$B$43</f>
        <v>1.5901464566684702</v>
      </c>
      <c r="N24">
        <f>M24/'Data Kystruten'!$B$17</f>
        <v>4.770916461651576E-2</v>
      </c>
      <c r="O24">
        <f t="shared" si="10"/>
        <v>1.3603584768438917</v>
      </c>
      <c r="Q24" s="44">
        <f t="shared" si="0"/>
        <v>1.3603584768438917</v>
      </c>
      <c r="R24" s="44">
        <f t="shared" si="4"/>
        <v>28.943797379657266</v>
      </c>
      <c r="Y24">
        <f>(X24*'Data Kystruten'!$B$43*'Data Kystruten'!$B$17)/'Data Kystruten'!$B$42</f>
        <v>0</v>
      </c>
      <c r="Z24">
        <f>(Y24*3.6)/'Data Kystruten'!$B$10</f>
        <v>0</v>
      </c>
      <c r="AA24" s="54">
        <f t="shared" si="9"/>
        <v>6.6808703098699773</v>
      </c>
      <c r="AB24" s="44">
        <f t="shared" si="1"/>
        <v>100</v>
      </c>
    </row>
    <row r="25" spans="1:35">
      <c r="A25" s="35"/>
      <c r="B25" s="24"/>
      <c r="C25" s="24"/>
      <c r="D25" s="31"/>
      <c r="E25" s="31"/>
      <c r="F25" s="32"/>
      <c r="G25" s="32">
        <f t="shared" si="6"/>
        <v>2.6666666666666665</v>
      </c>
      <c r="H25" s="90"/>
      <c r="J25" s="36"/>
      <c r="L25" s="23">
        <f>(F25+G25)*('Data Kystruten'!$B$3+'Data Kystruten'!$B$4)</f>
        <v>9.3333333333333321</v>
      </c>
      <c r="M25">
        <f>L25/'Data Kystruten'!$B$43</f>
        <v>25.442343306695562</v>
      </c>
      <c r="N25">
        <f>M25/'Data Kystruten'!$B$17</f>
        <v>0.76334663386425339</v>
      </c>
      <c r="O25">
        <f t="shared" si="10"/>
        <v>0.59701184297963827</v>
      </c>
      <c r="Q25" s="44">
        <f t="shared" si="0"/>
        <v>0.59701184297963827</v>
      </c>
      <c r="R25" s="44">
        <f t="shared" si="4"/>
        <v>12.702379637864643</v>
      </c>
      <c r="Y25">
        <f>(X25*'Data Kystruten'!$B$43*'Data Kystruten'!$B$17)/'Data Kystruten'!$B$42</f>
        <v>0</v>
      </c>
      <c r="Z25">
        <f>(Y25*3.6)/'Data Kystruten'!$B$10</f>
        <v>0</v>
      </c>
      <c r="AA25" s="54">
        <f t="shared" si="9"/>
        <v>6.6808703098699773</v>
      </c>
      <c r="AB25" s="44">
        <f t="shared" si="1"/>
        <v>100</v>
      </c>
    </row>
    <row r="26" spans="1:35">
      <c r="A26" s="35"/>
      <c r="B26" s="24" t="s">
        <v>111</v>
      </c>
      <c r="C26" s="25" t="s">
        <v>363</v>
      </c>
      <c r="D26" s="31">
        <v>0.19097222222222221</v>
      </c>
      <c r="E26" s="31">
        <v>0.19791666666666666</v>
      </c>
      <c r="F26" s="32">
        <f t="shared" si="2"/>
        <v>0.16666666666666674</v>
      </c>
      <c r="G26" s="32"/>
      <c r="H26" s="90">
        <v>0</v>
      </c>
      <c r="J26" s="36"/>
      <c r="L26" s="23">
        <f>(F26+G26)*('Data Kystruten'!$B$3+'Data Kystruten'!$B$4)</f>
        <v>0.58333333333333359</v>
      </c>
      <c r="M26">
        <f>L26/'Data Kystruten'!$B$43</f>
        <v>1.5901464566684735</v>
      </c>
      <c r="N26">
        <f>M26/'Data Kystruten'!$B$17</f>
        <v>4.7709164616515858E-2</v>
      </c>
      <c r="O26">
        <f t="shared" si="10"/>
        <v>0.54930267836312241</v>
      </c>
      <c r="Q26" s="44">
        <f t="shared" si="0"/>
        <v>0.54930267836312241</v>
      </c>
      <c r="R26" s="44">
        <f t="shared" si="4"/>
        <v>11.687291029002605</v>
      </c>
      <c r="Y26">
        <f>(X26*'Data Kystruten'!$B$43*'Data Kystruten'!$B$17)/'Data Kystruten'!$B$42</f>
        <v>0</v>
      </c>
      <c r="Z26">
        <f>(Y26*3.6)/'Data Kystruten'!$B$10</f>
        <v>0</v>
      </c>
      <c r="AA26" s="54">
        <f t="shared" si="9"/>
        <v>6.6808703098699773</v>
      </c>
      <c r="AB26" s="44">
        <f t="shared" si="1"/>
        <v>100</v>
      </c>
    </row>
    <row r="27" spans="1:35">
      <c r="A27" s="35"/>
      <c r="B27" s="24"/>
      <c r="C27" s="24"/>
      <c r="D27" s="31"/>
      <c r="E27" s="31"/>
      <c r="F27" s="32"/>
      <c r="G27" s="32">
        <f t="shared" si="6"/>
        <v>1.1666666666666672</v>
      </c>
      <c r="H27" s="90"/>
      <c r="J27" s="36"/>
      <c r="L27" s="23">
        <f>(F27+G27)*('Data Kystruten'!$B$3+'Data Kystruten'!$B$4)</f>
        <v>4.0833333333333348</v>
      </c>
      <c r="M27">
        <f>L27/'Data Kystruten'!$B$43</f>
        <v>11.131025196679314</v>
      </c>
      <c r="N27">
        <f>M27/'Data Kystruten'!$B$17</f>
        <v>0.333964152315611</v>
      </c>
      <c r="O27">
        <f t="shared" si="10"/>
        <v>0.21533852604751141</v>
      </c>
      <c r="Q27" s="44">
        <f>O27</f>
        <v>0.21533852604751141</v>
      </c>
      <c r="R27" s="44">
        <f t="shared" si="4"/>
        <v>4.5816707669683279</v>
      </c>
      <c r="W27">
        <f t="shared" si="8"/>
        <v>-0.21533852604751141</v>
      </c>
      <c r="X27">
        <f>W27</f>
        <v>-0.21533852604751141</v>
      </c>
      <c r="Y27">
        <f>(X27*'Data Kystruten'!$B$43*'Data Kystruten'!$B$17)/'Data Kystruten'!$B$42</f>
        <v>-8.0205579592602714</v>
      </c>
      <c r="Z27">
        <f>(Y27*3.6)/'Data Kystruten'!$B$10</f>
        <v>-0.58567968870866083</v>
      </c>
      <c r="AA27" s="54">
        <f>AA26+Z27</f>
        <v>6.0951906211613167</v>
      </c>
      <c r="AB27" s="44">
        <f t="shared" si="1"/>
        <v>91.233482143136243</v>
      </c>
    </row>
    <row r="28" spans="1:35">
      <c r="A28" s="35"/>
      <c r="B28" s="24" t="s">
        <v>113</v>
      </c>
      <c r="C28" s="24"/>
      <c r="D28" s="31">
        <v>0.24652777777777779</v>
      </c>
      <c r="E28" s="31">
        <v>0.25347222222222221</v>
      </c>
      <c r="F28" s="32">
        <f t="shared" si="2"/>
        <v>0.16666666666666607</v>
      </c>
      <c r="G28" s="32"/>
      <c r="H28" s="90">
        <v>0</v>
      </c>
      <c r="J28" s="36"/>
      <c r="L28" s="23">
        <f>(F28+G28)*('Data Kystruten'!$B$3+'Data Kystruten'!$B$4)</f>
        <v>0.58333333333333126</v>
      </c>
      <c r="M28">
        <f>L28/'Data Kystruten'!$B$43</f>
        <v>1.5901464566684673</v>
      </c>
      <c r="N28">
        <f>M28/'Data Kystruten'!$B$17</f>
        <v>4.7709164616515677E-2</v>
      </c>
      <c r="O28">
        <f t="shared" si="10"/>
        <v>0.16762936143099574</v>
      </c>
      <c r="Q28" s="44">
        <v>0</v>
      </c>
      <c r="R28" s="44">
        <f t="shared" si="4"/>
        <v>0</v>
      </c>
      <c r="W28">
        <f t="shared" si="8"/>
        <v>-0.16762936143099574</v>
      </c>
      <c r="X28">
        <f>W28-W27</f>
        <v>4.770916461651567E-2</v>
      </c>
      <c r="Y28">
        <f>(X28*'Data Kystruten'!$B$43*'Data Kystruten'!$B$17)/'Data Kystruten'!$B$42</f>
        <v>1.7769886653270115</v>
      </c>
      <c r="Z28">
        <f>(Y28*3.6)/'Data Kystruten'!$B$10</f>
        <v>0.12975982140318951</v>
      </c>
      <c r="AA28" s="54">
        <f t="shared" ref="AA28:AA31" si="11">AA27-Z28</f>
        <v>5.9654307997581268</v>
      </c>
      <c r="AB28" s="44">
        <f t="shared" si="1"/>
        <v>89.291222895692243</v>
      </c>
    </row>
    <row r="29" spans="1:35">
      <c r="A29" s="35"/>
      <c r="B29" s="24"/>
      <c r="C29" s="24"/>
      <c r="D29" s="31"/>
      <c r="E29" s="31"/>
      <c r="F29" s="32"/>
      <c r="G29" s="32">
        <f t="shared" si="6"/>
        <v>3.666666666666667</v>
      </c>
      <c r="H29" s="90"/>
      <c r="J29" s="36"/>
      <c r="L29" s="23">
        <f>(F29+G29)*('Data Kystruten'!$B$3+'Data Kystruten'!$B$4)</f>
        <v>12.833333333333334</v>
      </c>
      <c r="M29">
        <f>L29/'Data Kystruten'!$B$43</f>
        <v>34.983222046706409</v>
      </c>
      <c r="N29">
        <f>M29/'Data Kystruten'!$B$17</f>
        <v>1.0496016215633486</v>
      </c>
      <c r="O29">
        <f t="shared" si="10"/>
        <v>-0.88197226013235286</v>
      </c>
      <c r="Q29" s="44">
        <v>0</v>
      </c>
      <c r="R29" s="44">
        <f t="shared" si="4"/>
        <v>0</v>
      </c>
      <c r="W29">
        <f t="shared" si="8"/>
        <v>0.88197226013235286</v>
      </c>
      <c r="X29">
        <f t="shared" ref="X29:X31" si="12">W29-W28</f>
        <v>1.0496016215633486</v>
      </c>
      <c r="Y29">
        <f>(X29*'Data Kystruten'!$B$43*'Data Kystruten'!$B$17)/'Data Kystruten'!$B$42</f>
        <v>39.093750637194397</v>
      </c>
      <c r="Z29">
        <f>(Y29*3.6)/'Data Kystruten'!$B$10</f>
        <v>2.8547160708701793</v>
      </c>
      <c r="AA29" s="54">
        <f t="shared" si="11"/>
        <v>3.1107147288879475</v>
      </c>
      <c r="AB29" s="44">
        <f t="shared" si="1"/>
        <v>46.56151945192434</v>
      </c>
    </row>
    <row r="30" spans="1:35">
      <c r="A30" s="35"/>
      <c r="B30" s="24" t="s">
        <v>114</v>
      </c>
      <c r="C30" s="24"/>
      <c r="D30" s="31">
        <v>0.40625</v>
      </c>
      <c r="E30" s="31">
        <v>0.41319444444444442</v>
      </c>
      <c r="F30" s="32">
        <f t="shared" si="2"/>
        <v>0.16666666666666607</v>
      </c>
      <c r="G30" s="32"/>
      <c r="H30" s="90">
        <f>F30-('Data Kystruten'!$B$51*2)</f>
        <v>-0.83333333333333393</v>
      </c>
      <c r="J30" s="36"/>
      <c r="L30" s="23">
        <f>(F30+G30)*('Data Kystruten'!$B$3+'Data Kystruten'!$B$4)</f>
        <v>0.58333333333333126</v>
      </c>
      <c r="M30">
        <f>L30/'Data Kystruten'!$B$43</f>
        <v>1.5901464566684673</v>
      </c>
      <c r="N30">
        <f>M30/'Data Kystruten'!$B$17</f>
        <v>4.7709164616515677E-2</v>
      </c>
      <c r="O30">
        <f t="shared" si="10"/>
        <v>-0.9296814247488685</v>
      </c>
      <c r="Q30" s="44">
        <v>0</v>
      </c>
      <c r="R30" s="44">
        <f t="shared" si="4"/>
        <v>0</v>
      </c>
      <c r="W30">
        <f t="shared" si="8"/>
        <v>0.9296814247488685</v>
      </c>
      <c r="X30">
        <f t="shared" si="12"/>
        <v>4.7709164616515642E-2</v>
      </c>
      <c r="Y30">
        <f>(X30*'Data Kystruten'!$B$43*'Data Kystruten'!$B$17)/'Data Kystruten'!$B$42</f>
        <v>1.7769886653270108</v>
      </c>
      <c r="Z30">
        <f>(Y30*3.6)/'Data Kystruten'!$B$10</f>
        <v>0.12975982140318945</v>
      </c>
      <c r="AA30" s="54">
        <f t="shared" si="11"/>
        <v>2.9809549074847581</v>
      </c>
      <c r="AB30" s="44">
        <f t="shared" si="1"/>
        <v>44.619260204480355</v>
      </c>
    </row>
    <row r="31" spans="1:35">
      <c r="A31" s="35"/>
      <c r="B31" s="24"/>
      <c r="C31" s="24"/>
      <c r="D31" s="31"/>
      <c r="E31" s="31"/>
      <c r="F31" s="32"/>
      <c r="G31" s="32">
        <f t="shared" si="6"/>
        <v>2.7500000000000009</v>
      </c>
      <c r="H31" s="90"/>
      <c r="J31" s="36"/>
      <c r="L31" s="23">
        <f>(F31+G31)*('Data Kystruten'!$B$3+'Data Kystruten'!$B$4)</f>
        <v>9.6250000000000036</v>
      </c>
      <c r="M31">
        <f>L31/'Data Kystruten'!$B$43</f>
        <v>26.237416535029812</v>
      </c>
      <c r="N31">
        <f>M31/'Data Kystruten'!$B$17</f>
        <v>0.78720121617251171</v>
      </c>
      <c r="O31">
        <f t="shared" si="10"/>
        <v>-1.7168826409213802</v>
      </c>
      <c r="Q31" s="44">
        <v>0</v>
      </c>
      <c r="R31" s="44">
        <f t="shared" si="4"/>
        <v>0</v>
      </c>
      <c r="W31">
        <f t="shared" si="8"/>
        <v>1.7168826409213802</v>
      </c>
      <c r="X31">
        <f t="shared" si="12"/>
        <v>0.78720121617251171</v>
      </c>
      <c r="Y31">
        <f>(X31*'Data Kystruten'!$B$43*'Data Kystruten'!$B$17)/'Data Kystruten'!$B$42</f>
        <v>29.32031297789581</v>
      </c>
      <c r="Z31">
        <f>(Y31*3.6)/'Data Kystruten'!$B$10</f>
        <v>2.1410370531526355</v>
      </c>
      <c r="AA31" s="54">
        <f t="shared" si="11"/>
        <v>0.83991785433212263</v>
      </c>
      <c r="AB31" s="44">
        <f t="shared" si="1"/>
        <v>12.57198262165441</v>
      </c>
    </row>
    <row r="32" spans="1:35">
      <c r="A32" s="38"/>
      <c r="B32" s="39" t="s">
        <v>115</v>
      </c>
      <c r="C32" s="39" t="s">
        <v>98</v>
      </c>
      <c r="D32" s="41">
        <v>0.52777777777777779</v>
      </c>
      <c r="E32" s="41">
        <v>0.625</v>
      </c>
      <c r="F32" s="42">
        <f t="shared" si="2"/>
        <v>2.333333333333333</v>
      </c>
      <c r="G32" s="42"/>
      <c r="H32" s="42">
        <f>F32-('Data Kystruten'!$B$51*2)</f>
        <v>1.333333333333333</v>
      </c>
      <c r="J32" s="43"/>
      <c r="K32" s="44"/>
      <c r="L32" s="45">
        <f>(F32+G32)*('Data Kystruten'!$B$3+'Data Kystruten'!$B$4)</f>
        <v>8.1666666666666661</v>
      </c>
      <c r="M32" s="44">
        <f>L32/'Data Kystruten'!$B$43</f>
        <v>22.262050393358621</v>
      </c>
      <c r="N32" s="44">
        <f>M32/'Data Kystruten'!$B$17</f>
        <v>0.66792830463122177</v>
      </c>
      <c r="O32" s="44">
        <f>O20</f>
        <v>4.7</v>
      </c>
      <c r="P32" s="44">
        <f>O32+N32</f>
        <v>5.3679283046312216</v>
      </c>
      <c r="Q32" s="44">
        <f t="shared" si="0"/>
        <v>4.7</v>
      </c>
      <c r="R32" s="44">
        <f t="shared" si="4"/>
        <v>100</v>
      </c>
      <c r="S32" s="44"/>
      <c r="T32" s="44"/>
      <c r="U32" s="44"/>
      <c r="V32" s="44"/>
      <c r="W32" s="44"/>
      <c r="X32" s="44"/>
      <c r="Y32" s="44">
        <f>(X32*'Data Kystruten'!$B$43*'Data Kystruten'!$B$17)/'Data Kystruten'!$B$42</f>
        <v>0</v>
      </c>
      <c r="Z32" s="44">
        <f>(Y32*3.6)/'Data Kystruten'!$B$10</f>
        <v>0</v>
      </c>
      <c r="AA32" s="44">
        <f>AA20</f>
        <v>6.6808703098699773</v>
      </c>
      <c r="AB32" s="44">
        <f t="shared" si="1"/>
        <v>100</v>
      </c>
    </row>
    <row r="33" spans="1:28">
      <c r="A33" s="35"/>
      <c r="B33" s="24"/>
      <c r="C33" s="24"/>
      <c r="D33" s="31"/>
      <c r="E33" s="31"/>
      <c r="F33" s="32"/>
      <c r="G33" s="32">
        <f t="shared" si="6"/>
        <v>3.9999999999999991</v>
      </c>
      <c r="H33" s="90"/>
      <c r="J33" s="36"/>
      <c r="L33" s="23">
        <f>(F33+G33)*('Data Kystruten'!$B$3+'Data Kystruten'!$B$4)</f>
        <v>13.999999999999996</v>
      </c>
      <c r="M33">
        <f>L33/'Data Kystruten'!$B$43</f>
        <v>38.163514960043344</v>
      </c>
      <c r="N33">
        <f>M33/'Data Kystruten'!$B$17</f>
        <v>1.1450199507963801</v>
      </c>
      <c r="O33">
        <f>O32-N33</f>
        <v>3.5549800492036203</v>
      </c>
      <c r="Q33" s="44">
        <f t="shared" si="0"/>
        <v>3.5549800492036203</v>
      </c>
      <c r="R33" s="44">
        <f t="shared" si="4"/>
        <v>75.637873387311075</v>
      </c>
      <c r="Y33">
        <f>(X33*'Data Kystruten'!$B$43*'Data Kystruten'!$B$17)/'Data Kystruten'!$B$42</f>
        <v>0</v>
      </c>
      <c r="Z33">
        <f>(Y33*3.6)/'Data Kystruten'!$B$10</f>
        <v>0</v>
      </c>
      <c r="AA33" s="54">
        <f>AA32</f>
        <v>6.6808703098699773</v>
      </c>
      <c r="AB33" s="44">
        <f t="shared" si="1"/>
        <v>100</v>
      </c>
    </row>
    <row r="34" spans="1:28">
      <c r="A34" s="35"/>
      <c r="B34" s="24" t="s">
        <v>116</v>
      </c>
      <c r="C34" s="24"/>
      <c r="D34" s="31">
        <v>0.79166666666666663</v>
      </c>
      <c r="E34" s="31">
        <v>0.8125</v>
      </c>
      <c r="F34" s="32">
        <f t="shared" si="2"/>
        <v>0.50000000000000089</v>
      </c>
      <c r="G34" s="32"/>
      <c r="H34" s="90">
        <v>0</v>
      </c>
      <c r="J34" s="36"/>
      <c r="L34" s="23">
        <f>(F34+G34)*('Data Kystruten'!$B$3+'Data Kystruten'!$B$4)</f>
        <v>1.7500000000000031</v>
      </c>
      <c r="M34">
        <f>L34/'Data Kystruten'!$B$43</f>
        <v>4.7704393700054268</v>
      </c>
      <c r="N34">
        <f>M34/'Data Kystruten'!$B$17</f>
        <v>0.14312749384954776</v>
      </c>
      <c r="O34">
        <f t="shared" ref="O34:O47" si="13">O33-N34</f>
        <v>3.4118525553540726</v>
      </c>
      <c r="Q34" s="44">
        <f t="shared" si="0"/>
        <v>3.4118525553540726</v>
      </c>
      <c r="R34" s="44">
        <f t="shared" si="4"/>
        <v>72.592607560724943</v>
      </c>
      <c r="Y34">
        <f>(X34*'Data Kystruten'!$B$43*'Data Kystruten'!$B$17)/'Data Kystruten'!$B$42</f>
        <v>0</v>
      </c>
      <c r="Z34">
        <f>(Y34*3.6)/'Data Kystruten'!$B$10</f>
        <v>0</v>
      </c>
      <c r="AA34" s="54">
        <f t="shared" ref="AA34:AA42" si="14">AA33</f>
        <v>6.6808703098699773</v>
      </c>
      <c r="AB34" s="44">
        <f t="shared" si="1"/>
        <v>100</v>
      </c>
    </row>
    <row r="35" spans="1:28">
      <c r="A35" s="35"/>
      <c r="B35" s="24"/>
      <c r="C35" s="24"/>
      <c r="D35" s="31"/>
      <c r="E35" s="31"/>
      <c r="F35" s="32"/>
      <c r="G35" s="32">
        <f t="shared" si="6"/>
        <v>1.5</v>
      </c>
      <c r="H35" s="90"/>
      <c r="J35" s="36"/>
      <c r="L35" s="23">
        <f>(F35+G35)*('Data Kystruten'!$B$3+'Data Kystruten'!$B$4)</f>
        <v>5.25</v>
      </c>
      <c r="M35">
        <f>L35/'Data Kystruten'!$B$43</f>
        <v>14.311318110016256</v>
      </c>
      <c r="N35">
        <f>M35/'Data Kystruten'!$B$17</f>
        <v>0.42938248154864256</v>
      </c>
      <c r="O35">
        <f t="shared" si="13"/>
        <v>2.9824700738054299</v>
      </c>
      <c r="Q35" s="44">
        <f t="shared" si="0"/>
        <v>2.9824700738054299</v>
      </c>
      <c r="R35" s="44">
        <f t="shared" si="4"/>
        <v>63.456810080966598</v>
      </c>
      <c r="Y35">
        <f>(X35*'Data Kystruten'!$B$43*'Data Kystruten'!$B$17)/'Data Kystruten'!$B$42</f>
        <v>0</v>
      </c>
      <c r="Z35">
        <f>(Y35*3.6)/'Data Kystruten'!$B$10</f>
        <v>0</v>
      </c>
      <c r="AA35" s="54">
        <f t="shared" si="14"/>
        <v>6.6808703098699773</v>
      </c>
      <c r="AB35" s="44">
        <f t="shared" si="1"/>
        <v>100</v>
      </c>
    </row>
    <row r="36" spans="1:28">
      <c r="A36" s="35"/>
      <c r="B36" s="24" t="s">
        <v>117</v>
      </c>
      <c r="C36" s="24"/>
      <c r="D36" s="31">
        <v>0.875</v>
      </c>
      <c r="E36" s="31">
        <v>0.91666666666666663</v>
      </c>
      <c r="F36" s="32">
        <f t="shared" si="2"/>
        <v>0.99999999999999911</v>
      </c>
      <c r="G36" s="32"/>
      <c r="H36" s="90">
        <f>F36-('Data Kystruten'!$B$51*2)</f>
        <v>-8.8817841970012523E-16</v>
      </c>
      <c r="J36" s="36"/>
      <c r="L36" s="23">
        <f>(F36+G36)*('Data Kystruten'!$B$3+'Data Kystruten'!$B$4)</f>
        <v>3.4999999999999969</v>
      </c>
      <c r="M36">
        <f>L36/'Data Kystruten'!$B$43</f>
        <v>9.5408787400108288</v>
      </c>
      <c r="N36">
        <f>M36/'Data Kystruten'!$B$17</f>
        <v>0.2862549876990948</v>
      </c>
      <c r="O36">
        <f t="shared" si="13"/>
        <v>2.696215086106335</v>
      </c>
      <c r="Q36" s="44">
        <f t="shared" si="0"/>
        <v>2.696215086106335</v>
      </c>
      <c r="R36" s="44">
        <f t="shared" si="4"/>
        <v>57.366278427794356</v>
      </c>
      <c r="Y36">
        <f>(X36*'Data Kystruten'!$B$43*'Data Kystruten'!$B$17)/'Data Kystruten'!$B$42</f>
        <v>0</v>
      </c>
      <c r="Z36">
        <f>(Y36*3.6)/'Data Kystruten'!$B$10</f>
        <v>0</v>
      </c>
      <c r="AA36" s="54">
        <f t="shared" si="14"/>
        <v>6.6808703098699773</v>
      </c>
      <c r="AB36" s="44">
        <f t="shared" si="1"/>
        <v>100</v>
      </c>
    </row>
    <row r="37" spans="1:28">
      <c r="A37" s="35"/>
      <c r="B37" s="24"/>
      <c r="C37" s="24"/>
      <c r="D37" s="31"/>
      <c r="E37" s="31"/>
      <c r="F37" s="32"/>
      <c r="G37" s="32">
        <v>3</v>
      </c>
      <c r="H37" s="90"/>
      <c r="J37" s="36"/>
      <c r="L37" s="23">
        <f>(F37+G37)*('Data Kystruten'!$B$3+'Data Kystruten'!$B$4)</f>
        <v>10.5</v>
      </c>
      <c r="M37">
        <f>L37/'Data Kystruten'!$B$43</f>
        <v>28.622636220032511</v>
      </c>
      <c r="N37">
        <f>M37/'Data Kystruten'!$B$17</f>
        <v>0.85876496309728512</v>
      </c>
      <c r="O37">
        <f t="shared" si="13"/>
        <v>1.8374501230090499</v>
      </c>
      <c r="Q37" s="44">
        <f t="shared" si="0"/>
        <v>1.8374501230090499</v>
      </c>
      <c r="R37" s="44">
        <f t="shared" si="4"/>
        <v>39.094683468277658</v>
      </c>
      <c r="Y37">
        <f>(X37*'Data Kystruten'!$B$43*'Data Kystruten'!$B$17)/'Data Kystruten'!$B$42</f>
        <v>0</v>
      </c>
      <c r="Z37">
        <f>(Y37*3.6)/'Data Kystruten'!$B$10</f>
        <v>0</v>
      </c>
      <c r="AA37" s="54">
        <f t="shared" si="14"/>
        <v>6.6808703098699773</v>
      </c>
      <c r="AB37" s="44">
        <f t="shared" si="1"/>
        <v>100</v>
      </c>
    </row>
    <row r="38" spans="1:28">
      <c r="A38" s="35" t="s">
        <v>118</v>
      </c>
      <c r="B38" s="24" t="s">
        <v>119</v>
      </c>
      <c r="C38" s="24"/>
      <c r="D38" s="31">
        <v>4.1666666666666664E-2</v>
      </c>
      <c r="E38" s="31">
        <v>5.2083333333333336E-2</v>
      </c>
      <c r="F38" s="32">
        <f t="shared" si="2"/>
        <v>0.25000000000000011</v>
      </c>
      <c r="G38" s="32"/>
      <c r="H38" s="90">
        <v>0</v>
      </c>
      <c r="J38" s="36"/>
      <c r="L38" s="23">
        <f>(F38+G38)*('Data Kystruten'!$B$3+'Data Kystruten'!$B$4)</f>
        <v>0.87500000000000044</v>
      </c>
      <c r="M38">
        <f>L38/'Data Kystruten'!$B$43</f>
        <v>2.3852196850027108</v>
      </c>
      <c r="N38">
        <f>M38/'Data Kystruten'!$B$17</f>
        <v>7.1563746924773811E-2</v>
      </c>
      <c r="O38">
        <f t="shared" si="13"/>
        <v>1.765886376084276</v>
      </c>
      <c r="Q38" s="44">
        <f t="shared" si="0"/>
        <v>1.765886376084276</v>
      </c>
      <c r="R38" s="44">
        <f t="shared" si="4"/>
        <v>37.572050554984592</v>
      </c>
      <c r="Y38">
        <f>(X38*'Data Kystruten'!$B$43*'Data Kystruten'!$B$17)/'Data Kystruten'!$B$42</f>
        <v>0</v>
      </c>
      <c r="Z38">
        <f>(Y38*3.6)/'Data Kystruten'!$B$10</f>
        <v>0</v>
      </c>
      <c r="AA38" s="54">
        <f t="shared" si="14"/>
        <v>6.6808703098699773</v>
      </c>
      <c r="AB38" s="44">
        <f t="shared" si="1"/>
        <v>100</v>
      </c>
    </row>
    <row r="39" spans="1:28">
      <c r="A39" s="35"/>
      <c r="B39" s="24"/>
      <c r="C39" s="24"/>
      <c r="D39" s="31"/>
      <c r="E39" s="31"/>
      <c r="F39" s="32"/>
      <c r="G39" s="32">
        <f t="shared" si="6"/>
        <v>1.4999999999999998</v>
      </c>
      <c r="H39" s="90"/>
      <c r="J39" s="36"/>
      <c r="L39" s="23">
        <f>(F39+G39)*('Data Kystruten'!$B$3+'Data Kystruten'!$B$4)</f>
        <v>5.2499999999999991</v>
      </c>
      <c r="M39">
        <f>L39/'Data Kystruten'!$B$43</f>
        <v>14.311318110016254</v>
      </c>
      <c r="N39">
        <f>M39/'Data Kystruten'!$B$17</f>
        <v>0.4293824815486425</v>
      </c>
      <c r="O39">
        <f t="shared" si="13"/>
        <v>1.3365038945356336</v>
      </c>
      <c r="Q39" s="44">
        <f t="shared" si="0"/>
        <v>1.3365038945356336</v>
      </c>
      <c r="R39" s="44">
        <f t="shared" si="4"/>
        <v>28.436253075226247</v>
      </c>
      <c r="Y39">
        <f>(X39*'Data Kystruten'!$B$43*'Data Kystruten'!$B$17)/'Data Kystruten'!$B$42</f>
        <v>0</v>
      </c>
      <c r="Z39">
        <f>(Y39*3.6)/'Data Kystruten'!$B$10</f>
        <v>0</v>
      </c>
      <c r="AA39" s="54">
        <f t="shared" si="14"/>
        <v>6.6808703098699773</v>
      </c>
      <c r="AB39" s="44">
        <f t="shared" si="1"/>
        <v>100</v>
      </c>
    </row>
    <row r="40" spans="1:28">
      <c r="A40" s="35"/>
      <c r="B40" s="24" t="s">
        <v>120</v>
      </c>
      <c r="C40" s="24"/>
      <c r="D40" s="31">
        <v>0.11458333333333333</v>
      </c>
      <c r="E40" s="31">
        <v>0.125</v>
      </c>
      <c r="F40" s="32">
        <f t="shared" si="2"/>
        <v>0.25000000000000011</v>
      </c>
      <c r="G40" s="32"/>
      <c r="H40" s="90">
        <v>0</v>
      </c>
      <c r="J40" s="36"/>
      <c r="L40" s="23">
        <f>(F40+G40)*('Data Kystruten'!$B$3+'Data Kystruten'!$B$4)</f>
        <v>0.87500000000000044</v>
      </c>
      <c r="M40">
        <f>L40/'Data Kystruten'!$B$43</f>
        <v>2.3852196850027108</v>
      </c>
      <c r="N40">
        <f>M40/'Data Kystruten'!$B$17</f>
        <v>7.1563746924773811E-2</v>
      </c>
      <c r="O40">
        <f t="shared" si="13"/>
        <v>1.2649401476108597</v>
      </c>
      <c r="Q40" s="44">
        <f t="shared" si="0"/>
        <v>1.2649401476108597</v>
      </c>
      <c r="R40" s="44">
        <f t="shared" si="4"/>
        <v>26.913620161933181</v>
      </c>
      <c r="Y40">
        <f>(X40*'Data Kystruten'!$B$43*'Data Kystruten'!$B$17)/'Data Kystruten'!$B$42</f>
        <v>0</v>
      </c>
      <c r="Z40">
        <f>(Y40*3.6)/'Data Kystruten'!$B$10</f>
        <v>0</v>
      </c>
      <c r="AA40" s="54">
        <f t="shared" si="14"/>
        <v>6.6808703098699773</v>
      </c>
      <c r="AB40" s="44">
        <f t="shared" si="1"/>
        <v>100</v>
      </c>
    </row>
    <row r="41" spans="1:28">
      <c r="A41" s="35"/>
      <c r="B41" s="24"/>
      <c r="C41" s="24"/>
      <c r="D41" s="31"/>
      <c r="E41" s="31"/>
      <c r="F41" s="32"/>
      <c r="G41" s="32">
        <f t="shared" si="6"/>
        <v>1.2500000000000002</v>
      </c>
      <c r="H41" s="90"/>
      <c r="J41" s="36"/>
      <c r="L41" s="23">
        <f>(F41+G41)*('Data Kystruten'!$B$3+'Data Kystruten'!$B$4)</f>
        <v>4.3750000000000009</v>
      </c>
      <c r="M41">
        <f>L41/'Data Kystruten'!$B$43</f>
        <v>11.926098425013549</v>
      </c>
      <c r="N41">
        <f>M41/'Data Kystruten'!$B$17</f>
        <v>0.35781873462386887</v>
      </c>
      <c r="O41">
        <f t="shared" si="13"/>
        <v>0.90712141298699089</v>
      </c>
      <c r="Q41" s="44">
        <f t="shared" si="0"/>
        <v>0.90712141298699089</v>
      </c>
      <c r="R41" s="44">
        <f t="shared" si="4"/>
        <v>19.300455595467891</v>
      </c>
      <c r="Y41">
        <f>(X41*'Data Kystruten'!$B$43*'Data Kystruten'!$B$17)/'Data Kystruten'!$B$42</f>
        <v>0</v>
      </c>
      <c r="Z41">
        <f>(Y41*3.6)/'Data Kystruten'!$B$10</f>
        <v>0</v>
      </c>
      <c r="AA41" s="54">
        <f t="shared" si="14"/>
        <v>6.6808703098699773</v>
      </c>
      <c r="AB41" s="44">
        <f t="shared" si="1"/>
        <v>100</v>
      </c>
    </row>
    <row r="42" spans="1:28">
      <c r="A42" s="35"/>
      <c r="B42" s="24" t="s">
        <v>121</v>
      </c>
      <c r="C42" s="24"/>
      <c r="D42" s="31">
        <v>0.17708333333333334</v>
      </c>
      <c r="E42" s="31">
        <v>0.1875</v>
      </c>
      <c r="F42" s="32">
        <f t="shared" si="2"/>
        <v>0.24999999999999978</v>
      </c>
      <c r="G42" s="32"/>
      <c r="H42" s="90">
        <v>0</v>
      </c>
      <c r="J42" s="36"/>
      <c r="L42" s="23">
        <f>(F42+G42)*('Data Kystruten'!$B$3+'Data Kystruten'!$B$4)</f>
        <v>0.87499999999999922</v>
      </c>
      <c r="M42">
        <f>L42/'Data Kystruten'!$B$43</f>
        <v>2.3852196850027072</v>
      </c>
      <c r="N42">
        <f>M42/'Data Kystruten'!$B$17</f>
        <v>7.15637469247737E-2</v>
      </c>
      <c r="O42">
        <f t="shared" si="13"/>
        <v>0.83555766606221715</v>
      </c>
      <c r="Q42" s="44">
        <f t="shared" si="0"/>
        <v>0.83555766606221715</v>
      </c>
      <c r="R42" s="44">
        <f t="shared" si="4"/>
        <v>17.777822682174833</v>
      </c>
      <c r="Y42">
        <f>(X42*'Data Kystruten'!$B$43*'Data Kystruten'!$B$17)/'Data Kystruten'!$B$42</f>
        <v>0</v>
      </c>
      <c r="Z42">
        <f>(Y42*3.6)/'Data Kystruten'!$B$10</f>
        <v>0</v>
      </c>
      <c r="AA42" s="54">
        <f t="shared" si="14"/>
        <v>6.6808703098699773</v>
      </c>
      <c r="AB42" s="44">
        <f t="shared" si="1"/>
        <v>100</v>
      </c>
    </row>
    <row r="43" spans="1:28">
      <c r="A43" s="35"/>
      <c r="B43" s="24"/>
      <c r="C43" s="24"/>
      <c r="D43" s="31"/>
      <c r="E43" s="31"/>
      <c r="F43" s="32"/>
      <c r="G43" s="32">
        <f t="shared" si="6"/>
        <v>2.25</v>
      </c>
      <c r="H43" s="90"/>
      <c r="J43" s="36"/>
      <c r="L43" s="23">
        <f>(F43+G43)*('Data Kystruten'!$B$3+'Data Kystruten'!$B$4)</f>
        <v>7.875</v>
      </c>
      <c r="M43">
        <f>L43/'Data Kystruten'!$B$43</f>
        <v>21.466977165024385</v>
      </c>
      <c r="N43">
        <f>M43/'Data Kystruten'!$B$17</f>
        <v>0.64407372232296389</v>
      </c>
      <c r="O43">
        <f t="shared" si="13"/>
        <v>0.19148394373925326</v>
      </c>
      <c r="Q43" s="44">
        <f>O43</f>
        <v>0.19148394373925326</v>
      </c>
      <c r="R43" s="44">
        <f t="shared" si="4"/>
        <v>4.0741264625373033</v>
      </c>
      <c r="W43">
        <f t="shared" si="8"/>
        <v>-0.19148394373925326</v>
      </c>
      <c r="X43">
        <f>W43</f>
        <v>-0.19148394373925326</v>
      </c>
      <c r="Y43">
        <f>(X43*'Data Kystruten'!$B$43*'Data Kystruten'!$B$17)/'Data Kystruten'!$B$42</f>
        <v>-7.1320636265967527</v>
      </c>
      <c r="Z43">
        <f>(Y43*3.6)/'Data Kystruten'!$B$10</f>
        <v>-0.52079977800706512</v>
      </c>
      <c r="AA43" s="54">
        <f>AA42+Z43</f>
        <v>6.1600705318629121</v>
      </c>
      <c r="AB43" s="44">
        <f t="shared" si="1"/>
        <v>92.20461176685825</v>
      </c>
    </row>
    <row r="44" spans="1:28">
      <c r="A44" s="35"/>
      <c r="B44" s="24" t="s">
        <v>122</v>
      </c>
      <c r="C44" s="24"/>
      <c r="D44" s="31">
        <v>0.28125</v>
      </c>
      <c r="E44" s="31">
        <v>0.32291666666666669</v>
      </c>
      <c r="F44" s="32">
        <f t="shared" si="2"/>
        <v>1.0000000000000004</v>
      </c>
      <c r="G44" s="32"/>
      <c r="H44" s="90">
        <f>F44-('Data Kystruten'!$B$51*2)</f>
        <v>0</v>
      </c>
      <c r="J44" s="36"/>
      <c r="L44" s="23">
        <f>(F44+G44)*('Data Kystruten'!$B$3+'Data Kystruten'!$B$4)</f>
        <v>3.5000000000000018</v>
      </c>
      <c r="M44">
        <f>L44/'Data Kystruten'!$B$43</f>
        <v>9.540878740010843</v>
      </c>
      <c r="N44">
        <f>M44/'Data Kystruten'!$B$17</f>
        <v>0.28625498769909524</v>
      </c>
      <c r="O44">
        <f t="shared" si="13"/>
        <v>-9.4771043959841983E-2</v>
      </c>
      <c r="Q44" s="44">
        <v>0</v>
      </c>
      <c r="R44" s="44">
        <f t="shared" si="4"/>
        <v>0</v>
      </c>
      <c r="W44">
        <f t="shared" si="8"/>
        <v>9.4771043959841983E-2</v>
      </c>
      <c r="X44">
        <f>W44-W43</f>
        <v>0.28625498769909524</v>
      </c>
      <c r="Y44">
        <f>(X44*'Data Kystruten'!$B$43*'Data Kystruten'!$B$17)/'Data Kystruten'!$B$42</f>
        <v>10.661931991962117</v>
      </c>
      <c r="Z44">
        <f>(Y44*3.6)/'Data Kystruten'!$B$10</f>
        <v>0.77855892841914043</v>
      </c>
      <c r="AA44" s="54">
        <f t="shared" ref="AA44:AA47" si="15">AA43-Z44</f>
        <v>5.381511603443772</v>
      </c>
      <c r="AB44" s="44">
        <f t="shared" si="1"/>
        <v>80.551056282194267</v>
      </c>
    </row>
    <row r="45" spans="1:28">
      <c r="A45" s="35"/>
      <c r="B45" s="24"/>
      <c r="C45" s="24"/>
      <c r="D45" s="31"/>
      <c r="E45" s="31"/>
      <c r="F45" s="32"/>
      <c r="G45" s="32">
        <f t="shared" si="6"/>
        <v>3.2499999999999991</v>
      </c>
      <c r="H45" s="90"/>
      <c r="J45" s="36"/>
      <c r="L45" s="23">
        <f>(F45+G45)*('Data Kystruten'!$B$3+'Data Kystruten'!$B$4)</f>
        <v>11.374999999999996</v>
      </c>
      <c r="M45">
        <f>L45/'Data Kystruten'!$B$43</f>
        <v>31.007855905035214</v>
      </c>
      <c r="N45">
        <f>M45/'Data Kystruten'!$B$17</f>
        <v>0.93032871002205864</v>
      </c>
      <c r="O45">
        <f t="shared" si="13"/>
        <v>-1.0250997539819007</v>
      </c>
      <c r="Q45" s="44">
        <v>0</v>
      </c>
      <c r="R45" s="44">
        <f t="shared" si="4"/>
        <v>0</v>
      </c>
      <c r="W45">
        <f t="shared" si="8"/>
        <v>1.0250997539819007</v>
      </c>
      <c r="X45">
        <f t="shared" ref="X45:X47" si="16">W45-W44</f>
        <v>0.93032871002205875</v>
      </c>
      <c r="Y45">
        <f>(X45*'Data Kystruten'!$B$43*'Data Kystruten'!$B$17)/'Data Kystruten'!$B$42</f>
        <v>34.651278973876849</v>
      </c>
      <c r="Z45">
        <f>(Y45*3.6)/'Data Kystruten'!$B$10</f>
        <v>2.5303165173622042</v>
      </c>
      <c r="AA45" s="54">
        <f t="shared" si="15"/>
        <v>2.8511950860815678</v>
      </c>
      <c r="AB45" s="44">
        <f t="shared" si="1"/>
        <v>42.677000957036356</v>
      </c>
    </row>
    <row r="46" spans="1:28">
      <c r="A46" s="35"/>
      <c r="B46" s="24" t="s">
        <v>123</v>
      </c>
      <c r="C46" s="24"/>
      <c r="D46" s="31">
        <v>0.45833333333333331</v>
      </c>
      <c r="E46" s="31">
        <v>0.47916666666666669</v>
      </c>
      <c r="F46" s="32">
        <f t="shared" si="2"/>
        <v>0.50000000000000089</v>
      </c>
      <c r="G46" s="32"/>
      <c r="H46" s="90">
        <v>0</v>
      </c>
      <c r="J46" s="36"/>
      <c r="L46" s="23">
        <f>(F46+G46)*('Data Kystruten'!$B$3+'Data Kystruten'!$B$4)</f>
        <v>1.7500000000000031</v>
      </c>
      <c r="M46">
        <f>L46/'Data Kystruten'!$B$43</f>
        <v>4.7704393700054268</v>
      </c>
      <c r="N46">
        <f>M46/'Data Kystruten'!$B$17</f>
        <v>0.14312749384954776</v>
      </c>
      <c r="O46">
        <f t="shared" si="13"/>
        <v>-1.1682272478314484</v>
      </c>
      <c r="Q46" s="44">
        <v>0</v>
      </c>
      <c r="R46" s="44">
        <f t="shared" si="4"/>
        <v>0</v>
      </c>
      <c r="W46">
        <f t="shared" si="8"/>
        <v>1.1682272478314484</v>
      </c>
      <c r="X46">
        <f t="shared" si="16"/>
        <v>0.1431274938495477</v>
      </c>
      <c r="Y46">
        <f>(X46*'Data Kystruten'!$B$43*'Data Kystruten'!$B$17)/'Data Kystruten'!$B$42</f>
        <v>5.3309659959810611</v>
      </c>
      <c r="Z46">
        <f>(Y46*3.6)/'Data Kystruten'!$B$10</f>
        <v>0.38927946420957044</v>
      </c>
      <c r="AA46" s="54">
        <f t="shared" si="15"/>
        <v>2.4619156218719973</v>
      </c>
      <c r="AB46" s="44">
        <f t="shared" si="1"/>
        <v>36.850223214704357</v>
      </c>
    </row>
    <row r="47" spans="1:28">
      <c r="A47" s="35"/>
      <c r="B47" s="24"/>
      <c r="C47" s="24"/>
      <c r="D47" s="31"/>
      <c r="E47" s="31"/>
      <c r="F47" s="32"/>
      <c r="G47" s="32">
        <f t="shared" si="6"/>
        <v>2.7499999999999996</v>
      </c>
      <c r="H47" s="90"/>
      <c r="J47" s="36"/>
      <c r="L47" s="23">
        <f>(F47+G47)*('Data Kystruten'!$B$3+'Data Kystruten'!$B$4)</f>
        <v>9.6249999999999982</v>
      </c>
      <c r="M47">
        <f>L47/'Data Kystruten'!$B$43</f>
        <v>26.237416535029798</v>
      </c>
      <c r="N47">
        <f>M47/'Data Kystruten'!$B$17</f>
        <v>0.78720121617251126</v>
      </c>
      <c r="O47">
        <f t="shared" si="13"/>
        <v>-1.9554284640039596</v>
      </c>
      <c r="Q47" s="44">
        <v>0</v>
      </c>
      <c r="R47" s="44">
        <f t="shared" si="4"/>
        <v>0</v>
      </c>
      <c r="W47">
        <f t="shared" si="8"/>
        <v>1.9554284640039596</v>
      </c>
      <c r="X47">
        <f t="shared" si="16"/>
        <v>0.78720121617251126</v>
      </c>
      <c r="Y47">
        <f>(X47*'Data Kystruten'!$B$43*'Data Kystruten'!$B$17)/'Data Kystruten'!$B$42</f>
        <v>29.320312977895792</v>
      </c>
      <c r="Z47">
        <f>(Y47*3.6)/'Data Kystruten'!$B$10</f>
        <v>2.1410370531526342</v>
      </c>
      <c r="AA47" s="54">
        <f t="shared" si="15"/>
        <v>0.32087856871936316</v>
      </c>
      <c r="AB47" s="44">
        <f t="shared" si="1"/>
        <v>4.8029456318784325</v>
      </c>
    </row>
    <row r="48" spans="1:28">
      <c r="A48" s="38"/>
      <c r="B48" s="39" t="s">
        <v>124</v>
      </c>
      <c r="C48" s="39" t="s">
        <v>98</v>
      </c>
      <c r="D48" s="41">
        <v>0.59375</v>
      </c>
      <c r="E48" s="41">
        <v>0.77083333333333337</v>
      </c>
      <c r="F48" s="42">
        <f t="shared" si="2"/>
        <v>4.2500000000000009</v>
      </c>
      <c r="G48" s="42"/>
      <c r="H48" s="42">
        <f>F48-('Data Kystruten'!$B$51*2)</f>
        <v>3.2500000000000009</v>
      </c>
      <c r="J48" s="43"/>
      <c r="K48" s="44"/>
      <c r="L48" s="45">
        <f>(F48+G48)*('Data Kystruten'!$B$3+'Data Kystruten'!$B$4)</f>
        <v>14.875000000000004</v>
      </c>
      <c r="M48" s="44">
        <f>L48/'Data Kystruten'!$B$43</f>
        <v>40.548734645046068</v>
      </c>
      <c r="N48" s="44">
        <f>M48/'Data Kystruten'!$B$17</f>
        <v>1.2165836977211542</v>
      </c>
      <c r="O48" s="44">
        <f>O32</f>
        <v>4.7</v>
      </c>
      <c r="P48" s="44">
        <f>O48+N48</f>
        <v>5.9165836977211548</v>
      </c>
      <c r="Q48" s="44">
        <f t="shared" si="0"/>
        <v>4.7</v>
      </c>
      <c r="R48" s="44">
        <f t="shared" si="4"/>
        <v>100</v>
      </c>
      <c r="S48" s="44"/>
      <c r="T48" s="44"/>
      <c r="U48" s="44"/>
      <c r="V48" s="44"/>
      <c r="W48" s="44"/>
      <c r="X48" s="44"/>
      <c r="Y48" s="44">
        <f>(X48*'Data Kystruten'!$B$43*'Data Kystruten'!$B$17)/'Data Kystruten'!$B$42</f>
        <v>0</v>
      </c>
      <c r="Z48" s="44">
        <f>(Y48*3.6)/'Data Kystruten'!$B$10</f>
        <v>0</v>
      </c>
      <c r="AA48" s="44">
        <f>AA32</f>
        <v>6.6808703098699773</v>
      </c>
      <c r="AB48" s="44">
        <f t="shared" si="1"/>
        <v>100</v>
      </c>
    </row>
    <row r="49" spans="1:28">
      <c r="A49" s="35"/>
      <c r="B49" s="24"/>
      <c r="C49" s="24"/>
      <c r="D49" s="31"/>
      <c r="E49" s="31"/>
      <c r="F49" s="32"/>
      <c r="G49" s="32">
        <f t="shared" si="6"/>
        <v>3.9999999999999991</v>
      </c>
      <c r="H49" s="90"/>
      <c r="J49" s="36"/>
      <c r="L49" s="23">
        <f>(F49+G49)*('Data Kystruten'!$B$3+'Data Kystruten'!$B$4)</f>
        <v>13.999999999999996</v>
      </c>
      <c r="M49">
        <f>L49/'Data Kystruten'!$B$43</f>
        <v>38.163514960043344</v>
      </c>
      <c r="N49">
        <f>M49/'Data Kystruten'!$B$17</f>
        <v>1.1450199507963801</v>
      </c>
      <c r="O49">
        <f>O48-N49</f>
        <v>3.5549800492036203</v>
      </c>
      <c r="Q49" s="44">
        <f t="shared" si="0"/>
        <v>3.5549800492036203</v>
      </c>
      <c r="R49" s="44">
        <f t="shared" si="4"/>
        <v>75.637873387311075</v>
      </c>
      <c r="Y49">
        <f>(X49*'Data Kystruten'!$B$43*'Data Kystruten'!$B$17)/'Data Kystruten'!$B$42</f>
        <v>0</v>
      </c>
      <c r="Z49">
        <f>(Y49*3.6)/'Data Kystruten'!$B$10</f>
        <v>0</v>
      </c>
      <c r="AA49" s="54">
        <f t="shared" ref="AA49:AA56" si="17">AA33</f>
        <v>6.6808703098699773</v>
      </c>
      <c r="AB49" s="44">
        <f t="shared" si="1"/>
        <v>100</v>
      </c>
    </row>
    <row r="50" spans="1:28">
      <c r="A50" s="35"/>
      <c r="B50" s="24" t="s">
        <v>125</v>
      </c>
      <c r="C50" s="24"/>
      <c r="D50" s="31">
        <v>0.9375</v>
      </c>
      <c r="E50" s="31">
        <v>0.94791666666666663</v>
      </c>
      <c r="F50" s="32">
        <f t="shared" si="2"/>
        <v>0.24999999999999911</v>
      </c>
      <c r="G50" s="32"/>
      <c r="H50" s="90">
        <v>0</v>
      </c>
      <c r="J50" s="36"/>
      <c r="L50" s="23">
        <f>(F50+G50)*('Data Kystruten'!$B$3+'Data Kystruten'!$B$4)</f>
        <v>0.87499999999999689</v>
      </c>
      <c r="M50">
        <f>L50/'Data Kystruten'!$B$43</f>
        <v>2.385219685002701</v>
      </c>
      <c r="N50">
        <f>M50/'Data Kystruten'!$B$17</f>
        <v>7.1563746924773505E-2</v>
      </c>
      <c r="O50">
        <f t="shared" ref="O50:O57" si="18">O49-N50</f>
        <v>3.4834163022788469</v>
      </c>
      <c r="Q50" s="44">
        <f t="shared" si="0"/>
        <v>3.4834163022788469</v>
      </c>
      <c r="R50" s="44">
        <f t="shared" si="4"/>
        <v>74.115240474018023</v>
      </c>
      <c r="Y50">
        <f>(X50*'Data Kystruten'!$B$43*'Data Kystruten'!$B$17)/'Data Kystruten'!$B$42</f>
        <v>0</v>
      </c>
      <c r="Z50">
        <f>(Y50*3.6)/'Data Kystruten'!$B$10</f>
        <v>0</v>
      </c>
      <c r="AA50" s="54">
        <f t="shared" si="17"/>
        <v>6.6808703098699773</v>
      </c>
      <c r="AB50" s="44">
        <f t="shared" si="1"/>
        <v>100</v>
      </c>
    </row>
    <row r="51" spans="1:28">
      <c r="A51" s="35"/>
      <c r="B51" s="24"/>
      <c r="C51" s="24"/>
      <c r="D51" s="31"/>
      <c r="E51" s="31"/>
      <c r="F51" s="32"/>
      <c r="G51" s="32">
        <v>3.25</v>
      </c>
      <c r="H51" s="90"/>
      <c r="J51" s="36"/>
      <c r="L51" s="23">
        <f>(F51+G51)*('Data Kystruten'!$B$3+'Data Kystruten'!$B$4)</f>
        <v>11.375</v>
      </c>
      <c r="M51">
        <f>L51/'Data Kystruten'!$B$43</f>
        <v>31.007855905035221</v>
      </c>
      <c r="N51">
        <f>M51/'Data Kystruten'!$B$17</f>
        <v>0.93032871002205886</v>
      </c>
      <c r="O51">
        <f t="shared" si="18"/>
        <v>2.5530875922567882</v>
      </c>
      <c r="Q51" s="44">
        <f t="shared" si="0"/>
        <v>2.5530875922567882</v>
      </c>
      <c r="R51" s="44">
        <f t="shared" si="4"/>
        <v>54.321012601208253</v>
      </c>
      <c r="Y51">
        <f>(X51*'Data Kystruten'!$B$43*'Data Kystruten'!$B$17)/'Data Kystruten'!$B$42</f>
        <v>0</v>
      </c>
      <c r="Z51">
        <f>(Y51*3.6)/'Data Kystruten'!$B$10</f>
        <v>0</v>
      </c>
      <c r="AA51" s="54">
        <f t="shared" si="17"/>
        <v>6.6808703098699773</v>
      </c>
      <c r="AB51" s="44">
        <f t="shared" si="1"/>
        <v>100</v>
      </c>
    </row>
    <row r="52" spans="1:28">
      <c r="A52" s="35" t="s">
        <v>126</v>
      </c>
      <c r="B52" s="24" t="s">
        <v>127</v>
      </c>
      <c r="C52" s="24"/>
      <c r="D52" s="31">
        <v>8.3333333333333329E-2</v>
      </c>
      <c r="E52" s="31">
        <v>9.375E-2</v>
      </c>
      <c r="F52" s="32">
        <f t="shared" si="2"/>
        <v>0.25000000000000011</v>
      </c>
      <c r="G52" s="32"/>
      <c r="H52" s="90">
        <v>0</v>
      </c>
      <c r="J52" s="36"/>
      <c r="L52" s="23">
        <f>(F52+G52)*('Data Kystruten'!$B$3+'Data Kystruten'!$B$4)</f>
        <v>0.87500000000000044</v>
      </c>
      <c r="M52">
        <f>L52/'Data Kystruten'!$B$43</f>
        <v>2.3852196850027108</v>
      </c>
      <c r="N52">
        <f>M52/'Data Kystruten'!$B$17</f>
        <v>7.1563746924773811E-2</v>
      </c>
      <c r="O52">
        <f t="shared" si="18"/>
        <v>2.4815238453320143</v>
      </c>
      <c r="Q52" s="44">
        <f t="shared" si="0"/>
        <v>2.4815238453320143</v>
      </c>
      <c r="R52" s="44">
        <f t="shared" si="4"/>
        <v>52.798379687915201</v>
      </c>
      <c r="Y52">
        <f>(X52*'Data Kystruten'!$B$43*'Data Kystruten'!$B$17)/'Data Kystruten'!$B$42</f>
        <v>0</v>
      </c>
      <c r="Z52">
        <f>(Y52*3.6)/'Data Kystruten'!$B$10</f>
        <v>0</v>
      </c>
      <c r="AA52" s="54">
        <f t="shared" si="17"/>
        <v>6.6808703098699773</v>
      </c>
      <c r="AB52" s="44">
        <f t="shared" si="1"/>
        <v>100</v>
      </c>
    </row>
    <row r="53" spans="1:28">
      <c r="A53" s="35"/>
      <c r="B53" s="24"/>
      <c r="C53" s="24"/>
      <c r="D53" s="31"/>
      <c r="E53" s="31"/>
      <c r="F53" s="32"/>
      <c r="G53" s="32">
        <f t="shared" si="6"/>
        <v>3</v>
      </c>
      <c r="H53" s="90"/>
      <c r="J53" s="36"/>
      <c r="L53" s="23">
        <f>(F53+G53)*('Data Kystruten'!$B$3+'Data Kystruten'!$B$4)</f>
        <v>10.5</v>
      </c>
      <c r="M53">
        <f>L53/'Data Kystruten'!$B$43</f>
        <v>28.622636220032511</v>
      </c>
      <c r="N53">
        <f>M53/'Data Kystruten'!$B$17</f>
        <v>0.85876496309728512</v>
      </c>
      <c r="O53">
        <f t="shared" si="18"/>
        <v>1.6227588822347292</v>
      </c>
      <c r="Q53" s="44">
        <f t="shared" si="0"/>
        <v>1.6227588822347292</v>
      </c>
      <c r="R53" s="44">
        <f t="shared" si="4"/>
        <v>34.526784728398489</v>
      </c>
      <c r="Y53">
        <f>(X53*'Data Kystruten'!$B$43*'Data Kystruten'!$B$17)/'Data Kystruten'!$B$42</f>
        <v>0</v>
      </c>
      <c r="Z53">
        <f>(Y53*3.6)/'Data Kystruten'!$B$10</f>
        <v>0</v>
      </c>
      <c r="AA53" s="54">
        <f t="shared" si="17"/>
        <v>6.6808703098699773</v>
      </c>
      <c r="AB53" s="44">
        <f t="shared" si="1"/>
        <v>100</v>
      </c>
    </row>
    <row r="54" spans="1:28">
      <c r="A54" s="35"/>
      <c r="B54" s="24" t="s">
        <v>128</v>
      </c>
      <c r="C54" s="24"/>
      <c r="D54" s="31">
        <v>0.21875</v>
      </c>
      <c r="E54" s="31">
        <v>0.25</v>
      </c>
      <c r="F54" s="32">
        <f t="shared" si="2"/>
        <v>0.75</v>
      </c>
      <c r="G54" s="32"/>
      <c r="H54" s="90">
        <v>0</v>
      </c>
      <c r="J54" s="36"/>
      <c r="L54" s="23">
        <f>(F54+G54)*('Data Kystruten'!$B$3+'Data Kystruten'!$B$4)</f>
        <v>2.625</v>
      </c>
      <c r="M54">
        <f>L54/'Data Kystruten'!$B$43</f>
        <v>7.1556590550081278</v>
      </c>
      <c r="N54">
        <f>M54/'Data Kystruten'!$B$17</f>
        <v>0.21469124077432128</v>
      </c>
      <c r="O54">
        <f t="shared" si="18"/>
        <v>1.4080676414604079</v>
      </c>
      <c r="Q54" s="44">
        <f t="shared" si="0"/>
        <v>1.4080676414604079</v>
      </c>
      <c r="R54" s="44">
        <f t="shared" si="4"/>
        <v>29.958885988519313</v>
      </c>
      <c r="Y54">
        <f>(X54*'Data Kystruten'!$B$43*'Data Kystruten'!$B$17)/'Data Kystruten'!$B$42</f>
        <v>0</v>
      </c>
      <c r="Z54">
        <f>(Y54*3.6)/'Data Kystruten'!$B$10</f>
        <v>0</v>
      </c>
      <c r="AA54" s="54">
        <f t="shared" si="17"/>
        <v>6.6808703098699773</v>
      </c>
      <c r="AB54" s="44">
        <f t="shared" si="1"/>
        <v>100</v>
      </c>
    </row>
    <row r="55" spans="1:28">
      <c r="A55" s="35"/>
      <c r="B55" s="24"/>
      <c r="C55" s="24"/>
      <c r="D55" s="31"/>
      <c r="E55" s="31"/>
      <c r="F55" s="32"/>
      <c r="G55" s="32">
        <f t="shared" si="6"/>
        <v>2.7499999999999996</v>
      </c>
      <c r="H55" s="90"/>
      <c r="J55" s="36"/>
      <c r="L55" s="23">
        <f>(F55+G55)*('Data Kystruten'!$B$3+'Data Kystruten'!$B$4)</f>
        <v>9.6249999999999982</v>
      </c>
      <c r="M55">
        <f>L55/'Data Kystruten'!$B$43</f>
        <v>26.237416535029798</v>
      </c>
      <c r="N55">
        <f>M55/'Data Kystruten'!$B$17</f>
        <v>0.78720121617251126</v>
      </c>
      <c r="O55">
        <f t="shared" si="18"/>
        <v>0.6208664252878966</v>
      </c>
      <c r="Q55" s="44">
        <f t="shared" si="0"/>
        <v>0.6208664252878966</v>
      </c>
      <c r="R55" s="44">
        <f t="shared" si="4"/>
        <v>13.209923942295671</v>
      </c>
      <c r="Y55">
        <f>(X55*'Data Kystruten'!$B$43*'Data Kystruten'!$B$17)/'Data Kystruten'!$B$42</f>
        <v>0</v>
      </c>
      <c r="Z55">
        <f>(Y55*3.6)/'Data Kystruten'!$B$10</f>
        <v>0</v>
      </c>
      <c r="AA55" s="54">
        <f t="shared" si="17"/>
        <v>6.6808703098699773</v>
      </c>
      <c r="AB55" s="44">
        <f t="shared" si="1"/>
        <v>100</v>
      </c>
    </row>
    <row r="56" spans="1:28">
      <c r="A56" s="35"/>
      <c r="B56" s="24" t="s">
        <v>129</v>
      </c>
      <c r="C56" s="24"/>
      <c r="D56" s="31">
        <v>0.36458333333333331</v>
      </c>
      <c r="E56" s="31">
        <v>0.38541666666666669</v>
      </c>
      <c r="F56" s="32">
        <f t="shared" si="2"/>
        <v>0.50000000000000089</v>
      </c>
      <c r="G56" s="32"/>
      <c r="H56" s="90">
        <v>0</v>
      </c>
      <c r="J56" s="36"/>
      <c r="L56" s="23">
        <f>(F56+G56)*('Data Kystruten'!$B$3+'Data Kystruten'!$B$4)</f>
        <v>1.7500000000000031</v>
      </c>
      <c r="M56">
        <f>L56/'Data Kystruten'!$B$43</f>
        <v>4.7704393700054268</v>
      </c>
      <c r="N56">
        <f>M56/'Data Kystruten'!$B$17</f>
        <v>0.14312749384954776</v>
      </c>
      <c r="O56">
        <f t="shared" si="18"/>
        <v>0.47773893143834884</v>
      </c>
      <c r="Q56" s="44">
        <f t="shared" si="0"/>
        <v>0.47773893143834884</v>
      </c>
      <c r="R56" s="44">
        <f t="shared" si="4"/>
        <v>10.16465811570955</v>
      </c>
      <c r="Y56">
        <f>(X56*'Data Kystruten'!$B$43*'Data Kystruten'!$B$17)/'Data Kystruten'!$B$42</f>
        <v>0</v>
      </c>
      <c r="Z56">
        <f>(Y56*3.6)/'Data Kystruten'!$B$10</f>
        <v>0</v>
      </c>
      <c r="AA56" s="54">
        <f t="shared" si="17"/>
        <v>6.6808703098699773</v>
      </c>
      <c r="AB56" s="44">
        <f t="shared" si="1"/>
        <v>100</v>
      </c>
    </row>
    <row r="57" spans="1:28">
      <c r="A57" s="35"/>
      <c r="B57" s="24"/>
      <c r="C57" s="24"/>
      <c r="D57" s="31"/>
      <c r="E57" s="31"/>
      <c r="F57" s="32"/>
      <c r="G57" s="32">
        <f t="shared" si="6"/>
        <v>1.9999999999999996</v>
      </c>
      <c r="H57" s="90"/>
      <c r="J57" s="36"/>
      <c r="L57" s="23">
        <f>(F57+G57)*('Data Kystruten'!$B$3+'Data Kystruten'!$B$4)</f>
        <v>6.9999999999999982</v>
      </c>
      <c r="M57">
        <f>L57/'Data Kystruten'!$B$43</f>
        <v>19.081757480021672</v>
      </c>
      <c r="N57">
        <f>M57/'Data Kystruten'!$B$17</f>
        <v>0.57250997539819004</v>
      </c>
      <c r="O57">
        <f t="shared" si="18"/>
        <v>-9.4771043959841206E-2</v>
      </c>
      <c r="Q57" s="44">
        <v>0</v>
      </c>
      <c r="R57" s="44">
        <f t="shared" si="4"/>
        <v>0</v>
      </c>
      <c r="W57">
        <f t="shared" si="8"/>
        <v>9.4771043959841206E-2</v>
      </c>
      <c r="X57">
        <f>W57</f>
        <v>9.4771043959841206E-2</v>
      </c>
      <c r="Y57">
        <f>(X57*'Data Kystruten'!$B$43*'Data Kystruten'!$B$17)/'Data Kystruten'!$B$42</f>
        <v>3.5298683653653331</v>
      </c>
      <c r="Z57">
        <f>(Y57*3.6)/'Data Kystruten'!$B$10</f>
        <v>0.25775915041207303</v>
      </c>
      <c r="AA57" s="54">
        <f>AA56-Z57</f>
        <v>6.4231111594579042</v>
      </c>
      <c r="AB57" s="44">
        <f t="shared" si="1"/>
        <v>96.14183274847781</v>
      </c>
    </row>
    <row r="58" spans="1:28">
      <c r="A58" s="38"/>
      <c r="B58" s="39" t="s">
        <v>130</v>
      </c>
      <c r="C58" s="39" t="s">
        <v>98</v>
      </c>
      <c r="D58" s="41">
        <v>0.46875</v>
      </c>
      <c r="E58" s="41">
        <v>0.61458333333333337</v>
      </c>
      <c r="F58" s="42">
        <f t="shared" si="2"/>
        <v>3.5000000000000009</v>
      </c>
      <c r="G58" s="42"/>
      <c r="H58" s="42">
        <f>F58-('Data Kystruten'!$B$51*2)</f>
        <v>2.5000000000000009</v>
      </c>
      <c r="J58" s="43"/>
      <c r="K58" s="44"/>
      <c r="L58" s="45">
        <f>(F58+G58)*('Data Kystruten'!$B$3+'Data Kystruten'!$B$4)</f>
        <v>12.250000000000004</v>
      </c>
      <c r="M58" s="44">
        <f>L58/'Data Kystruten'!$B$43</f>
        <v>33.393075590037938</v>
      </c>
      <c r="N58" s="44">
        <f>M58/'Data Kystruten'!$B$17</f>
        <v>1.0018924569468328</v>
      </c>
      <c r="O58" s="44">
        <f>O48</f>
        <v>4.7</v>
      </c>
      <c r="P58" s="44">
        <f>O58+N58</f>
        <v>5.7018924569468332</v>
      </c>
      <c r="Q58" s="44">
        <f t="shared" si="0"/>
        <v>4.7</v>
      </c>
      <c r="R58" s="44">
        <f t="shared" si="4"/>
        <v>100</v>
      </c>
      <c r="S58" s="44"/>
      <c r="T58" s="44"/>
      <c r="U58" s="44"/>
      <c r="V58" s="44"/>
      <c r="W58" s="44"/>
      <c r="X58" s="44"/>
      <c r="Y58" s="44">
        <f>(X58*'Data Kystruten'!$B$43*'Data Kystruten'!$B$17)/'Data Kystruten'!$B$42</f>
        <v>0</v>
      </c>
      <c r="Z58" s="44">
        <f>(Y58*3.6)/'Data Kystruten'!$B$10</f>
        <v>0</v>
      </c>
      <c r="AA58" s="44">
        <f>AA48</f>
        <v>6.6808703098699773</v>
      </c>
      <c r="AB58" s="44">
        <f t="shared" si="1"/>
        <v>100</v>
      </c>
    </row>
    <row r="59" spans="1:28">
      <c r="A59" s="35"/>
      <c r="B59" s="24"/>
      <c r="C59" s="24"/>
      <c r="D59" s="31"/>
      <c r="E59" s="31"/>
      <c r="F59" s="32"/>
      <c r="G59" s="32">
        <f t="shared" si="6"/>
        <v>2.25</v>
      </c>
      <c r="H59" s="90"/>
      <c r="J59" s="36"/>
      <c r="L59" s="23">
        <f>(F59+G59)*('Data Kystruten'!$B$3+'Data Kystruten'!$B$4)</f>
        <v>7.875</v>
      </c>
      <c r="M59">
        <f>L59/'Data Kystruten'!$B$43</f>
        <v>21.466977165024385</v>
      </c>
      <c r="N59">
        <f>M59/'Data Kystruten'!$B$17</f>
        <v>0.64407372232296389</v>
      </c>
      <c r="O59">
        <f>O58-N59</f>
        <v>4.0559262776770364</v>
      </c>
      <c r="Q59" s="44">
        <f t="shared" si="0"/>
        <v>4.0559262776770364</v>
      </c>
      <c r="R59" s="44">
        <f t="shared" si="4"/>
        <v>86.296303780362464</v>
      </c>
      <c r="Y59">
        <f>(X59*'Data Kystruten'!$B$43*'Data Kystruten'!$B$17)/'Data Kystruten'!$B$42</f>
        <v>0</v>
      </c>
      <c r="Z59">
        <f>(Y59*3.6)/'Data Kystruten'!$B$10</f>
        <v>0</v>
      </c>
      <c r="AA59">
        <f>AA58</f>
        <v>6.6808703098699773</v>
      </c>
      <c r="AB59" s="44">
        <f t="shared" si="1"/>
        <v>100</v>
      </c>
    </row>
    <row r="60" spans="1:28">
      <c r="A60" s="35"/>
      <c r="B60" s="24" t="s">
        <v>131</v>
      </c>
      <c r="C60" s="24"/>
      <c r="D60" s="31">
        <v>0.70833333333333337</v>
      </c>
      <c r="E60" s="31">
        <v>0.71875</v>
      </c>
      <c r="F60" s="32">
        <f t="shared" si="2"/>
        <v>0.24999999999999911</v>
      </c>
      <c r="G60" s="32"/>
      <c r="H60" s="90">
        <v>0</v>
      </c>
      <c r="J60" s="36"/>
      <c r="L60" s="23">
        <f>(F60+G60)*('Data Kystruten'!$B$3+'Data Kystruten'!$B$4)</f>
        <v>0.87499999999999689</v>
      </c>
      <c r="M60">
        <f>L60/'Data Kystruten'!$B$43</f>
        <v>2.385219685002701</v>
      </c>
      <c r="N60">
        <f>M60/'Data Kystruten'!$B$17</f>
        <v>7.1563746924773505E-2</v>
      </c>
      <c r="O60">
        <f t="shared" ref="O60:O71" si="19">O59-N60</f>
        <v>3.984362530752263</v>
      </c>
      <c r="Q60" s="44">
        <f t="shared" si="0"/>
        <v>3.984362530752263</v>
      </c>
      <c r="R60" s="44">
        <f t="shared" si="4"/>
        <v>84.773670867069413</v>
      </c>
      <c r="Y60">
        <f>(X60*'Data Kystruten'!$B$43*'Data Kystruten'!$B$17)/'Data Kystruten'!$B$42</f>
        <v>0</v>
      </c>
      <c r="Z60">
        <f>(Y60*3.6)/'Data Kystruten'!$B$10</f>
        <v>0</v>
      </c>
      <c r="AA60">
        <f t="shared" ref="AA60:AA68" si="20">AA59</f>
        <v>6.6808703098699773</v>
      </c>
      <c r="AB60" s="44">
        <f t="shared" si="1"/>
        <v>100</v>
      </c>
    </row>
    <row r="61" spans="1:28">
      <c r="A61" s="35"/>
      <c r="B61" s="24"/>
      <c r="C61" s="24"/>
      <c r="D61" s="31"/>
      <c r="E61" s="31"/>
      <c r="F61" s="32"/>
      <c r="G61" s="32">
        <f t="shared" si="6"/>
        <v>2.0000000000000009</v>
      </c>
      <c r="H61" s="90"/>
      <c r="J61" s="36"/>
      <c r="L61" s="23">
        <f>(F61+G61)*('Data Kystruten'!$B$3+'Data Kystruten'!$B$4)</f>
        <v>7.0000000000000036</v>
      </c>
      <c r="M61">
        <f>L61/'Data Kystruten'!$B$43</f>
        <v>19.081757480021686</v>
      </c>
      <c r="N61">
        <f>M61/'Data Kystruten'!$B$17</f>
        <v>0.57250997539819048</v>
      </c>
      <c r="O61">
        <f t="shared" si="19"/>
        <v>3.4118525553540726</v>
      </c>
      <c r="Q61" s="44">
        <f t="shared" si="0"/>
        <v>3.4118525553540726</v>
      </c>
      <c r="R61" s="44">
        <f t="shared" si="4"/>
        <v>72.592607560724943</v>
      </c>
      <c r="Y61">
        <f>(X61*'Data Kystruten'!$B$43*'Data Kystruten'!$B$17)/'Data Kystruten'!$B$42</f>
        <v>0</v>
      </c>
      <c r="Z61">
        <f>(Y61*3.6)/'Data Kystruten'!$B$10</f>
        <v>0</v>
      </c>
      <c r="AA61">
        <f t="shared" si="20"/>
        <v>6.6808703098699773</v>
      </c>
      <c r="AB61" s="44">
        <f t="shared" si="1"/>
        <v>100</v>
      </c>
    </row>
    <row r="62" spans="1:28">
      <c r="A62" s="35"/>
      <c r="B62" s="24" t="s">
        <v>132</v>
      </c>
      <c r="C62" s="24"/>
      <c r="D62" s="31">
        <v>0.80208333333333337</v>
      </c>
      <c r="E62" s="31">
        <v>0.8125</v>
      </c>
      <c r="F62" s="32">
        <f t="shared" si="2"/>
        <v>0.24999999999999911</v>
      </c>
      <c r="G62" s="32"/>
      <c r="H62" s="90">
        <v>0</v>
      </c>
      <c r="J62" s="36"/>
      <c r="L62" s="23">
        <f>(F62+G62)*('Data Kystruten'!$B$3+'Data Kystruten'!$B$4)</f>
        <v>0.87499999999999689</v>
      </c>
      <c r="M62">
        <f>L62/'Data Kystruten'!$B$43</f>
        <v>2.385219685002701</v>
      </c>
      <c r="N62">
        <f>M62/'Data Kystruten'!$B$17</f>
        <v>7.1563746924773505E-2</v>
      </c>
      <c r="O62">
        <f t="shared" si="19"/>
        <v>3.3402888084292992</v>
      </c>
      <c r="Q62" s="44">
        <f t="shared" si="0"/>
        <v>3.3402888084292992</v>
      </c>
      <c r="R62" s="44">
        <f t="shared" si="4"/>
        <v>71.069974647431906</v>
      </c>
      <c r="Y62">
        <f>(X62*'Data Kystruten'!$B$43*'Data Kystruten'!$B$17)/'Data Kystruten'!$B$42</f>
        <v>0</v>
      </c>
      <c r="Z62">
        <f>(Y62*3.6)/'Data Kystruten'!$B$10</f>
        <v>0</v>
      </c>
      <c r="AA62">
        <f t="shared" si="20"/>
        <v>6.6808703098699773</v>
      </c>
      <c r="AB62" s="44">
        <f t="shared" si="1"/>
        <v>100</v>
      </c>
    </row>
    <row r="63" spans="1:28">
      <c r="A63" s="35"/>
      <c r="B63" s="24"/>
      <c r="C63" s="24"/>
      <c r="D63" s="31"/>
      <c r="E63" s="31"/>
      <c r="F63" s="32"/>
      <c r="G63" s="32">
        <f t="shared" si="6"/>
        <v>2.4999999999999991</v>
      </c>
      <c r="H63" s="90"/>
      <c r="J63" s="36"/>
      <c r="L63" s="23">
        <f>(F63+G63)*('Data Kystruten'!$B$3+'Data Kystruten'!$B$4)</f>
        <v>8.7499999999999964</v>
      </c>
      <c r="M63">
        <f>L63/'Data Kystruten'!$B$43</f>
        <v>23.852196850027084</v>
      </c>
      <c r="N63">
        <f>M63/'Data Kystruten'!$B$17</f>
        <v>0.7156374692477373</v>
      </c>
      <c r="O63">
        <f t="shared" si="19"/>
        <v>2.624651339181562</v>
      </c>
      <c r="Q63" s="44">
        <f t="shared" si="0"/>
        <v>2.624651339181562</v>
      </c>
      <c r="R63" s="44">
        <f t="shared" si="4"/>
        <v>55.843645514501318</v>
      </c>
      <c r="Y63">
        <f>(X63*'Data Kystruten'!$B$43*'Data Kystruten'!$B$17)/'Data Kystruten'!$B$42</f>
        <v>0</v>
      </c>
      <c r="Z63">
        <f>(Y63*3.6)/'Data Kystruten'!$B$10</f>
        <v>0</v>
      </c>
      <c r="AA63">
        <f t="shared" si="20"/>
        <v>6.6808703098699773</v>
      </c>
      <c r="AB63" s="44">
        <f t="shared" si="1"/>
        <v>100</v>
      </c>
    </row>
    <row r="64" spans="1:28">
      <c r="A64" s="35"/>
      <c r="B64" s="24" t="s">
        <v>133</v>
      </c>
      <c r="C64" s="24"/>
      <c r="D64" s="31">
        <v>0.91666666666666663</v>
      </c>
      <c r="E64" s="31">
        <v>0.92708333333333337</v>
      </c>
      <c r="F64" s="32">
        <f t="shared" si="2"/>
        <v>0.25000000000000178</v>
      </c>
      <c r="G64" s="32"/>
      <c r="H64" s="90">
        <v>0</v>
      </c>
      <c r="J64" s="36"/>
      <c r="L64" s="23">
        <f>(F64+G64)*('Data Kystruten'!$B$3+'Data Kystruten'!$B$4)</f>
        <v>0.87500000000000622</v>
      </c>
      <c r="M64">
        <f>L64/'Data Kystruten'!$B$43</f>
        <v>2.3852196850027263</v>
      </c>
      <c r="N64">
        <f>M64/'Data Kystruten'!$B$17</f>
        <v>7.1563746924774269E-2</v>
      </c>
      <c r="O64">
        <f t="shared" si="19"/>
        <v>2.5530875922567877</v>
      </c>
      <c r="Q64" s="44">
        <f t="shared" si="0"/>
        <v>2.5530875922567877</v>
      </c>
      <c r="R64" s="44">
        <f t="shared" si="4"/>
        <v>54.321012601208253</v>
      </c>
      <c r="Y64">
        <f>(X64*'Data Kystruten'!$B$43*'Data Kystruten'!$B$17)/'Data Kystruten'!$B$42</f>
        <v>0</v>
      </c>
      <c r="Z64">
        <f>(Y64*3.6)/'Data Kystruten'!$B$10</f>
        <v>0</v>
      </c>
      <c r="AA64">
        <f t="shared" si="20"/>
        <v>6.6808703098699773</v>
      </c>
      <c r="AB64" s="44">
        <f t="shared" si="1"/>
        <v>100</v>
      </c>
    </row>
    <row r="65" spans="1:28">
      <c r="A65" s="35"/>
      <c r="B65" s="24"/>
      <c r="C65" s="24"/>
      <c r="D65" s="31"/>
      <c r="E65" s="31"/>
      <c r="F65" s="32"/>
      <c r="G65" s="32">
        <v>1.75</v>
      </c>
      <c r="H65" s="90"/>
      <c r="J65" s="36"/>
      <c r="L65" s="23">
        <f>(F65+G65)*('Data Kystruten'!$B$3+'Data Kystruten'!$B$4)</f>
        <v>6.125</v>
      </c>
      <c r="M65">
        <f>L65/'Data Kystruten'!$B$43</f>
        <v>16.696537795018966</v>
      </c>
      <c r="N65">
        <f>M65/'Data Kystruten'!$B$17</f>
        <v>0.5009462284734163</v>
      </c>
      <c r="O65">
        <f t="shared" si="19"/>
        <v>2.0521413637833712</v>
      </c>
      <c r="Q65" s="44">
        <f t="shared" si="0"/>
        <v>2.0521413637833712</v>
      </c>
      <c r="R65" s="44">
        <f t="shared" si="4"/>
        <v>43.662582208156827</v>
      </c>
      <c r="Y65">
        <f>(X65*'Data Kystruten'!$B$43*'Data Kystruten'!$B$17)/'Data Kystruten'!$B$42</f>
        <v>0</v>
      </c>
      <c r="Z65">
        <f>(Y65*3.6)/'Data Kystruten'!$B$10</f>
        <v>0</v>
      </c>
      <c r="AA65">
        <f t="shared" si="20"/>
        <v>6.6808703098699773</v>
      </c>
      <c r="AB65" s="44">
        <f t="shared" si="1"/>
        <v>100</v>
      </c>
    </row>
    <row r="66" spans="1:28">
      <c r="A66" s="35" t="s">
        <v>134</v>
      </c>
      <c r="B66" s="24" t="s">
        <v>135</v>
      </c>
      <c r="C66" s="24"/>
      <c r="D66" s="31">
        <v>0</v>
      </c>
      <c r="E66" s="31">
        <v>1.0416666666666666E-2</v>
      </c>
      <c r="F66" s="32">
        <f t="shared" si="2"/>
        <v>0.25</v>
      </c>
      <c r="G66" s="32"/>
      <c r="H66" s="90">
        <v>0</v>
      </c>
      <c r="J66" s="36"/>
      <c r="L66" s="23">
        <f>(F66+G66)*('Data Kystruten'!$B$3+'Data Kystruten'!$B$4)</f>
        <v>0.875</v>
      </c>
      <c r="M66">
        <f>L66/'Data Kystruten'!$B$43</f>
        <v>2.3852196850027094</v>
      </c>
      <c r="N66">
        <f>M66/'Data Kystruten'!$B$17</f>
        <v>7.1563746924773769E-2</v>
      </c>
      <c r="O66">
        <f t="shared" si="19"/>
        <v>1.9805776168585973</v>
      </c>
      <c r="Q66" s="44">
        <f t="shared" si="0"/>
        <v>1.9805776168585973</v>
      </c>
      <c r="R66" s="44">
        <f t="shared" si="4"/>
        <v>42.139949294863769</v>
      </c>
      <c r="Y66">
        <f>(X66*'Data Kystruten'!$B$43*'Data Kystruten'!$B$17)/'Data Kystruten'!$B$42</f>
        <v>0</v>
      </c>
      <c r="Z66">
        <f>(Y66*3.6)/'Data Kystruten'!$B$10</f>
        <v>0</v>
      </c>
      <c r="AA66">
        <f t="shared" si="20"/>
        <v>6.6808703098699773</v>
      </c>
      <c r="AB66" s="44">
        <f t="shared" si="1"/>
        <v>100</v>
      </c>
    </row>
    <row r="67" spans="1:28">
      <c r="A67" s="35"/>
      <c r="B67" s="24"/>
      <c r="C67" s="24"/>
      <c r="D67" s="31"/>
      <c r="E67" s="31"/>
      <c r="F67" s="32"/>
      <c r="G67" s="32">
        <f t="shared" si="6"/>
        <v>2.9999999999999996</v>
      </c>
      <c r="H67" s="90"/>
      <c r="J67" s="36"/>
      <c r="L67" s="23">
        <f>(F67+G67)*('Data Kystruten'!$B$3+'Data Kystruten'!$B$4)</f>
        <v>10.499999999999998</v>
      </c>
      <c r="M67">
        <f>L67/'Data Kystruten'!$B$43</f>
        <v>28.622636220032508</v>
      </c>
      <c r="N67">
        <f>M67/'Data Kystruten'!$B$17</f>
        <v>0.85876496309728501</v>
      </c>
      <c r="O67">
        <f t="shared" si="19"/>
        <v>1.1218126537613125</v>
      </c>
      <c r="Q67" s="44">
        <f t="shared" si="0"/>
        <v>1.1218126537613125</v>
      </c>
      <c r="R67" s="44">
        <f t="shared" si="4"/>
        <v>23.868354335347071</v>
      </c>
      <c r="Y67">
        <f>(X67*'Data Kystruten'!$B$43*'Data Kystruten'!$B$17)/'Data Kystruten'!$B$42</f>
        <v>0</v>
      </c>
      <c r="Z67">
        <f>(Y67*3.6)/'Data Kystruten'!$B$10</f>
        <v>0</v>
      </c>
      <c r="AA67">
        <f t="shared" si="20"/>
        <v>6.6808703098699773</v>
      </c>
      <c r="AB67" s="44">
        <f t="shared" si="1"/>
        <v>100</v>
      </c>
    </row>
    <row r="68" spans="1:28">
      <c r="A68" s="35"/>
      <c r="B68" s="24" t="s">
        <v>136</v>
      </c>
      <c r="C68" s="24"/>
      <c r="D68" s="31">
        <v>0.13541666666666666</v>
      </c>
      <c r="E68" s="31">
        <v>0.14583333333333334</v>
      </c>
      <c r="F68" s="32">
        <f t="shared" si="2"/>
        <v>0.25000000000000044</v>
      </c>
      <c r="G68" s="32"/>
      <c r="H68" s="90">
        <v>0</v>
      </c>
      <c r="J68" s="36"/>
      <c r="L68" s="23">
        <f>(F68+G68)*('Data Kystruten'!$B$3+'Data Kystruten'!$B$4)</f>
        <v>0.87500000000000155</v>
      </c>
      <c r="M68">
        <f>L68/'Data Kystruten'!$B$43</f>
        <v>2.3852196850027134</v>
      </c>
      <c r="N68">
        <f>M68/'Data Kystruten'!$B$17</f>
        <v>7.156374692477388E-2</v>
      </c>
      <c r="O68">
        <f t="shared" si="19"/>
        <v>1.0502489068365386</v>
      </c>
      <c r="Q68" s="44">
        <f t="shared" si="0"/>
        <v>1.0502489068365386</v>
      </c>
      <c r="R68" s="44">
        <f t="shared" si="4"/>
        <v>22.345721422054012</v>
      </c>
      <c r="Y68">
        <f>(X68*'Data Kystruten'!$B$43*'Data Kystruten'!$B$17)/'Data Kystruten'!$B$42</f>
        <v>0</v>
      </c>
      <c r="Z68">
        <f>(Y68*3.6)/'Data Kystruten'!$B$10</f>
        <v>0</v>
      </c>
      <c r="AA68">
        <f t="shared" si="20"/>
        <v>6.6808703098699773</v>
      </c>
      <c r="AB68" s="44">
        <f t="shared" si="1"/>
        <v>100</v>
      </c>
    </row>
    <row r="69" spans="1:28">
      <c r="A69" s="35"/>
      <c r="B69" s="24"/>
      <c r="C69" s="24"/>
      <c r="D69" s="31"/>
      <c r="E69" s="31"/>
      <c r="F69" s="32"/>
      <c r="G69" s="32">
        <f t="shared" si="6"/>
        <v>3.25</v>
      </c>
      <c r="H69" s="90"/>
      <c r="J69" s="36"/>
      <c r="L69" s="23">
        <f>(F69+G69)*('Data Kystruten'!$B$3+'Data Kystruten'!$B$4)</f>
        <v>11.375</v>
      </c>
      <c r="M69">
        <f>L69/'Data Kystruten'!$B$43</f>
        <v>31.007855905035221</v>
      </c>
      <c r="N69">
        <f>M69/'Data Kystruten'!$B$17</f>
        <v>0.93032871002205886</v>
      </c>
      <c r="O69">
        <f t="shared" si="19"/>
        <v>0.11992019681447974</v>
      </c>
      <c r="Q69" s="44">
        <v>0</v>
      </c>
      <c r="R69" s="44">
        <f t="shared" si="4"/>
        <v>0</v>
      </c>
      <c r="W69">
        <f t="shared" si="8"/>
        <v>-0.11992019681447974</v>
      </c>
      <c r="X69">
        <f>W69</f>
        <v>-0.11992019681447974</v>
      </c>
      <c r="Y69">
        <f>(X69*'Data Kystruten'!$B$43*'Data Kystruten'!$B$17)/'Data Kystruten'!$B$42</f>
        <v>-4.4665806286062351</v>
      </c>
      <c r="Z69">
        <f>(Y69*3.6)/'Data Kystruten'!$B$10</f>
        <v>-0.32616004590228087</v>
      </c>
      <c r="AA69">
        <f>AA68-Z69</f>
        <v>7.0070303557722582</v>
      </c>
      <c r="AB69" s="44">
        <f t="shared" si="1"/>
        <v>104.88199936197577</v>
      </c>
    </row>
    <row r="70" spans="1:28">
      <c r="A70" s="35"/>
      <c r="B70" s="24" t="s">
        <v>137</v>
      </c>
      <c r="C70" s="24"/>
      <c r="D70" s="31">
        <v>0.28125</v>
      </c>
      <c r="E70" s="31">
        <v>0.30208333333333331</v>
      </c>
      <c r="F70" s="32">
        <f t="shared" si="2"/>
        <v>0.49999999999999956</v>
      </c>
      <c r="G70" s="32"/>
      <c r="H70" s="90">
        <v>0</v>
      </c>
      <c r="J70" s="36"/>
      <c r="L70" s="23">
        <f>(F70+G70)*('Data Kystruten'!$B$3+'Data Kystruten'!$B$4)</f>
        <v>1.7499999999999984</v>
      </c>
      <c r="M70">
        <f>L70/'Data Kystruten'!$B$43</f>
        <v>4.7704393700054144</v>
      </c>
      <c r="N70">
        <f>M70/'Data Kystruten'!$B$17</f>
        <v>0.1431274938495474</v>
      </c>
      <c r="O70">
        <f t="shared" si="19"/>
        <v>-2.3207297035067659E-2</v>
      </c>
      <c r="Q70" s="44">
        <v>0</v>
      </c>
      <c r="R70" s="44">
        <f t="shared" si="4"/>
        <v>0</v>
      </c>
      <c r="W70">
        <f t="shared" si="8"/>
        <v>2.3207297035067659E-2</v>
      </c>
      <c r="X70">
        <f>W70-W69</f>
        <v>0.1431274938495474</v>
      </c>
      <c r="Y70">
        <f>(X70*'Data Kystruten'!$B$43*'Data Kystruten'!$B$17)/'Data Kystruten'!$B$42</f>
        <v>5.3309659959810496</v>
      </c>
      <c r="Z70">
        <f>(Y70*3.6)/'Data Kystruten'!$B$10</f>
        <v>0.38927946420956955</v>
      </c>
      <c r="AA70">
        <f t="shared" ref="AA70:AA71" si="21">AA69-Z70</f>
        <v>6.6177508915626886</v>
      </c>
      <c r="AB70" s="44">
        <f t="shared" si="1"/>
        <v>99.055221619643788</v>
      </c>
    </row>
    <row r="71" spans="1:28">
      <c r="A71" s="35"/>
      <c r="B71" s="24"/>
      <c r="C71" s="24"/>
      <c r="D71" s="31"/>
      <c r="E71" s="31"/>
      <c r="F71" s="31"/>
      <c r="G71" s="32">
        <f t="shared" si="6"/>
        <v>1.7500000000000004</v>
      </c>
      <c r="H71" s="90"/>
      <c r="J71" s="36"/>
      <c r="L71" s="23">
        <f>(F71+G71)*('Data Kystruten'!$B$3+'Data Kystruten'!$B$4)</f>
        <v>6.1250000000000018</v>
      </c>
      <c r="M71">
        <f>L71/'Data Kystruten'!$B$43</f>
        <v>16.696537795018969</v>
      </c>
      <c r="N71">
        <f>M71/'Data Kystruten'!$B$17</f>
        <v>0.50094622847341641</v>
      </c>
      <c r="O71">
        <f t="shared" si="19"/>
        <v>-0.52415352550848404</v>
      </c>
      <c r="Q71" s="44">
        <v>0</v>
      </c>
      <c r="R71" s="44">
        <f t="shared" si="4"/>
        <v>0</v>
      </c>
      <c r="W71">
        <f t="shared" si="8"/>
        <v>0.52415352550848404</v>
      </c>
      <c r="X71">
        <f>W71-W70</f>
        <v>0.50094622847341641</v>
      </c>
      <c r="Y71">
        <f>(X71*'Data Kystruten'!$B$43*'Data Kystruten'!$B$17)/'Data Kystruten'!$B$42</f>
        <v>18.658380985933693</v>
      </c>
      <c r="Z71">
        <f>(Y71*3.6)/'Data Kystruten'!$B$10</f>
        <v>1.3624781247334949</v>
      </c>
      <c r="AA71">
        <f t="shared" si="21"/>
        <v>5.2552727668291936</v>
      </c>
      <c r="AB71" s="44">
        <f t="shared" ref="AB71:AB134" si="22">(AA71/$U$5)*100</f>
        <v>78.661499521481829</v>
      </c>
    </row>
    <row r="72" spans="1:28">
      <c r="A72" s="38"/>
      <c r="B72" s="39" t="s">
        <v>138</v>
      </c>
      <c r="C72" s="39" t="s">
        <v>98</v>
      </c>
      <c r="D72" s="41">
        <v>0.375</v>
      </c>
      <c r="E72" s="41">
        <v>0.52083333333333337</v>
      </c>
      <c r="F72" s="42">
        <f t="shared" si="2"/>
        <v>3.5000000000000009</v>
      </c>
      <c r="G72" s="42"/>
      <c r="H72" s="42">
        <f>F72-('Data Kystruten'!$B$51*2)</f>
        <v>2.5000000000000009</v>
      </c>
      <c r="J72" s="43"/>
      <c r="K72" s="44"/>
      <c r="L72" s="45">
        <f>(F72+G72)*('Data Kystruten'!$B$3+'Data Kystruten'!$B$4)</f>
        <v>12.250000000000004</v>
      </c>
      <c r="M72" s="44">
        <f>L72/'Data Kystruten'!$B$43</f>
        <v>33.393075590037938</v>
      </c>
      <c r="N72" s="44">
        <f>M72/'Data Kystruten'!$B$17</f>
        <v>1.0018924569468328</v>
      </c>
      <c r="O72" s="44">
        <f>O58</f>
        <v>4.7</v>
      </c>
      <c r="P72" s="44">
        <f>O72+N72</f>
        <v>5.7018924569468332</v>
      </c>
      <c r="Q72" s="44">
        <f t="shared" ref="Q72:Q134" si="23">O72</f>
        <v>4.7</v>
      </c>
      <c r="R72" s="44">
        <f t="shared" ref="R72:R135" si="24">(Q72/$O$5)*100</f>
        <v>100</v>
      </c>
      <c r="S72" s="44"/>
      <c r="T72" s="44"/>
      <c r="U72" s="44"/>
      <c r="V72" s="44"/>
      <c r="W72" s="44"/>
      <c r="X72" s="44"/>
      <c r="Y72" s="44">
        <f>(X72*'Data Kystruten'!$B$43*'Data Kystruten'!$B$17)/'Data Kystruten'!$B$42</f>
        <v>0</v>
      </c>
      <c r="Z72" s="44">
        <f>(Y72*3.6)/'Data Kystruten'!$B$10</f>
        <v>0</v>
      </c>
      <c r="AA72" s="44">
        <f>AA58</f>
        <v>6.6808703098699773</v>
      </c>
      <c r="AB72" s="44">
        <f t="shared" si="22"/>
        <v>100</v>
      </c>
    </row>
    <row r="73" spans="1:28">
      <c r="A73" s="35"/>
      <c r="B73" s="24"/>
      <c r="C73" s="24"/>
      <c r="D73" s="24"/>
      <c r="E73" s="24"/>
      <c r="F73" s="24"/>
      <c r="G73" s="24">
        <v>3.25</v>
      </c>
      <c r="H73" s="90"/>
      <c r="J73" s="36"/>
      <c r="L73" s="23">
        <f>(F73+G73)*('Data Kystruten'!$B$3+'Data Kystruten'!$B$4)</f>
        <v>11.375</v>
      </c>
      <c r="M73">
        <f>L73/'Data Kystruten'!$B$43</f>
        <v>31.007855905035221</v>
      </c>
      <c r="N73">
        <f>M73/'Data Kystruten'!$B$17</f>
        <v>0.93032871002205886</v>
      </c>
      <c r="O73">
        <f>O72-N73</f>
        <v>3.7696712899779414</v>
      </c>
      <c r="Q73" s="44">
        <f t="shared" si="23"/>
        <v>3.7696712899779414</v>
      </c>
      <c r="R73" s="44">
        <f t="shared" si="24"/>
        <v>80.205772127190244</v>
      </c>
      <c r="Y73">
        <f>(X73*'Data Kystruten'!$B$43*'Data Kystruten'!$B$17)/'Data Kystruten'!$B$42</f>
        <v>0</v>
      </c>
      <c r="Z73">
        <f>(Y73*3.6)/'Data Kystruten'!$B$10</f>
        <v>0</v>
      </c>
      <c r="AA73">
        <f>AA72</f>
        <v>6.6808703098699773</v>
      </c>
      <c r="AB73" s="44">
        <f t="shared" si="22"/>
        <v>100</v>
      </c>
    </row>
    <row r="74" spans="1:28">
      <c r="A74" s="35"/>
      <c r="B74" s="24" t="s">
        <v>136</v>
      </c>
      <c r="C74" s="24"/>
      <c r="D74" s="34">
        <v>0.65625</v>
      </c>
      <c r="E74" s="34">
        <v>0.69791666666666663</v>
      </c>
      <c r="F74" s="32">
        <f t="shared" ref="F74:F134" si="25">(E74-D74)*24</f>
        <v>0.99999999999999911</v>
      </c>
      <c r="G74" s="32"/>
      <c r="H74" s="90">
        <f>F74-('Data Kystruten'!$B$51*2)</f>
        <v>-8.8817841970012523E-16</v>
      </c>
      <c r="J74" s="36"/>
      <c r="L74" s="23">
        <f>(F74+G74)*('Data Kystruten'!$B$3+'Data Kystruten'!$B$4)</f>
        <v>3.4999999999999969</v>
      </c>
      <c r="M74">
        <f>L74/'Data Kystruten'!$B$43</f>
        <v>9.5408787400108288</v>
      </c>
      <c r="N74">
        <f>M74/'Data Kystruten'!$B$17</f>
        <v>0.2862549876990948</v>
      </c>
      <c r="O74">
        <f t="shared" ref="O74:O83" si="26">O73-N74</f>
        <v>3.4834163022788465</v>
      </c>
      <c r="Q74" s="44">
        <f t="shared" si="23"/>
        <v>3.4834163022788465</v>
      </c>
      <c r="R74" s="44">
        <f t="shared" si="24"/>
        <v>74.115240474018009</v>
      </c>
      <c r="Y74">
        <f>(X74*'Data Kystruten'!$B$43*'Data Kystruten'!$B$17)/'Data Kystruten'!$B$42</f>
        <v>0</v>
      </c>
      <c r="Z74">
        <f>(Y74*3.6)/'Data Kystruten'!$B$10</f>
        <v>0</v>
      </c>
      <c r="AA74">
        <f t="shared" ref="AA74:AA82" si="27">AA73</f>
        <v>6.6808703098699773</v>
      </c>
      <c r="AB74" s="44">
        <f t="shared" si="22"/>
        <v>100</v>
      </c>
    </row>
    <row r="75" spans="1:28">
      <c r="A75" s="35"/>
      <c r="B75" s="24"/>
      <c r="C75" s="24"/>
      <c r="D75" s="24"/>
      <c r="E75" s="24"/>
      <c r="F75" s="32"/>
      <c r="G75" s="32">
        <f t="shared" ref="G75:G135" si="28">(D76-E74)*24</f>
        <v>3</v>
      </c>
      <c r="H75" s="90"/>
      <c r="J75" s="36"/>
      <c r="L75" s="23">
        <f>(F75+G75)*('Data Kystruten'!$B$3+'Data Kystruten'!$B$4)</f>
        <v>10.5</v>
      </c>
      <c r="M75">
        <f>L75/'Data Kystruten'!$B$43</f>
        <v>28.622636220032511</v>
      </c>
      <c r="N75">
        <f>M75/'Data Kystruten'!$B$17</f>
        <v>0.85876496309728512</v>
      </c>
      <c r="O75">
        <f t="shared" si="26"/>
        <v>2.6246513391815611</v>
      </c>
      <c r="Q75" s="44">
        <f t="shared" si="23"/>
        <v>2.6246513391815611</v>
      </c>
      <c r="R75" s="44">
        <f t="shared" si="24"/>
        <v>55.843645514501297</v>
      </c>
      <c r="Y75">
        <f>(X75*'Data Kystruten'!$B$43*'Data Kystruten'!$B$17)/'Data Kystruten'!$B$42</f>
        <v>0</v>
      </c>
      <c r="Z75">
        <f>(Y75*3.6)/'Data Kystruten'!$B$10</f>
        <v>0</v>
      </c>
      <c r="AA75">
        <f t="shared" si="27"/>
        <v>6.6808703098699773</v>
      </c>
      <c r="AB75" s="44">
        <f t="shared" si="22"/>
        <v>100</v>
      </c>
    </row>
    <row r="76" spans="1:28">
      <c r="A76" s="35"/>
      <c r="B76" s="24" t="s">
        <v>135</v>
      </c>
      <c r="C76" s="24"/>
      <c r="D76" s="34">
        <v>0.82291666666666663</v>
      </c>
      <c r="E76" s="34">
        <v>0.84375</v>
      </c>
      <c r="F76" s="32">
        <f t="shared" si="25"/>
        <v>0.50000000000000089</v>
      </c>
      <c r="G76" s="32"/>
      <c r="H76" s="90">
        <v>0</v>
      </c>
      <c r="J76" s="36"/>
      <c r="L76" s="23">
        <f>(F76+G76)*('Data Kystruten'!$B$3+'Data Kystruten'!$B$4)</f>
        <v>1.7500000000000031</v>
      </c>
      <c r="M76">
        <f>L76/'Data Kystruten'!$B$43</f>
        <v>4.7704393700054268</v>
      </c>
      <c r="N76">
        <f>M76/'Data Kystruten'!$B$17</f>
        <v>0.14312749384954776</v>
      </c>
      <c r="O76">
        <f t="shared" si="26"/>
        <v>2.4815238453320134</v>
      </c>
      <c r="Q76" s="44">
        <f t="shared" si="23"/>
        <v>2.4815238453320134</v>
      </c>
      <c r="R76" s="44">
        <f t="shared" si="24"/>
        <v>52.798379687915173</v>
      </c>
      <c r="Y76">
        <f>(X76*'Data Kystruten'!$B$43*'Data Kystruten'!$B$17)/'Data Kystruten'!$B$42</f>
        <v>0</v>
      </c>
      <c r="Z76">
        <f>(Y76*3.6)/'Data Kystruten'!$B$10</f>
        <v>0</v>
      </c>
      <c r="AA76">
        <f t="shared" si="27"/>
        <v>6.6808703098699773</v>
      </c>
      <c r="AB76" s="44">
        <f t="shared" si="22"/>
        <v>100</v>
      </c>
    </row>
    <row r="77" spans="1:28">
      <c r="A77" s="35"/>
      <c r="B77" s="24"/>
      <c r="C77" s="24"/>
      <c r="D77" s="24"/>
      <c r="E77" s="24"/>
      <c r="F77" s="32"/>
      <c r="G77" s="32">
        <f t="shared" si="28"/>
        <v>1.5</v>
      </c>
      <c r="H77" s="90"/>
      <c r="J77" s="36"/>
      <c r="L77" s="23">
        <f>(F77+G77)*('Data Kystruten'!$B$3+'Data Kystruten'!$B$4)</f>
        <v>5.25</v>
      </c>
      <c r="M77">
        <f>L77/'Data Kystruten'!$B$43</f>
        <v>14.311318110016256</v>
      </c>
      <c r="N77">
        <f>M77/'Data Kystruten'!$B$17</f>
        <v>0.42938248154864256</v>
      </c>
      <c r="O77">
        <f t="shared" si="26"/>
        <v>2.0521413637833708</v>
      </c>
      <c r="Q77" s="44">
        <f t="shared" si="23"/>
        <v>2.0521413637833708</v>
      </c>
      <c r="R77" s="44">
        <f t="shared" si="24"/>
        <v>43.662582208156827</v>
      </c>
      <c r="Y77">
        <f>(X77*'Data Kystruten'!$B$43*'Data Kystruten'!$B$17)/'Data Kystruten'!$B$42</f>
        <v>0</v>
      </c>
      <c r="Z77">
        <f>(Y77*3.6)/'Data Kystruten'!$B$10</f>
        <v>0</v>
      </c>
      <c r="AA77">
        <f t="shared" si="27"/>
        <v>6.6808703098699773</v>
      </c>
      <c r="AB77" s="44">
        <f t="shared" si="22"/>
        <v>100</v>
      </c>
    </row>
    <row r="78" spans="1:28">
      <c r="A78" s="35"/>
      <c r="B78" s="24" t="s">
        <v>133</v>
      </c>
      <c r="C78" s="24"/>
      <c r="D78" s="34">
        <v>0.90625</v>
      </c>
      <c r="E78" s="34">
        <v>0.91666666666666663</v>
      </c>
      <c r="F78" s="32">
        <f t="shared" si="25"/>
        <v>0.24999999999999911</v>
      </c>
      <c r="G78" s="32"/>
      <c r="H78" s="90">
        <v>0</v>
      </c>
      <c r="J78" s="36"/>
      <c r="L78" s="23">
        <f>(F78+G78)*('Data Kystruten'!$B$3+'Data Kystruten'!$B$4)</f>
        <v>0.87499999999999689</v>
      </c>
      <c r="M78">
        <f>L78/'Data Kystruten'!$B$43</f>
        <v>2.385219685002701</v>
      </c>
      <c r="N78">
        <f>M78/'Data Kystruten'!$B$17</f>
        <v>7.1563746924773505E-2</v>
      </c>
      <c r="O78">
        <f t="shared" si="26"/>
        <v>1.9805776168585973</v>
      </c>
      <c r="Q78" s="44">
        <f t="shared" si="23"/>
        <v>1.9805776168585973</v>
      </c>
      <c r="R78" s="44">
        <f t="shared" si="24"/>
        <v>42.139949294863769</v>
      </c>
      <c r="Y78">
        <f>(X78*'Data Kystruten'!$B$43*'Data Kystruten'!$B$17)/'Data Kystruten'!$B$42</f>
        <v>0</v>
      </c>
      <c r="Z78">
        <f>(Y78*3.6)/'Data Kystruten'!$B$10</f>
        <v>0</v>
      </c>
      <c r="AA78">
        <f t="shared" si="27"/>
        <v>6.6808703098699773</v>
      </c>
      <c r="AB78" s="44">
        <f t="shared" si="22"/>
        <v>100</v>
      </c>
    </row>
    <row r="79" spans="1:28">
      <c r="A79" s="35"/>
      <c r="B79" s="24"/>
      <c r="C79" s="24"/>
      <c r="D79" s="24"/>
      <c r="E79" s="24"/>
      <c r="F79" s="32"/>
      <c r="G79" s="32">
        <v>2.75</v>
      </c>
      <c r="H79" s="90"/>
      <c r="J79" s="36"/>
      <c r="L79" s="23">
        <f>(F79+G79)*('Data Kystruten'!$B$3+'Data Kystruten'!$B$4)</f>
        <v>9.625</v>
      </c>
      <c r="M79">
        <f>L79/'Data Kystruten'!$B$43</f>
        <v>26.237416535029805</v>
      </c>
      <c r="N79">
        <f>M79/'Data Kystruten'!$B$17</f>
        <v>0.78720121617251149</v>
      </c>
      <c r="O79">
        <f t="shared" si="26"/>
        <v>1.1933764006860859</v>
      </c>
      <c r="Q79" s="44">
        <f t="shared" si="23"/>
        <v>1.1933764006860859</v>
      </c>
      <c r="R79" s="44">
        <f t="shared" si="24"/>
        <v>25.390987248640123</v>
      </c>
      <c r="Y79">
        <f>(X79*'Data Kystruten'!$B$43*'Data Kystruten'!$B$17)/'Data Kystruten'!$B$42</f>
        <v>0</v>
      </c>
      <c r="Z79">
        <f>(Y79*3.6)/'Data Kystruten'!$B$10</f>
        <v>0</v>
      </c>
      <c r="AA79">
        <f t="shared" si="27"/>
        <v>6.6808703098699773</v>
      </c>
      <c r="AB79" s="44">
        <f t="shared" si="22"/>
        <v>100</v>
      </c>
    </row>
    <row r="80" spans="1:28">
      <c r="A80" s="35" t="s">
        <v>139</v>
      </c>
      <c r="B80" s="24" t="s">
        <v>132</v>
      </c>
      <c r="C80" s="24"/>
      <c r="D80" s="34">
        <v>3.125E-2</v>
      </c>
      <c r="E80" s="34">
        <v>4.1666666666666664E-2</v>
      </c>
      <c r="F80" s="32">
        <f t="shared" si="25"/>
        <v>0.24999999999999994</v>
      </c>
      <c r="G80" s="32"/>
      <c r="H80" s="90">
        <v>0</v>
      </c>
      <c r="J80" s="36"/>
      <c r="L80" s="23">
        <f>(F80+G80)*('Data Kystruten'!$B$3+'Data Kystruten'!$B$4)</f>
        <v>0.87499999999999978</v>
      </c>
      <c r="M80">
        <f>L80/'Data Kystruten'!$B$43</f>
        <v>2.385219685002709</v>
      </c>
      <c r="N80">
        <f>M80/'Data Kystruten'!$B$17</f>
        <v>7.1563746924773755E-2</v>
      </c>
      <c r="O80">
        <f t="shared" si="26"/>
        <v>1.121812653761312</v>
      </c>
      <c r="Q80" s="44">
        <f t="shared" si="23"/>
        <v>1.121812653761312</v>
      </c>
      <c r="R80" s="44">
        <f t="shared" si="24"/>
        <v>23.868354335347064</v>
      </c>
      <c r="Y80">
        <f>(X80*'Data Kystruten'!$B$43*'Data Kystruten'!$B$17)/'Data Kystruten'!$B$42</f>
        <v>0</v>
      </c>
      <c r="Z80">
        <f>(Y80*3.6)/'Data Kystruten'!$B$10</f>
        <v>0</v>
      </c>
      <c r="AA80">
        <f t="shared" si="27"/>
        <v>6.6808703098699773</v>
      </c>
      <c r="AB80" s="44">
        <f t="shared" si="22"/>
        <v>100</v>
      </c>
    </row>
    <row r="81" spans="1:28">
      <c r="A81" s="35"/>
      <c r="B81" s="24"/>
      <c r="C81" s="24"/>
      <c r="D81" s="24"/>
      <c r="E81" s="24"/>
      <c r="F81" s="32"/>
      <c r="G81" s="32">
        <f t="shared" si="28"/>
        <v>1.7499999999999998</v>
      </c>
      <c r="H81" s="90"/>
      <c r="J81" s="36"/>
      <c r="L81" s="23">
        <f>(F81+G81)*('Data Kystruten'!$B$3+'Data Kystruten'!$B$4)</f>
        <v>6.1249999999999991</v>
      </c>
      <c r="M81">
        <f>L81/'Data Kystruten'!$B$43</f>
        <v>16.696537795018962</v>
      </c>
      <c r="N81">
        <f>M81/'Data Kystruten'!$B$17</f>
        <v>0.50094622847341619</v>
      </c>
      <c r="O81">
        <f t="shared" si="26"/>
        <v>0.62086642528789582</v>
      </c>
      <c r="Q81" s="44">
        <f t="shared" si="23"/>
        <v>0.62086642528789582</v>
      </c>
      <c r="R81" s="44">
        <f t="shared" si="24"/>
        <v>13.209923942295656</v>
      </c>
      <c r="Y81">
        <f>(X81*'Data Kystruten'!$B$43*'Data Kystruten'!$B$17)/'Data Kystruten'!$B$42</f>
        <v>0</v>
      </c>
      <c r="Z81">
        <f>(Y81*3.6)/'Data Kystruten'!$B$10</f>
        <v>0</v>
      </c>
      <c r="AA81">
        <f t="shared" si="27"/>
        <v>6.6808703098699773</v>
      </c>
      <c r="AB81" s="44">
        <f t="shared" si="22"/>
        <v>100</v>
      </c>
    </row>
    <row r="82" spans="1:28">
      <c r="A82" s="35"/>
      <c r="B82" s="24" t="s">
        <v>131</v>
      </c>
      <c r="C82" s="24"/>
      <c r="D82" s="34">
        <v>0.11458333333333333</v>
      </c>
      <c r="E82" s="34">
        <v>0.125</v>
      </c>
      <c r="F82" s="32">
        <f t="shared" si="25"/>
        <v>0.25000000000000011</v>
      </c>
      <c r="G82" s="32"/>
      <c r="H82" s="90">
        <v>0</v>
      </c>
      <c r="J82" s="36"/>
      <c r="L82" s="23">
        <f>(F82+G82)*('Data Kystruten'!$B$3+'Data Kystruten'!$B$4)</f>
        <v>0.87500000000000044</v>
      </c>
      <c r="M82">
        <f>L82/'Data Kystruten'!$B$43</f>
        <v>2.3852196850027108</v>
      </c>
      <c r="N82">
        <f>M82/'Data Kystruten'!$B$17</f>
        <v>7.1563746924773811E-2</v>
      </c>
      <c r="O82">
        <f t="shared" si="26"/>
        <v>0.54930267836312197</v>
      </c>
      <c r="Q82" s="44">
        <f t="shared" si="23"/>
        <v>0.54930267836312197</v>
      </c>
      <c r="R82" s="44">
        <f t="shared" si="24"/>
        <v>11.687291029002594</v>
      </c>
      <c r="Y82">
        <f>(X82*'Data Kystruten'!$B$43*'Data Kystruten'!$B$17)/'Data Kystruten'!$B$42</f>
        <v>0</v>
      </c>
      <c r="Z82">
        <f>(Y82*3.6)/'Data Kystruten'!$B$10</f>
        <v>0</v>
      </c>
      <c r="AA82">
        <f t="shared" si="27"/>
        <v>6.6808703098699773</v>
      </c>
      <c r="AB82" s="44">
        <f t="shared" si="22"/>
        <v>100</v>
      </c>
    </row>
    <row r="83" spans="1:28">
      <c r="A83" s="35"/>
      <c r="B83" s="24"/>
      <c r="C83" s="24"/>
      <c r="D83" s="24"/>
      <c r="E83" s="24"/>
      <c r="F83" s="32"/>
      <c r="G83" s="32">
        <f t="shared" si="28"/>
        <v>2.5</v>
      </c>
      <c r="H83" s="90"/>
      <c r="J83" s="36"/>
      <c r="L83" s="23">
        <f>(F83+G83)*('Data Kystruten'!$B$3+'Data Kystruten'!$B$4)</f>
        <v>8.75</v>
      </c>
      <c r="M83">
        <f>L83/'Data Kystruten'!$B$43</f>
        <v>23.852196850027095</v>
      </c>
      <c r="N83">
        <f>M83/'Data Kystruten'!$B$17</f>
        <v>0.71563746924773763</v>
      </c>
      <c r="O83">
        <f t="shared" si="26"/>
        <v>-0.16633479088461567</v>
      </c>
      <c r="Q83" s="44">
        <v>0</v>
      </c>
      <c r="R83" s="44">
        <f t="shared" si="24"/>
        <v>0</v>
      </c>
      <c r="W83">
        <f t="shared" ref="W83:W121" si="29">-O83</f>
        <v>0.16633479088461567</v>
      </c>
      <c r="X83">
        <f>W83</f>
        <v>0.16633479088461567</v>
      </c>
      <c r="Y83">
        <f>(X83*'Data Kystruten'!$B$43*'Data Kystruten'!$B$17)/'Data Kystruten'!$B$42</f>
        <v>6.1953513633558863</v>
      </c>
      <c r="Z83">
        <f>(Y83*3.6)/'Data Kystruten'!$B$10</f>
        <v>0.45239888251685995</v>
      </c>
      <c r="AA83">
        <f>AA82-Z83</f>
        <v>6.2284714273531172</v>
      </c>
      <c r="AB83" s="44">
        <f t="shared" si="22"/>
        <v>93.228443877311776</v>
      </c>
    </row>
    <row r="84" spans="1:28">
      <c r="A84" s="38"/>
      <c r="B84" s="39" t="s">
        <v>130</v>
      </c>
      <c r="C84" s="39" t="s">
        <v>98</v>
      </c>
      <c r="D84" s="47">
        <v>0.22916666666666666</v>
      </c>
      <c r="E84" s="47">
        <v>0.23958333333333334</v>
      </c>
      <c r="F84" s="42">
        <f t="shared" si="25"/>
        <v>0.25000000000000044</v>
      </c>
      <c r="G84" s="42"/>
      <c r="H84" s="42">
        <v>0</v>
      </c>
      <c r="J84" s="43"/>
      <c r="K84" s="44"/>
      <c r="L84" s="45">
        <f>(F84+G84)*('Data Kystruten'!$B$3+'Data Kystruten'!$B$4)</f>
        <v>0.87500000000000155</v>
      </c>
      <c r="M84" s="44">
        <f>L84/'Data Kystruten'!$B$43</f>
        <v>2.3852196850027134</v>
      </c>
      <c r="N84" s="44">
        <f>M84/'Data Kystruten'!$B$17</f>
        <v>7.156374692477388E-2</v>
      </c>
      <c r="O84" s="44">
        <f>O72</f>
        <v>4.7</v>
      </c>
      <c r="P84" s="44">
        <f>O84+N84</f>
        <v>4.771563746924774</v>
      </c>
      <c r="Q84" s="44">
        <f t="shared" si="23"/>
        <v>4.7</v>
      </c>
      <c r="R84" s="44">
        <f t="shared" si="24"/>
        <v>100</v>
      </c>
      <c r="S84" s="44"/>
      <c r="T84" s="44"/>
      <c r="U84" s="44"/>
      <c r="V84" s="44"/>
      <c r="W84" s="44"/>
      <c r="X84" s="44"/>
      <c r="Y84" s="44">
        <f>(X84*'Data Kystruten'!$B$43*'Data Kystruten'!$B$17)/'Data Kystruten'!$B$42</f>
        <v>0</v>
      </c>
      <c r="Z84" s="44">
        <f>(Y84*3.6)/'Data Kystruten'!$B$10</f>
        <v>0</v>
      </c>
      <c r="AA84" s="44">
        <f>AA72</f>
        <v>6.6808703098699773</v>
      </c>
      <c r="AB84" s="44">
        <f t="shared" si="22"/>
        <v>100</v>
      </c>
    </row>
    <row r="85" spans="1:28">
      <c r="A85" s="35"/>
      <c r="B85" s="24"/>
      <c r="C85" s="24"/>
      <c r="D85" s="24"/>
      <c r="E85" s="24"/>
      <c r="F85" s="32"/>
      <c r="G85" s="32">
        <f t="shared" si="28"/>
        <v>2</v>
      </c>
      <c r="H85" s="90"/>
      <c r="J85" s="36"/>
      <c r="L85" s="23">
        <f>(F85+G85)*('Data Kystruten'!$B$3+'Data Kystruten'!$B$4)</f>
        <v>7</v>
      </c>
      <c r="M85">
        <f>L85/'Data Kystruten'!$B$43</f>
        <v>19.081757480021675</v>
      </c>
      <c r="N85">
        <f>M85/'Data Kystruten'!$B$17</f>
        <v>0.57250997539819015</v>
      </c>
      <c r="O85">
        <f>O84-N85</f>
        <v>4.1274900246018102</v>
      </c>
      <c r="Q85" s="44">
        <f t="shared" si="23"/>
        <v>4.1274900246018102</v>
      </c>
      <c r="R85" s="44">
        <f t="shared" si="24"/>
        <v>87.81893669365553</v>
      </c>
      <c r="Y85">
        <f>(X85*'Data Kystruten'!$B$43*'Data Kystruten'!$B$17)/'Data Kystruten'!$B$42</f>
        <v>0</v>
      </c>
      <c r="Z85">
        <f>(Y85*3.6)/'Data Kystruten'!$B$10</f>
        <v>0</v>
      </c>
      <c r="AA85">
        <f>AA84</f>
        <v>6.6808703098699773</v>
      </c>
      <c r="AB85" s="44">
        <f t="shared" si="22"/>
        <v>100</v>
      </c>
    </row>
    <row r="86" spans="1:28">
      <c r="A86" s="35"/>
      <c r="B86" s="24" t="s">
        <v>129</v>
      </c>
      <c r="C86" s="24"/>
      <c r="D86" s="34">
        <v>0.32291666666666669</v>
      </c>
      <c r="E86" s="34">
        <v>0.33333333333333331</v>
      </c>
      <c r="F86" s="32">
        <f t="shared" si="25"/>
        <v>0.24999999999999911</v>
      </c>
      <c r="G86" s="32"/>
      <c r="H86" s="90">
        <v>0</v>
      </c>
      <c r="J86" s="36"/>
      <c r="L86" s="23">
        <f>(F86+G86)*('Data Kystruten'!$B$3+'Data Kystruten'!$B$4)</f>
        <v>0.87499999999999689</v>
      </c>
      <c r="M86">
        <f>L86/'Data Kystruten'!$B$43</f>
        <v>2.385219685002701</v>
      </c>
      <c r="N86">
        <f>M86/'Data Kystruten'!$B$17</f>
        <v>7.1563746924773505E-2</v>
      </c>
      <c r="O86">
        <f t="shared" ref="O86:O93" si="30">O85-N86</f>
        <v>4.0559262776770364</v>
      </c>
      <c r="Q86" s="44">
        <f t="shared" si="23"/>
        <v>4.0559262776770364</v>
      </c>
      <c r="R86" s="44">
        <f t="shared" si="24"/>
        <v>86.296303780362464</v>
      </c>
      <c r="Y86">
        <f>(X86*'Data Kystruten'!$B$43*'Data Kystruten'!$B$17)/'Data Kystruten'!$B$42</f>
        <v>0</v>
      </c>
      <c r="Z86">
        <f>(Y86*3.6)/'Data Kystruten'!$B$10</f>
        <v>0</v>
      </c>
      <c r="AA86">
        <f t="shared" ref="AA86:AA92" si="31">AA85</f>
        <v>6.6808703098699773</v>
      </c>
      <c r="AB86" s="44">
        <f t="shared" si="22"/>
        <v>100</v>
      </c>
    </row>
    <row r="87" spans="1:28">
      <c r="A87" s="35"/>
      <c r="B87" s="24"/>
      <c r="C87" s="24"/>
      <c r="D87" s="24"/>
      <c r="E87" s="24"/>
      <c r="F87" s="32"/>
      <c r="G87" s="32">
        <f t="shared" si="28"/>
        <v>2.7500000000000009</v>
      </c>
      <c r="H87" s="90"/>
      <c r="J87" s="36"/>
      <c r="L87" s="23">
        <f>(F87+G87)*('Data Kystruten'!$B$3+'Data Kystruten'!$B$4)</f>
        <v>9.6250000000000036</v>
      </c>
      <c r="M87">
        <f>L87/'Data Kystruten'!$B$43</f>
        <v>26.237416535029812</v>
      </c>
      <c r="N87">
        <f>M87/'Data Kystruten'!$B$17</f>
        <v>0.78720121617251171</v>
      </c>
      <c r="O87">
        <f t="shared" si="30"/>
        <v>3.2687250615045249</v>
      </c>
      <c r="Q87" s="44">
        <f t="shared" si="23"/>
        <v>3.2687250615045249</v>
      </c>
      <c r="R87" s="44">
        <f t="shared" si="24"/>
        <v>69.547341734138826</v>
      </c>
      <c r="Y87">
        <f>(X87*'Data Kystruten'!$B$43*'Data Kystruten'!$B$17)/'Data Kystruten'!$B$42</f>
        <v>0</v>
      </c>
      <c r="Z87">
        <f>(Y87*3.6)/'Data Kystruten'!$B$10</f>
        <v>0</v>
      </c>
      <c r="AA87">
        <f t="shared" si="31"/>
        <v>6.6808703098699773</v>
      </c>
      <c r="AB87" s="44">
        <f t="shared" si="22"/>
        <v>100</v>
      </c>
    </row>
    <row r="88" spans="1:28">
      <c r="A88" s="35"/>
      <c r="B88" s="24" t="s">
        <v>128</v>
      </c>
      <c r="C88" s="24"/>
      <c r="D88" s="34">
        <v>0.44791666666666669</v>
      </c>
      <c r="E88" s="34">
        <v>0.53125</v>
      </c>
      <c r="F88" s="32">
        <f t="shared" si="25"/>
        <v>1.9999999999999996</v>
      </c>
      <c r="G88" s="32"/>
      <c r="H88" s="90">
        <f>F88-('Data Kystruten'!$B$51*2)</f>
        <v>0.99999999999999956</v>
      </c>
      <c r="J88" s="36"/>
      <c r="L88" s="23">
        <f>(F88+G88)*('Data Kystruten'!$B$3+'Data Kystruten'!$B$4)</f>
        <v>6.9999999999999982</v>
      </c>
      <c r="M88">
        <f>L88/'Data Kystruten'!$B$43</f>
        <v>19.081757480021672</v>
      </c>
      <c r="N88">
        <f>M88/'Data Kystruten'!$B$17</f>
        <v>0.57250997539819004</v>
      </c>
      <c r="O88">
        <f t="shared" si="30"/>
        <v>2.696215086106335</v>
      </c>
      <c r="Q88" s="44">
        <f t="shared" si="23"/>
        <v>2.696215086106335</v>
      </c>
      <c r="R88" s="44">
        <f t="shared" si="24"/>
        <v>57.366278427794356</v>
      </c>
      <c r="Y88">
        <f>(X88*'Data Kystruten'!$B$43*'Data Kystruten'!$B$17)/'Data Kystruten'!$B$42</f>
        <v>0</v>
      </c>
      <c r="Z88">
        <f>(Y88*3.6)/'Data Kystruten'!$B$10</f>
        <v>0</v>
      </c>
      <c r="AA88">
        <f t="shared" si="31"/>
        <v>6.6808703098699773</v>
      </c>
      <c r="AB88" s="44">
        <f t="shared" si="22"/>
        <v>100</v>
      </c>
    </row>
    <row r="89" spans="1:28">
      <c r="A89" s="35"/>
      <c r="B89" s="24"/>
      <c r="C89" s="24"/>
      <c r="D89" s="24"/>
      <c r="E89" s="24"/>
      <c r="F89" s="32"/>
      <c r="G89" s="32">
        <f t="shared" si="28"/>
        <v>2.7500000000000009</v>
      </c>
      <c r="H89" s="90"/>
      <c r="J89" s="36"/>
      <c r="L89" s="23">
        <f>(F89+G89)*('Data Kystruten'!$B$3+'Data Kystruten'!$B$4)</f>
        <v>9.6250000000000036</v>
      </c>
      <c r="M89">
        <f>L89/'Data Kystruten'!$B$43</f>
        <v>26.237416535029812</v>
      </c>
      <c r="N89">
        <f>M89/'Data Kystruten'!$B$17</f>
        <v>0.78720121617251171</v>
      </c>
      <c r="O89">
        <f t="shared" si="30"/>
        <v>1.9090138699338233</v>
      </c>
      <c r="Q89" s="44">
        <f t="shared" si="23"/>
        <v>1.9090138699338233</v>
      </c>
      <c r="R89" s="44">
        <f t="shared" si="24"/>
        <v>40.617316381570703</v>
      </c>
      <c r="Y89">
        <f>(X89*'Data Kystruten'!$B$43*'Data Kystruten'!$B$17)/'Data Kystruten'!$B$42</f>
        <v>0</v>
      </c>
      <c r="Z89">
        <f>(Y89*3.6)/'Data Kystruten'!$B$10</f>
        <v>0</v>
      </c>
      <c r="AA89">
        <f t="shared" si="31"/>
        <v>6.6808703098699773</v>
      </c>
      <c r="AB89" s="44">
        <f t="shared" si="22"/>
        <v>100</v>
      </c>
    </row>
    <row r="90" spans="1:28">
      <c r="A90" s="35"/>
      <c r="B90" s="24" t="s">
        <v>127</v>
      </c>
      <c r="C90" s="24"/>
      <c r="D90" s="34">
        <v>0.64583333333333337</v>
      </c>
      <c r="E90" s="34">
        <v>0.65625</v>
      </c>
      <c r="F90" s="32">
        <f t="shared" si="25"/>
        <v>0.24999999999999911</v>
      </c>
      <c r="G90" s="32"/>
      <c r="H90" s="90">
        <v>0</v>
      </c>
      <c r="J90" s="36"/>
      <c r="L90" s="23">
        <f>(F90+G90)*('Data Kystruten'!$B$3+'Data Kystruten'!$B$4)</f>
        <v>0.87499999999999689</v>
      </c>
      <c r="M90">
        <f>L90/'Data Kystruten'!$B$43</f>
        <v>2.385219685002701</v>
      </c>
      <c r="N90">
        <f>M90/'Data Kystruten'!$B$17</f>
        <v>7.1563746924773505E-2</v>
      </c>
      <c r="O90">
        <f t="shared" si="30"/>
        <v>1.8374501230090499</v>
      </c>
      <c r="Q90" s="44">
        <f t="shared" si="23"/>
        <v>1.8374501230090499</v>
      </c>
      <c r="R90" s="44">
        <f t="shared" si="24"/>
        <v>39.094683468277658</v>
      </c>
      <c r="Y90">
        <f>(X90*'Data Kystruten'!$B$43*'Data Kystruten'!$B$17)/'Data Kystruten'!$B$42</f>
        <v>0</v>
      </c>
      <c r="Z90">
        <f>(Y90*3.6)/'Data Kystruten'!$B$10</f>
        <v>0</v>
      </c>
      <c r="AA90">
        <f t="shared" si="31"/>
        <v>6.6808703098699773</v>
      </c>
      <c r="AB90" s="44">
        <f t="shared" si="22"/>
        <v>100</v>
      </c>
    </row>
    <row r="91" spans="1:28">
      <c r="A91" s="35"/>
      <c r="B91" s="24"/>
      <c r="C91" s="24"/>
      <c r="D91" s="24"/>
      <c r="E91" s="24"/>
      <c r="F91" s="32"/>
      <c r="G91" s="32">
        <f t="shared" si="28"/>
        <v>3.5000000000000009</v>
      </c>
      <c r="H91" s="90"/>
      <c r="J91" s="36"/>
      <c r="L91" s="23">
        <f>(F91+G91)*('Data Kystruten'!$B$3+'Data Kystruten'!$B$4)</f>
        <v>12.250000000000004</v>
      </c>
      <c r="M91">
        <f>L91/'Data Kystruten'!$B$43</f>
        <v>33.393075590037938</v>
      </c>
      <c r="N91">
        <f>M91/'Data Kystruten'!$B$17</f>
        <v>1.0018924569468328</v>
      </c>
      <c r="O91">
        <f t="shared" si="30"/>
        <v>0.83555766606221704</v>
      </c>
      <c r="Q91" s="44">
        <f t="shared" si="23"/>
        <v>0.83555766606221704</v>
      </c>
      <c r="R91" s="44">
        <f t="shared" si="24"/>
        <v>17.777822682174829</v>
      </c>
      <c r="Y91">
        <f>(X91*'Data Kystruten'!$B$43*'Data Kystruten'!$B$17)/'Data Kystruten'!$B$42</f>
        <v>0</v>
      </c>
      <c r="Z91">
        <f>(Y91*3.6)/'Data Kystruten'!$B$10</f>
        <v>0</v>
      </c>
      <c r="AA91">
        <f t="shared" si="31"/>
        <v>6.6808703098699773</v>
      </c>
      <c r="AB91" s="44">
        <f t="shared" si="22"/>
        <v>100</v>
      </c>
    </row>
    <row r="92" spans="1:28">
      <c r="A92" s="35"/>
      <c r="B92" s="24" t="s">
        <v>125</v>
      </c>
      <c r="C92" s="24"/>
      <c r="D92" s="34">
        <v>0.80208333333333337</v>
      </c>
      <c r="E92" s="34">
        <v>0.82291666666666663</v>
      </c>
      <c r="F92" s="32">
        <f t="shared" si="25"/>
        <v>0.49999999999999822</v>
      </c>
      <c r="G92" s="32"/>
      <c r="H92" s="90">
        <v>0</v>
      </c>
      <c r="J92" s="36"/>
      <c r="L92" s="23">
        <f>(F92+G92)*('Data Kystruten'!$B$3+'Data Kystruten'!$B$4)</f>
        <v>1.7499999999999938</v>
      </c>
      <c r="M92">
        <f>L92/'Data Kystruten'!$B$43</f>
        <v>4.770439370005402</v>
      </c>
      <c r="N92">
        <f>M92/'Data Kystruten'!$B$17</f>
        <v>0.14312749384954701</v>
      </c>
      <c r="O92">
        <f t="shared" si="30"/>
        <v>0.69243017221267</v>
      </c>
      <c r="Q92" s="44">
        <f t="shared" si="23"/>
        <v>0.69243017221267</v>
      </c>
      <c r="R92" s="44">
        <f t="shared" si="24"/>
        <v>14.732556855588724</v>
      </c>
      <c r="Y92">
        <f>(X92*'Data Kystruten'!$B$43*'Data Kystruten'!$B$17)/'Data Kystruten'!$B$42</f>
        <v>0</v>
      </c>
      <c r="Z92">
        <f>(Y92*3.6)/'Data Kystruten'!$B$10</f>
        <v>0</v>
      </c>
      <c r="AA92">
        <f t="shared" si="31"/>
        <v>6.6808703098699773</v>
      </c>
      <c r="AB92" s="44">
        <f t="shared" si="22"/>
        <v>100</v>
      </c>
    </row>
    <row r="93" spans="1:28">
      <c r="A93" s="35"/>
      <c r="B93" s="24"/>
      <c r="C93" s="24"/>
      <c r="D93" s="24"/>
      <c r="E93" s="24"/>
      <c r="F93" s="32"/>
      <c r="G93" s="32">
        <f t="shared" si="28"/>
        <v>4.0000000000000018</v>
      </c>
      <c r="H93" s="90"/>
      <c r="J93" s="36"/>
      <c r="L93" s="23">
        <f>(F93+G93)*('Data Kystruten'!$B$3+'Data Kystruten'!$B$4)</f>
        <v>14.000000000000007</v>
      </c>
      <c r="M93">
        <f>L93/'Data Kystruten'!$B$43</f>
        <v>38.163514960043372</v>
      </c>
      <c r="N93">
        <f>M93/'Data Kystruten'!$B$17</f>
        <v>1.145019950796381</v>
      </c>
      <c r="O93">
        <f t="shared" si="30"/>
        <v>-0.45258977858371097</v>
      </c>
      <c r="Q93" s="44">
        <v>0</v>
      </c>
      <c r="R93" s="44">
        <f t="shared" si="24"/>
        <v>0</v>
      </c>
      <c r="W93">
        <f t="shared" si="29"/>
        <v>0.45258977858371097</v>
      </c>
      <c r="X93">
        <f>W93</f>
        <v>0.45258977858371097</v>
      </c>
      <c r="Y93">
        <f>(X93*'Data Kystruten'!$B$43*'Data Kystruten'!$B$17)/'Data Kystruten'!$B$42</f>
        <v>16.857283355318003</v>
      </c>
      <c r="Z93">
        <f>(Y93*3.6)/'Data Kystruten'!$B$10</f>
        <v>1.2309578109360002</v>
      </c>
      <c r="AA93">
        <f>AA92-Z93</f>
        <v>5.4499124989339771</v>
      </c>
      <c r="AB93" s="44">
        <f t="shared" si="22"/>
        <v>81.574888392647793</v>
      </c>
    </row>
    <row r="94" spans="1:28">
      <c r="A94" s="38" t="s">
        <v>140</v>
      </c>
      <c r="B94" s="39" t="s">
        <v>124</v>
      </c>
      <c r="C94" s="39" t="s">
        <v>98</v>
      </c>
      <c r="D94" s="47">
        <v>0.98958333333333337</v>
      </c>
      <c r="E94" s="47">
        <v>6.25E-2</v>
      </c>
      <c r="F94" s="42">
        <v>1.75</v>
      </c>
      <c r="G94" s="42"/>
      <c r="H94" s="42">
        <f>F94-('Data Kystruten'!$B$51*2)</f>
        <v>0.75</v>
      </c>
      <c r="J94" s="43"/>
      <c r="K94" s="44"/>
      <c r="L94" s="45">
        <f>(F94+G94)*('Data Kystruten'!$B$3+'Data Kystruten'!$B$4)</f>
        <v>6.125</v>
      </c>
      <c r="M94" s="44">
        <f>L94/'Data Kystruten'!$B$43</f>
        <v>16.696537795018966</v>
      </c>
      <c r="N94" s="44">
        <f>M94/'Data Kystruten'!$B$17</f>
        <v>0.5009462284734163</v>
      </c>
      <c r="O94" s="44">
        <f>O84</f>
        <v>4.7</v>
      </c>
      <c r="P94" s="44">
        <f>O94+N94</f>
        <v>5.2009462284734163</v>
      </c>
      <c r="Q94" s="44">
        <f t="shared" si="23"/>
        <v>4.7</v>
      </c>
      <c r="R94" s="44">
        <f t="shared" si="24"/>
        <v>100</v>
      </c>
      <c r="S94" s="44"/>
      <c r="T94" s="44"/>
      <c r="U94" s="44"/>
      <c r="V94" s="44"/>
      <c r="W94" s="44"/>
      <c r="X94" s="44"/>
      <c r="Y94" s="44">
        <f>(X94*'Data Kystruten'!$B$43*'Data Kystruten'!$B$17)/'Data Kystruten'!$B$42</f>
        <v>0</v>
      </c>
      <c r="Z94" s="44">
        <f>(Y94*3.6)/'Data Kystruten'!$B$10</f>
        <v>0</v>
      </c>
      <c r="AA94" s="44">
        <f>AA84</f>
        <v>6.6808703098699773</v>
      </c>
      <c r="AB94" s="44">
        <f t="shared" si="22"/>
        <v>100</v>
      </c>
    </row>
    <row r="95" spans="1:28">
      <c r="A95" s="35"/>
      <c r="B95" s="24"/>
      <c r="C95" s="24"/>
      <c r="D95" s="24"/>
      <c r="E95" s="24"/>
      <c r="F95" s="32"/>
      <c r="G95" s="32">
        <f t="shared" si="28"/>
        <v>2.75</v>
      </c>
      <c r="H95" s="90"/>
      <c r="J95" s="36"/>
      <c r="L95" s="23">
        <f>(F95+G95)*('Data Kystruten'!$B$3+'Data Kystruten'!$B$4)</f>
        <v>9.625</v>
      </c>
      <c r="M95">
        <f>L95/'Data Kystruten'!$B$43</f>
        <v>26.237416535029805</v>
      </c>
      <c r="N95">
        <f>M95/'Data Kystruten'!$B$17</f>
        <v>0.78720121617251149</v>
      </c>
      <c r="O95">
        <f>O94-N95</f>
        <v>3.9127987838274887</v>
      </c>
      <c r="Q95" s="44">
        <f t="shared" si="23"/>
        <v>3.9127987838274887</v>
      </c>
      <c r="R95" s="44">
        <f t="shared" si="24"/>
        <v>83.251037953776347</v>
      </c>
      <c r="Y95">
        <f>(X95*'Data Kystruten'!$B$43*'Data Kystruten'!$B$17)/'Data Kystruten'!$B$42</f>
        <v>0</v>
      </c>
      <c r="Z95">
        <f>(Y95*3.6)/'Data Kystruten'!$B$10</f>
        <v>0</v>
      </c>
      <c r="AA95">
        <f>AA94</f>
        <v>6.6808703098699773</v>
      </c>
      <c r="AB95" s="44">
        <f t="shared" si="22"/>
        <v>100</v>
      </c>
    </row>
    <row r="96" spans="1:28">
      <c r="A96" s="35"/>
      <c r="B96" s="24" t="s">
        <v>123</v>
      </c>
      <c r="C96" s="24"/>
      <c r="D96" s="34">
        <v>0.17708333333333334</v>
      </c>
      <c r="E96" s="34">
        <v>0.19791666666666666</v>
      </c>
      <c r="F96" s="32">
        <f t="shared" si="25"/>
        <v>0.49999999999999956</v>
      </c>
      <c r="G96" s="32"/>
      <c r="H96" s="90">
        <v>0</v>
      </c>
      <c r="J96" s="36"/>
      <c r="L96" s="23">
        <f>(F96+G96)*('Data Kystruten'!$B$3+'Data Kystruten'!$B$4)</f>
        <v>1.7499999999999984</v>
      </c>
      <c r="M96">
        <f>L96/'Data Kystruten'!$B$43</f>
        <v>4.7704393700054144</v>
      </c>
      <c r="N96">
        <f>M96/'Data Kystruten'!$B$17</f>
        <v>0.1431274938495474</v>
      </c>
      <c r="O96">
        <f t="shared" ref="O96:O109" si="32">O95-N96</f>
        <v>3.7696712899779414</v>
      </c>
      <c r="Q96" s="44">
        <f t="shared" si="23"/>
        <v>3.7696712899779414</v>
      </c>
      <c r="R96" s="44">
        <f t="shared" si="24"/>
        <v>80.205772127190244</v>
      </c>
      <c r="Y96">
        <f>(X96*'Data Kystruten'!$B$43*'Data Kystruten'!$B$17)/'Data Kystruten'!$B$42</f>
        <v>0</v>
      </c>
      <c r="Z96">
        <f>(Y96*3.6)/'Data Kystruten'!$B$10</f>
        <v>0</v>
      </c>
      <c r="AA96">
        <f t="shared" ref="AA96:AA104" si="33">AA95</f>
        <v>6.6808703098699773</v>
      </c>
      <c r="AB96" s="44">
        <f t="shared" si="22"/>
        <v>100</v>
      </c>
    </row>
    <row r="97" spans="1:28">
      <c r="A97" s="35"/>
      <c r="B97" s="24"/>
      <c r="C97" s="24"/>
      <c r="D97" s="24"/>
      <c r="E97" s="24"/>
      <c r="F97" s="32"/>
      <c r="G97" s="32">
        <f t="shared" si="28"/>
        <v>3.0833333333333339</v>
      </c>
      <c r="H97" s="90"/>
      <c r="J97" s="36"/>
      <c r="L97" s="23">
        <f>(F97+G97)*('Data Kystruten'!$B$3+'Data Kystruten'!$B$4)</f>
        <v>10.791666666666668</v>
      </c>
      <c r="M97">
        <f>L97/'Data Kystruten'!$B$43</f>
        <v>29.417709448366754</v>
      </c>
      <c r="N97">
        <f>M97/'Data Kystruten'!$B$17</f>
        <v>0.88261954540554322</v>
      </c>
      <c r="O97">
        <f t="shared" si="32"/>
        <v>2.887051744572398</v>
      </c>
      <c r="Q97" s="44">
        <f t="shared" si="23"/>
        <v>2.887051744572398</v>
      </c>
      <c r="R97" s="44">
        <f t="shared" si="24"/>
        <v>61.426632863242503</v>
      </c>
      <c r="Y97">
        <f>(X97*'Data Kystruten'!$B$43*'Data Kystruten'!$B$17)/'Data Kystruten'!$B$42</f>
        <v>0</v>
      </c>
      <c r="Z97">
        <f>(Y97*3.6)/'Data Kystruten'!$B$10</f>
        <v>0</v>
      </c>
      <c r="AA97">
        <f t="shared" si="33"/>
        <v>6.6808703098699773</v>
      </c>
      <c r="AB97" s="44">
        <f t="shared" si="22"/>
        <v>100</v>
      </c>
    </row>
    <row r="98" spans="1:28">
      <c r="A98" s="35"/>
      <c r="B98" s="24" t="s">
        <v>122</v>
      </c>
      <c r="C98" s="24"/>
      <c r="D98" s="34">
        <v>0.3263888888888889</v>
      </c>
      <c r="E98" s="34">
        <v>0.35416666666666669</v>
      </c>
      <c r="F98" s="32">
        <f t="shared" si="25"/>
        <v>0.66666666666666696</v>
      </c>
      <c r="G98" s="32"/>
      <c r="H98" s="90">
        <v>0</v>
      </c>
      <c r="J98" s="36"/>
      <c r="L98" s="23">
        <f>(F98+G98)*('Data Kystruten'!$B$3+'Data Kystruten'!$B$4)</f>
        <v>2.3333333333333344</v>
      </c>
      <c r="M98">
        <f>L98/'Data Kystruten'!$B$43</f>
        <v>6.3605858266738942</v>
      </c>
      <c r="N98">
        <f>M98/'Data Kystruten'!$B$17</f>
        <v>0.19083665846606343</v>
      </c>
      <c r="O98">
        <f t="shared" si="32"/>
        <v>2.6962150861063345</v>
      </c>
      <c r="Q98" s="44">
        <f t="shared" si="23"/>
        <v>2.6962150861063345</v>
      </c>
      <c r="R98" s="44">
        <f t="shared" si="24"/>
        <v>57.366278427794349</v>
      </c>
      <c r="Y98">
        <f>(X98*'Data Kystruten'!$B$43*'Data Kystruten'!$B$17)/'Data Kystruten'!$B$42</f>
        <v>0</v>
      </c>
      <c r="Z98">
        <f>(Y98*3.6)/'Data Kystruten'!$B$10</f>
        <v>0</v>
      </c>
      <c r="AA98">
        <f t="shared" si="33"/>
        <v>6.6808703098699773</v>
      </c>
      <c r="AB98" s="44">
        <f t="shared" si="22"/>
        <v>100</v>
      </c>
    </row>
    <row r="99" spans="1:28">
      <c r="A99" s="35"/>
      <c r="B99" s="24"/>
      <c r="C99" s="24"/>
      <c r="D99" s="24"/>
      <c r="E99" s="24"/>
      <c r="F99" s="32"/>
      <c r="G99" s="32">
        <f t="shared" si="28"/>
        <v>2.25</v>
      </c>
      <c r="H99" s="90"/>
      <c r="J99" s="36"/>
      <c r="L99" s="23">
        <f>(F99+G99)*('Data Kystruten'!$B$3+'Data Kystruten'!$B$4)</f>
        <v>7.875</v>
      </c>
      <c r="M99">
        <f>L99/'Data Kystruten'!$B$43</f>
        <v>21.466977165024385</v>
      </c>
      <c r="N99">
        <f>M99/'Data Kystruten'!$B$17</f>
        <v>0.64407372232296389</v>
      </c>
      <c r="O99">
        <f t="shared" si="32"/>
        <v>2.0521413637833708</v>
      </c>
      <c r="Q99" s="44">
        <f t="shared" si="23"/>
        <v>2.0521413637833708</v>
      </c>
      <c r="R99" s="44">
        <f t="shared" si="24"/>
        <v>43.662582208156827</v>
      </c>
      <c r="Y99">
        <f>(X99*'Data Kystruten'!$B$43*'Data Kystruten'!$B$17)/'Data Kystruten'!$B$42</f>
        <v>0</v>
      </c>
      <c r="Z99">
        <f>(Y99*3.6)/'Data Kystruten'!$B$10</f>
        <v>0</v>
      </c>
      <c r="AA99">
        <f t="shared" si="33"/>
        <v>6.6808703098699773</v>
      </c>
      <c r="AB99" s="44">
        <f t="shared" si="22"/>
        <v>100</v>
      </c>
    </row>
    <row r="100" spans="1:28">
      <c r="A100" s="35"/>
      <c r="B100" s="24" t="s">
        <v>121</v>
      </c>
      <c r="C100" s="24"/>
      <c r="D100" s="34">
        <v>0.44791666666666669</v>
      </c>
      <c r="E100" s="34">
        <v>0.45833333333333331</v>
      </c>
      <c r="F100" s="32">
        <f t="shared" si="25"/>
        <v>0.24999999999999911</v>
      </c>
      <c r="G100" s="32"/>
      <c r="H100" s="90">
        <v>0</v>
      </c>
      <c r="J100" s="36"/>
      <c r="L100" s="23">
        <f>(F100+G100)*('Data Kystruten'!$B$3+'Data Kystruten'!$B$4)</f>
        <v>0.87499999999999689</v>
      </c>
      <c r="M100">
        <f>L100/'Data Kystruten'!$B$43</f>
        <v>2.385219685002701</v>
      </c>
      <c r="N100">
        <f>M100/'Data Kystruten'!$B$17</f>
        <v>7.1563746924773505E-2</v>
      </c>
      <c r="O100">
        <f t="shared" si="32"/>
        <v>1.9805776168585973</v>
      </c>
      <c r="Q100" s="44">
        <f t="shared" si="23"/>
        <v>1.9805776168585973</v>
      </c>
      <c r="R100" s="44">
        <f t="shared" si="24"/>
        <v>42.139949294863769</v>
      </c>
      <c r="Y100">
        <f>(X100*'Data Kystruten'!$B$43*'Data Kystruten'!$B$17)/'Data Kystruten'!$B$42</f>
        <v>0</v>
      </c>
      <c r="Z100">
        <f>(Y100*3.6)/'Data Kystruten'!$B$10</f>
        <v>0</v>
      </c>
      <c r="AA100">
        <f t="shared" si="33"/>
        <v>6.6808703098699773</v>
      </c>
      <c r="AB100" s="44">
        <f t="shared" si="22"/>
        <v>100</v>
      </c>
    </row>
    <row r="101" spans="1:28">
      <c r="A101" s="35"/>
      <c r="B101" s="24"/>
      <c r="C101" s="24"/>
      <c r="D101" s="24"/>
      <c r="E101" s="24"/>
      <c r="F101" s="32"/>
      <c r="G101" s="32">
        <f t="shared" si="28"/>
        <v>1.5000000000000013</v>
      </c>
      <c r="H101" s="90"/>
      <c r="J101" s="36"/>
      <c r="L101" s="23">
        <f>(F101+G101)*('Data Kystruten'!$B$3+'Data Kystruten'!$B$4)</f>
        <v>5.2500000000000044</v>
      </c>
      <c r="M101">
        <f>L101/'Data Kystruten'!$B$43</f>
        <v>14.311318110016268</v>
      </c>
      <c r="N101">
        <f>M101/'Data Kystruten'!$B$17</f>
        <v>0.42938248154864295</v>
      </c>
      <c r="O101">
        <f t="shared" si="32"/>
        <v>1.5511951353099545</v>
      </c>
      <c r="Q101" s="44">
        <f t="shared" si="23"/>
        <v>1.5511951353099545</v>
      </c>
      <c r="R101" s="44">
        <f t="shared" si="24"/>
        <v>33.004151815105416</v>
      </c>
      <c r="Y101">
        <f>(X101*'Data Kystruten'!$B$43*'Data Kystruten'!$B$17)/'Data Kystruten'!$B$42</f>
        <v>0</v>
      </c>
      <c r="Z101">
        <f>(Y101*3.6)/'Data Kystruten'!$B$10</f>
        <v>0</v>
      </c>
      <c r="AA101">
        <f t="shared" si="33"/>
        <v>6.6808703098699773</v>
      </c>
      <c r="AB101" s="44">
        <f t="shared" si="22"/>
        <v>100</v>
      </c>
    </row>
    <row r="102" spans="1:28">
      <c r="A102" s="35"/>
      <c r="B102" s="24" t="s">
        <v>120</v>
      </c>
      <c r="C102" s="24"/>
      <c r="D102" s="34">
        <v>0.52083333333333337</v>
      </c>
      <c r="E102" s="34">
        <v>0.54166666666666663</v>
      </c>
      <c r="F102" s="32">
        <f t="shared" si="25"/>
        <v>0.49999999999999822</v>
      </c>
      <c r="G102" s="32"/>
      <c r="H102" s="90">
        <v>0</v>
      </c>
      <c r="J102" s="36"/>
      <c r="L102" s="23">
        <f>(F102+G102)*('Data Kystruten'!$B$3+'Data Kystruten'!$B$4)</f>
        <v>1.7499999999999938</v>
      </c>
      <c r="M102">
        <f>L102/'Data Kystruten'!$B$43</f>
        <v>4.770439370005402</v>
      </c>
      <c r="N102">
        <f>M102/'Data Kystruten'!$B$17</f>
        <v>0.14312749384954701</v>
      </c>
      <c r="O102">
        <f t="shared" si="32"/>
        <v>1.4080676414604074</v>
      </c>
      <c r="Q102" s="44">
        <f t="shared" si="23"/>
        <v>1.4080676414604074</v>
      </c>
      <c r="R102" s="44">
        <f t="shared" si="24"/>
        <v>29.958885988519306</v>
      </c>
      <c r="Y102">
        <f>(X102*'Data Kystruten'!$B$43*'Data Kystruten'!$B$17)/'Data Kystruten'!$B$42</f>
        <v>0</v>
      </c>
      <c r="Z102">
        <f>(Y102*3.6)/'Data Kystruten'!$B$10</f>
        <v>0</v>
      </c>
      <c r="AA102">
        <f t="shared" si="33"/>
        <v>6.6808703098699773</v>
      </c>
      <c r="AB102" s="44">
        <f t="shared" si="22"/>
        <v>100</v>
      </c>
    </row>
    <row r="103" spans="1:28">
      <c r="A103" s="35"/>
      <c r="B103" s="24"/>
      <c r="C103" s="24"/>
      <c r="D103" s="24"/>
      <c r="E103" s="24"/>
      <c r="F103" s="32"/>
      <c r="G103" s="32">
        <f t="shared" si="28"/>
        <v>1.2500000000000009</v>
      </c>
      <c r="H103" s="90"/>
      <c r="J103" s="36"/>
      <c r="L103" s="23">
        <f>(F103+G103)*('Data Kystruten'!$B$3+'Data Kystruten'!$B$4)</f>
        <v>4.3750000000000036</v>
      </c>
      <c r="M103">
        <f>L103/'Data Kystruten'!$B$43</f>
        <v>11.926098425013556</v>
      </c>
      <c r="N103">
        <f>M103/'Data Kystruten'!$B$17</f>
        <v>0.35781873462386909</v>
      </c>
      <c r="O103">
        <f t="shared" si="32"/>
        <v>1.0502489068365384</v>
      </c>
      <c r="Q103" s="44">
        <f t="shared" si="23"/>
        <v>1.0502489068365384</v>
      </c>
      <c r="R103" s="44">
        <f t="shared" si="24"/>
        <v>22.345721422054009</v>
      </c>
      <c r="Y103">
        <f>(X103*'Data Kystruten'!$B$43*'Data Kystruten'!$B$17)/'Data Kystruten'!$B$42</f>
        <v>0</v>
      </c>
      <c r="Z103">
        <f>(Y103*3.6)/'Data Kystruten'!$B$10</f>
        <v>0</v>
      </c>
      <c r="AA103">
        <f t="shared" si="33"/>
        <v>6.6808703098699773</v>
      </c>
      <c r="AB103" s="44">
        <f t="shared" si="22"/>
        <v>100</v>
      </c>
    </row>
    <row r="104" spans="1:28">
      <c r="A104" s="35"/>
      <c r="B104" s="24" t="s">
        <v>119</v>
      </c>
      <c r="C104" s="24"/>
      <c r="D104" s="34">
        <v>0.59375</v>
      </c>
      <c r="E104" s="34">
        <v>0.63541666666666663</v>
      </c>
      <c r="F104" s="32">
        <f t="shared" si="25"/>
        <v>0.99999999999999911</v>
      </c>
      <c r="G104" s="32"/>
      <c r="H104" s="90">
        <f>F104-('Data Kystruten'!$B$51*2)</f>
        <v>-8.8817841970012523E-16</v>
      </c>
      <c r="J104" s="36"/>
      <c r="L104" s="23">
        <f>(F104+G104)*('Data Kystruten'!$B$3+'Data Kystruten'!$B$4)</f>
        <v>3.4999999999999969</v>
      </c>
      <c r="M104">
        <f>L104/'Data Kystruten'!$B$43</f>
        <v>9.5408787400108288</v>
      </c>
      <c r="N104">
        <f>M104/'Data Kystruten'!$B$17</f>
        <v>0.2862549876990948</v>
      </c>
      <c r="O104">
        <f t="shared" si="32"/>
        <v>0.76399391913744363</v>
      </c>
      <c r="Q104" s="44">
        <f t="shared" si="23"/>
        <v>0.76399391913744363</v>
      </c>
      <c r="R104" s="44">
        <f t="shared" si="24"/>
        <v>16.255189768881777</v>
      </c>
      <c r="Y104">
        <f>(X104*'Data Kystruten'!$B$43*'Data Kystruten'!$B$17)/'Data Kystruten'!$B$42</f>
        <v>0</v>
      </c>
      <c r="Z104">
        <f>(Y104*3.6)/'Data Kystruten'!$B$10</f>
        <v>0</v>
      </c>
      <c r="AA104">
        <f t="shared" si="33"/>
        <v>6.6808703098699773</v>
      </c>
      <c r="AB104" s="44">
        <f t="shared" si="22"/>
        <v>100</v>
      </c>
    </row>
    <row r="105" spans="1:28">
      <c r="A105" s="35"/>
      <c r="B105" s="24"/>
      <c r="C105" s="24"/>
      <c r="D105" s="24"/>
      <c r="E105" s="24"/>
      <c r="F105" s="32"/>
      <c r="G105" s="32">
        <f t="shared" si="28"/>
        <v>3.2500000000000018</v>
      </c>
      <c r="H105" s="90"/>
      <c r="J105" s="36"/>
      <c r="L105" s="23">
        <f>(F105+G105)*('Data Kystruten'!$B$3+'Data Kystruten'!$B$4)</f>
        <v>11.375000000000007</v>
      </c>
      <c r="M105">
        <f>L105/'Data Kystruten'!$B$43</f>
        <v>31.007855905035242</v>
      </c>
      <c r="N105">
        <f>M105/'Data Kystruten'!$B$17</f>
        <v>0.93032871002205952</v>
      </c>
      <c r="O105">
        <f t="shared" si="32"/>
        <v>-0.16633479088461589</v>
      </c>
      <c r="Q105" s="44">
        <v>0</v>
      </c>
      <c r="R105" s="44">
        <f t="shared" si="24"/>
        <v>0</v>
      </c>
      <c r="W105">
        <f t="shared" si="29"/>
        <v>0.16633479088461589</v>
      </c>
      <c r="X105">
        <f>W105</f>
        <v>0.16633479088461589</v>
      </c>
      <c r="Y105">
        <f>(X105*'Data Kystruten'!$B$43*'Data Kystruten'!$B$17)/'Data Kystruten'!$B$42</f>
        <v>6.1953513633558952</v>
      </c>
      <c r="Z105">
        <f>(Y105*3.6)/'Data Kystruten'!$B$10</f>
        <v>0.45239888251686056</v>
      </c>
      <c r="AA105">
        <f>AA104-Z105</f>
        <v>6.2284714273531172</v>
      </c>
      <c r="AB105" s="44">
        <f t="shared" si="22"/>
        <v>93.228443877311776</v>
      </c>
    </row>
    <row r="106" spans="1:28">
      <c r="A106" s="35"/>
      <c r="B106" s="24" t="s">
        <v>141</v>
      </c>
      <c r="C106" s="24"/>
      <c r="D106" s="34">
        <v>0.77083333333333337</v>
      </c>
      <c r="E106" s="34">
        <v>0.85416666666666663</v>
      </c>
      <c r="F106" s="32">
        <f t="shared" si="25"/>
        <v>1.9999999999999982</v>
      </c>
      <c r="G106" s="32"/>
      <c r="H106" s="90">
        <f>F106-('Data Kystruten'!$B$51*2)</f>
        <v>0.99999999999999822</v>
      </c>
      <c r="J106" s="36"/>
      <c r="L106" s="23">
        <f>(F106+G106)*('Data Kystruten'!$B$3+'Data Kystruten'!$B$4)</f>
        <v>6.9999999999999938</v>
      </c>
      <c r="M106">
        <f>L106/'Data Kystruten'!$B$43</f>
        <v>19.081757480021658</v>
      </c>
      <c r="N106">
        <f>M106/'Data Kystruten'!$B$17</f>
        <v>0.5725099753981896</v>
      </c>
      <c r="O106">
        <f t="shared" si="32"/>
        <v>-0.73884476628280549</v>
      </c>
      <c r="Q106" s="44">
        <v>0</v>
      </c>
      <c r="R106" s="44">
        <f t="shared" si="24"/>
        <v>0</v>
      </c>
      <c r="W106">
        <f t="shared" si="29"/>
        <v>0.73884476628280549</v>
      </c>
      <c r="X106">
        <f>W106-W105</f>
        <v>0.5725099753981896</v>
      </c>
      <c r="Y106">
        <f>(X106*'Data Kystruten'!$B$43*'Data Kystruten'!$B$17)/'Data Kystruten'!$B$42</f>
        <v>21.323863983924198</v>
      </c>
      <c r="Z106">
        <f>(Y106*3.6)/'Data Kystruten'!$B$10</f>
        <v>1.5571178568382782</v>
      </c>
      <c r="AA106">
        <f t="shared" ref="AA106:AA109" si="34">AA105-Z106</f>
        <v>4.6713535705148388</v>
      </c>
      <c r="AB106" s="44">
        <f t="shared" si="22"/>
        <v>69.921332907983853</v>
      </c>
    </row>
    <row r="107" spans="1:28">
      <c r="A107" s="35"/>
      <c r="B107" s="24"/>
      <c r="C107" s="24"/>
      <c r="D107" s="24"/>
      <c r="E107" s="24"/>
      <c r="F107" s="32"/>
      <c r="G107" s="32">
        <f t="shared" si="28"/>
        <v>1.5</v>
      </c>
      <c r="H107" s="90"/>
      <c r="J107" s="36"/>
      <c r="L107" s="23">
        <f>(F107+G107)*('Data Kystruten'!$B$3+'Data Kystruten'!$B$4)</f>
        <v>5.25</v>
      </c>
      <c r="M107">
        <f>L107/'Data Kystruten'!$B$43</f>
        <v>14.311318110016256</v>
      </c>
      <c r="N107">
        <f>M107/'Data Kystruten'!$B$17</f>
        <v>0.42938248154864256</v>
      </c>
      <c r="O107">
        <f t="shared" si="32"/>
        <v>-1.1682272478314482</v>
      </c>
      <c r="Q107" s="44">
        <v>0</v>
      </c>
      <c r="R107" s="44">
        <f t="shared" si="24"/>
        <v>0</v>
      </c>
      <c r="W107">
        <f t="shared" si="29"/>
        <v>1.1682272478314482</v>
      </c>
      <c r="X107">
        <f t="shared" ref="X107:X109" si="35">W107-W106</f>
        <v>0.42938248154864267</v>
      </c>
      <c r="Y107">
        <f>(X107*'Data Kystruten'!$B$43*'Data Kystruten'!$B$17)/'Data Kystruten'!$B$42</f>
        <v>15.992897987943168</v>
      </c>
      <c r="Z107">
        <f>(Y107*3.6)/'Data Kystruten'!$B$10</f>
        <v>1.1678383926287101</v>
      </c>
      <c r="AA107">
        <f t="shared" si="34"/>
        <v>3.5035151778861287</v>
      </c>
      <c r="AB107" s="44">
        <f t="shared" si="22"/>
        <v>52.440999680987879</v>
      </c>
    </row>
    <row r="108" spans="1:28">
      <c r="A108" s="35"/>
      <c r="B108" s="24" t="s">
        <v>116</v>
      </c>
      <c r="C108" s="24"/>
      <c r="D108" s="34">
        <v>0.91666666666666663</v>
      </c>
      <c r="E108" s="34">
        <v>0.9375</v>
      </c>
      <c r="F108" s="32">
        <f t="shared" si="25"/>
        <v>0.50000000000000089</v>
      </c>
      <c r="G108" s="32"/>
      <c r="H108" s="90">
        <v>0</v>
      </c>
      <c r="J108" s="36"/>
      <c r="L108" s="23">
        <f>(F108+G108)*('Data Kystruten'!$B$3+'Data Kystruten'!$B$4)</f>
        <v>1.7500000000000031</v>
      </c>
      <c r="M108">
        <f>L108/'Data Kystruten'!$B$43</f>
        <v>4.7704393700054268</v>
      </c>
      <c r="N108">
        <f>M108/'Data Kystruten'!$B$17</f>
        <v>0.14312749384954776</v>
      </c>
      <c r="O108">
        <f t="shared" si="32"/>
        <v>-1.3113547416809959</v>
      </c>
      <c r="Q108" s="44">
        <v>0</v>
      </c>
      <c r="R108" s="44">
        <f t="shared" si="24"/>
        <v>0</v>
      </c>
      <c r="W108">
        <f t="shared" si="29"/>
        <v>1.3113547416809959</v>
      </c>
      <c r="X108">
        <f t="shared" si="35"/>
        <v>0.1431274938495477</v>
      </c>
      <c r="Y108">
        <f>(X108*'Data Kystruten'!$B$43*'Data Kystruten'!$B$17)/'Data Kystruten'!$B$42</f>
        <v>5.3309659959810611</v>
      </c>
      <c r="Z108">
        <f>(Y108*3.6)/'Data Kystruten'!$B$10</f>
        <v>0.38927946420957044</v>
      </c>
      <c r="AA108">
        <f t="shared" si="34"/>
        <v>3.1142357136765582</v>
      </c>
      <c r="AB108" s="44">
        <f t="shared" si="22"/>
        <v>46.614221938655881</v>
      </c>
    </row>
    <row r="109" spans="1:28">
      <c r="A109" s="35"/>
      <c r="B109" s="24"/>
      <c r="C109" s="24"/>
      <c r="D109" s="24"/>
      <c r="E109" s="24"/>
      <c r="F109" s="32"/>
      <c r="G109" s="32">
        <v>4</v>
      </c>
      <c r="H109" s="90"/>
      <c r="J109" s="36"/>
      <c r="L109" s="23">
        <f>(F109+G109)*('Data Kystruten'!$B$3+'Data Kystruten'!$B$4)</f>
        <v>14</v>
      </c>
      <c r="M109">
        <f>L109/'Data Kystruten'!$B$43</f>
        <v>38.163514960043351</v>
      </c>
      <c r="N109">
        <f>M109/'Data Kystruten'!$B$17</f>
        <v>1.1450199507963803</v>
      </c>
      <c r="O109">
        <f t="shared" si="32"/>
        <v>-2.4563746924773762</v>
      </c>
      <c r="Q109" s="44">
        <v>0</v>
      </c>
      <c r="R109" s="44">
        <f t="shared" si="24"/>
        <v>0</v>
      </c>
      <c r="W109">
        <f t="shared" si="29"/>
        <v>2.4563746924773762</v>
      </c>
      <c r="X109">
        <f t="shared" si="35"/>
        <v>1.1450199507963803</v>
      </c>
      <c r="Y109">
        <f>(X109*'Data Kystruten'!$B$43*'Data Kystruten'!$B$17)/'Data Kystruten'!$B$42</f>
        <v>42.647727967848439</v>
      </c>
      <c r="Z109">
        <f>(Y109*3.6)/'Data Kystruten'!$B$10</f>
        <v>3.1142357136765599</v>
      </c>
      <c r="AA109">
        <f t="shared" si="34"/>
        <v>0</v>
      </c>
      <c r="AB109" s="44">
        <f t="shared" si="22"/>
        <v>0</v>
      </c>
    </row>
    <row r="110" spans="1:28">
      <c r="A110" s="38" t="s">
        <v>142</v>
      </c>
      <c r="B110" s="39" t="s">
        <v>115</v>
      </c>
      <c r="C110" s="39" t="s">
        <v>98</v>
      </c>
      <c r="D110" s="47">
        <v>0.10416666666666667</v>
      </c>
      <c r="E110" s="47">
        <v>0.15625</v>
      </c>
      <c r="F110" s="42">
        <f t="shared" si="25"/>
        <v>1.25</v>
      </c>
      <c r="G110" s="42"/>
      <c r="H110" s="42">
        <f>F110-('Data Kystruten'!$B$51*2)</f>
        <v>0.25</v>
      </c>
      <c r="J110" s="43"/>
      <c r="K110" s="44"/>
      <c r="L110" s="45">
        <f>(F110+G110)*('Data Kystruten'!$B$3+'Data Kystruten'!$B$4)</f>
        <v>4.375</v>
      </c>
      <c r="M110" s="44">
        <f>L110/'Data Kystruten'!$B$43</f>
        <v>11.926098425013548</v>
      </c>
      <c r="N110" s="44">
        <f>M110/'Data Kystruten'!$B$17</f>
        <v>0.35781873462386882</v>
      </c>
      <c r="O110" s="44">
        <f>O94</f>
        <v>4.7</v>
      </c>
      <c r="P110" s="44">
        <f>O110+N110</f>
        <v>5.0578187346238686</v>
      </c>
      <c r="Q110" s="44">
        <f t="shared" si="23"/>
        <v>4.7</v>
      </c>
      <c r="R110" s="44">
        <f t="shared" si="24"/>
        <v>100</v>
      </c>
      <c r="S110" s="44"/>
      <c r="T110" s="44"/>
      <c r="U110" s="44"/>
      <c r="V110" s="44"/>
      <c r="W110" s="44"/>
      <c r="X110" s="44"/>
      <c r="Y110" s="44">
        <f>(X110*'Data Kystruten'!$B$43*'Data Kystruten'!$B$17)/'Data Kystruten'!$B$42</f>
        <v>0</v>
      </c>
      <c r="Z110" s="44">
        <f>(Y110*3.6)/'Data Kystruten'!$B$10</f>
        <v>0</v>
      </c>
      <c r="AA110" s="44">
        <f>AA94</f>
        <v>6.6808703098699773</v>
      </c>
      <c r="AB110" s="44">
        <f t="shared" si="22"/>
        <v>100</v>
      </c>
    </row>
    <row r="111" spans="1:28">
      <c r="A111" s="35"/>
      <c r="B111" s="24"/>
      <c r="C111" s="24"/>
      <c r="D111" s="24"/>
      <c r="E111" s="24"/>
      <c r="F111" s="32"/>
      <c r="G111" s="32">
        <f t="shared" si="28"/>
        <v>2.916666666666667</v>
      </c>
      <c r="H111" s="90"/>
      <c r="J111" s="36"/>
      <c r="L111" s="23">
        <f>(F111+G111)*('Data Kystruten'!$B$3+'Data Kystruten'!$B$4)</f>
        <v>10.208333333333334</v>
      </c>
      <c r="M111">
        <f>L111/'Data Kystruten'!$B$43</f>
        <v>27.827562991698279</v>
      </c>
      <c r="N111">
        <f>M111/'Data Kystruten'!$B$17</f>
        <v>0.83491038078902735</v>
      </c>
      <c r="O111">
        <f>O110-N111</f>
        <v>3.8650896192109729</v>
      </c>
      <c r="Q111" s="44">
        <f t="shared" si="23"/>
        <v>3.8650896192109729</v>
      </c>
      <c r="R111" s="44">
        <f t="shared" si="24"/>
        <v>82.235949344914317</v>
      </c>
      <c r="Y111">
        <f>(X111*'Data Kystruten'!$B$43*'Data Kystruten'!$B$17)/'Data Kystruten'!$B$42</f>
        <v>0</v>
      </c>
      <c r="Z111">
        <f>(Y111*3.6)/'Data Kystruten'!$B$10</f>
        <v>0</v>
      </c>
      <c r="AA111">
        <f>AA110</f>
        <v>6.6808703098699773</v>
      </c>
      <c r="AB111" s="44">
        <f t="shared" si="22"/>
        <v>100</v>
      </c>
    </row>
    <row r="112" spans="1:28">
      <c r="A112" s="35"/>
      <c r="B112" s="24" t="s">
        <v>114</v>
      </c>
      <c r="C112" s="24"/>
      <c r="D112" s="34">
        <v>0.27777777777777779</v>
      </c>
      <c r="E112" s="34">
        <v>0.28472222222222221</v>
      </c>
      <c r="F112" s="32">
        <f t="shared" si="25"/>
        <v>0.16666666666666607</v>
      </c>
      <c r="G112" s="32"/>
      <c r="H112" s="90">
        <v>0</v>
      </c>
      <c r="J112" s="36"/>
      <c r="L112" s="23">
        <f>(F112+G112)*('Data Kystruten'!$B$3+'Data Kystruten'!$B$4)</f>
        <v>0.58333333333333126</v>
      </c>
      <c r="M112">
        <f>L112/'Data Kystruten'!$B$43</f>
        <v>1.5901464566684673</v>
      </c>
      <c r="N112">
        <f>M112/'Data Kystruten'!$B$17</f>
        <v>4.7709164616515677E-2</v>
      </c>
      <c r="O112">
        <f t="shared" ref="O112:O121" si="36">O111-N112</f>
        <v>3.8173804545944572</v>
      </c>
      <c r="Q112" s="44">
        <f t="shared" si="23"/>
        <v>3.8173804545944572</v>
      </c>
      <c r="R112" s="44">
        <f t="shared" si="24"/>
        <v>81.220860736052288</v>
      </c>
      <c r="Y112">
        <f>(X112*'Data Kystruten'!$B$43*'Data Kystruten'!$B$17)/'Data Kystruten'!$B$42</f>
        <v>0</v>
      </c>
      <c r="Z112">
        <f>(Y112*3.6)/'Data Kystruten'!$B$10</f>
        <v>0</v>
      </c>
      <c r="AA112">
        <f t="shared" ref="AA112:AA118" si="37">AA111</f>
        <v>6.6808703098699773</v>
      </c>
      <c r="AB112" s="44">
        <f t="shared" si="22"/>
        <v>100</v>
      </c>
    </row>
    <row r="113" spans="1:28">
      <c r="A113" s="35"/>
      <c r="B113" s="24"/>
      <c r="C113" s="24"/>
      <c r="D113" s="24"/>
      <c r="E113" s="24"/>
      <c r="F113" s="32"/>
      <c r="G113" s="32">
        <f t="shared" si="28"/>
        <v>3.5833333333333326</v>
      </c>
      <c r="H113" s="90"/>
      <c r="J113" s="36"/>
      <c r="L113" s="23">
        <f>(F113+G113)*('Data Kystruten'!$B$3+'Data Kystruten'!$B$4)</f>
        <v>12.541666666666664</v>
      </c>
      <c r="M113">
        <f>L113/'Data Kystruten'!$B$43</f>
        <v>34.188148818372163</v>
      </c>
      <c r="N113">
        <f>M113/'Data Kystruten'!$B$17</f>
        <v>1.0257470392550905</v>
      </c>
      <c r="O113">
        <f t="shared" si="36"/>
        <v>2.7916334153393665</v>
      </c>
      <c r="Q113" s="44">
        <f t="shared" si="23"/>
        <v>2.7916334153393665</v>
      </c>
      <c r="R113" s="44">
        <f t="shared" si="24"/>
        <v>59.396455645518429</v>
      </c>
      <c r="Y113">
        <f>(X113*'Data Kystruten'!$B$43*'Data Kystruten'!$B$17)/'Data Kystruten'!$B$42</f>
        <v>0</v>
      </c>
      <c r="Z113">
        <f>(Y113*3.6)/'Data Kystruten'!$B$10</f>
        <v>0</v>
      </c>
      <c r="AA113">
        <f t="shared" si="37"/>
        <v>6.6808703098699773</v>
      </c>
      <c r="AB113" s="44">
        <f t="shared" si="22"/>
        <v>100</v>
      </c>
    </row>
    <row r="114" spans="1:28">
      <c r="A114" s="35"/>
      <c r="B114" s="24" t="s">
        <v>143</v>
      </c>
      <c r="C114" s="24"/>
      <c r="D114" s="34">
        <v>0.43402777777777773</v>
      </c>
      <c r="E114" s="34">
        <v>0.44097222222222227</v>
      </c>
      <c r="F114" s="32">
        <f t="shared" si="25"/>
        <v>0.16666666666666874</v>
      </c>
      <c r="G114" s="32"/>
      <c r="H114" s="90">
        <v>0</v>
      </c>
      <c r="J114" s="36"/>
      <c r="L114" s="23">
        <f>(F114+G114)*('Data Kystruten'!$B$3+'Data Kystruten'!$B$4)</f>
        <v>0.58333333333334059</v>
      </c>
      <c r="M114">
        <f>L114/'Data Kystruten'!$B$43</f>
        <v>1.5901464566684926</v>
      </c>
      <c r="N114">
        <f>M114/'Data Kystruten'!$B$17</f>
        <v>4.7709164616516433E-2</v>
      </c>
      <c r="O114">
        <f t="shared" si="36"/>
        <v>2.7439242507228498</v>
      </c>
      <c r="Q114" s="44">
        <f t="shared" si="23"/>
        <v>2.7439242507228498</v>
      </c>
      <c r="R114" s="44">
        <f t="shared" si="24"/>
        <v>58.381367036656371</v>
      </c>
      <c r="Y114">
        <f>(X114*'Data Kystruten'!$B$43*'Data Kystruten'!$B$17)/'Data Kystruten'!$B$42</f>
        <v>0</v>
      </c>
      <c r="Z114">
        <f>(Y114*3.6)/'Data Kystruten'!$B$10</f>
        <v>0</v>
      </c>
      <c r="AA114">
        <f t="shared" si="37"/>
        <v>6.6808703098699773</v>
      </c>
      <c r="AB114" s="44">
        <f t="shared" si="22"/>
        <v>100</v>
      </c>
    </row>
    <row r="115" spans="1:28">
      <c r="A115" s="35"/>
      <c r="B115" s="24"/>
      <c r="C115" s="24"/>
      <c r="D115" s="24"/>
      <c r="E115" s="24"/>
      <c r="F115" s="32"/>
      <c r="G115" s="32">
        <f t="shared" si="28"/>
        <v>1.1666666666666652</v>
      </c>
      <c r="H115" s="90"/>
      <c r="J115" s="36"/>
      <c r="L115" s="23">
        <f>(F115+G115)*('Data Kystruten'!$B$3+'Data Kystruten'!$B$4)</f>
        <v>4.0833333333333286</v>
      </c>
      <c r="M115">
        <f>L115/'Data Kystruten'!$B$43</f>
        <v>11.131025196679298</v>
      </c>
      <c r="N115">
        <f>M115/'Data Kystruten'!$B$17</f>
        <v>0.3339641523156105</v>
      </c>
      <c r="O115">
        <f t="shared" si="36"/>
        <v>2.4099600984072396</v>
      </c>
      <c r="Q115" s="44">
        <f t="shared" si="23"/>
        <v>2.4099600984072396</v>
      </c>
      <c r="R115" s="44">
        <f t="shared" si="24"/>
        <v>51.275746774622121</v>
      </c>
      <c r="Y115">
        <f>(X115*'Data Kystruten'!$B$43*'Data Kystruten'!$B$17)/'Data Kystruten'!$B$42</f>
        <v>0</v>
      </c>
      <c r="Z115">
        <f>(Y115*3.6)/'Data Kystruten'!$B$10</f>
        <v>0</v>
      </c>
      <c r="AA115">
        <f t="shared" si="37"/>
        <v>6.6808703098699773</v>
      </c>
      <c r="AB115" s="44">
        <f t="shared" si="22"/>
        <v>100</v>
      </c>
    </row>
    <row r="116" spans="1:28">
      <c r="A116" s="35"/>
      <c r="B116" s="24" t="s">
        <v>111</v>
      </c>
      <c r="C116" s="25" t="s">
        <v>112</v>
      </c>
      <c r="D116" s="34">
        <v>0.48958333333333331</v>
      </c>
      <c r="E116" s="34">
        <v>0.51041666666666663</v>
      </c>
      <c r="F116" s="32">
        <f t="shared" si="25"/>
        <v>0.49999999999999956</v>
      </c>
      <c r="G116" s="32"/>
      <c r="H116" s="90">
        <v>0</v>
      </c>
      <c r="J116" s="36"/>
      <c r="L116" s="23">
        <f>(F116+G116)*('Data Kystruten'!$B$3+'Data Kystruten'!$B$4)</f>
        <v>1.7499999999999984</v>
      </c>
      <c r="M116">
        <f>L116/'Data Kystruten'!$B$43</f>
        <v>4.7704393700054144</v>
      </c>
      <c r="N116">
        <f>M116/'Data Kystruten'!$B$17</f>
        <v>0.1431274938495474</v>
      </c>
      <c r="O116">
        <f t="shared" si="36"/>
        <v>2.2668326045576923</v>
      </c>
      <c r="Q116" s="44">
        <f t="shared" si="23"/>
        <v>2.2668326045576923</v>
      </c>
      <c r="R116" s="44">
        <f t="shared" si="24"/>
        <v>48.230480948036003</v>
      </c>
      <c r="Y116">
        <f>(X116*'Data Kystruten'!$B$43*'Data Kystruten'!$B$17)/'Data Kystruten'!$B$42</f>
        <v>0</v>
      </c>
      <c r="Z116">
        <f>(Y116*3.6)/'Data Kystruten'!$B$10</f>
        <v>0</v>
      </c>
      <c r="AA116">
        <f t="shared" si="37"/>
        <v>6.6808703098699773</v>
      </c>
      <c r="AB116" s="44">
        <f t="shared" si="22"/>
        <v>100</v>
      </c>
    </row>
    <row r="117" spans="1:28">
      <c r="A117" s="35"/>
      <c r="B117" s="24"/>
      <c r="C117" s="24"/>
      <c r="D117" s="24"/>
      <c r="E117" s="24"/>
      <c r="F117" s="32"/>
      <c r="G117" s="32">
        <f t="shared" si="28"/>
        <v>2.7500000000000009</v>
      </c>
      <c r="H117" s="90"/>
      <c r="J117" s="36"/>
      <c r="L117" s="23">
        <f>(F117+G117)*('Data Kystruten'!$B$3+'Data Kystruten'!$B$4)</f>
        <v>9.6250000000000036</v>
      </c>
      <c r="M117">
        <f>L117/'Data Kystruten'!$B$43</f>
        <v>26.237416535029812</v>
      </c>
      <c r="N117">
        <f>M117/'Data Kystruten'!$B$17</f>
        <v>0.78720121617251171</v>
      </c>
      <c r="O117">
        <f t="shared" si="36"/>
        <v>1.4796313883851806</v>
      </c>
      <c r="Q117" s="44">
        <f t="shared" si="23"/>
        <v>1.4796313883851806</v>
      </c>
      <c r="R117" s="44">
        <f t="shared" si="24"/>
        <v>31.48151890181235</v>
      </c>
      <c r="Y117">
        <f>(X117*'Data Kystruten'!$B$43*'Data Kystruten'!$B$17)/'Data Kystruten'!$B$42</f>
        <v>0</v>
      </c>
      <c r="Z117">
        <f>(Y117*3.6)/'Data Kystruten'!$B$10</f>
        <v>0</v>
      </c>
      <c r="AA117">
        <f t="shared" si="37"/>
        <v>6.6808703098699773</v>
      </c>
      <c r="AB117" s="44">
        <f t="shared" si="22"/>
        <v>100</v>
      </c>
    </row>
    <row r="118" spans="1:28">
      <c r="A118" s="35"/>
      <c r="B118" s="24" t="s">
        <v>110</v>
      </c>
      <c r="C118" s="24"/>
      <c r="D118" s="34">
        <v>0.625</v>
      </c>
      <c r="E118" s="34">
        <v>0.72916666666666663</v>
      </c>
      <c r="F118" s="32">
        <f t="shared" si="25"/>
        <v>2.4999999999999991</v>
      </c>
      <c r="G118" s="32"/>
      <c r="H118" s="90">
        <f>F118-('Data Kystruten'!$B$51*2)</f>
        <v>1.4999999999999991</v>
      </c>
      <c r="J118" s="36"/>
      <c r="L118" s="23">
        <f>(F118+G118)*('Data Kystruten'!$B$3+'Data Kystruten'!$B$4)</f>
        <v>8.7499999999999964</v>
      </c>
      <c r="M118">
        <f>L118/'Data Kystruten'!$B$43</f>
        <v>23.852196850027084</v>
      </c>
      <c r="N118">
        <f>M118/'Data Kystruten'!$B$17</f>
        <v>0.7156374692477373</v>
      </c>
      <c r="O118">
        <f t="shared" si="36"/>
        <v>0.7639939191374433</v>
      </c>
      <c r="Q118" s="44">
        <f t="shared" si="23"/>
        <v>0.7639939191374433</v>
      </c>
      <c r="R118" s="44">
        <f t="shared" si="24"/>
        <v>16.255189768881774</v>
      </c>
      <c r="Y118">
        <f>(X118*'Data Kystruten'!$B$43*'Data Kystruten'!$B$17)/'Data Kystruten'!$B$42</f>
        <v>0</v>
      </c>
      <c r="Z118">
        <f>(Y118*3.6)/'Data Kystruten'!$B$10</f>
        <v>0</v>
      </c>
      <c r="AA118">
        <f t="shared" si="37"/>
        <v>6.6808703098699773</v>
      </c>
      <c r="AB118" s="44">
        <f t="shared" si="22"/>
        <v>100</v>
      </c>
    </row>
    <row r="119" spans="1:28">
      <c r="A119" s="35"/>
      <c r="B119" s="24"/>
      <c r="C119" s="24"/>
      <c r="D119" s="24"/>
      <c r="E119" s="24"/>
      <c r="F119" s="32"/>
      <c r="G119" s="32">
        <f t="shared" si="28"/>
        <v>3.5000000000000009</v>
      </c>
      <c r="H119" s="90"/>
      <c r="J119" s="36"/>
      <c r="L119" s="23">
        <f>(F119+G119)*('Data Kystruten'!$B$3+'Data Kystruten'!$B$4)</f>
        <v>12.250000000000004</v>
      </c>
      <c r="M119">
        <f>L119/'Data Kystruten'!$B$43</f>
        <v>33.393075590037938</v>
      </c>
      <c r="N119">
        <f>M119/'Data Kystruten'!$B$17</f>
        <v>1.0018924569468328</v>
      </c>
      <c r="O119">
        <f t="shared" si="36"/>
        <v>-0.23789853780938952</v>
      </c>
      <c r="Q119" s="44">
        <v>0</v>
      </c>
      <c r="R119" s="44">
        <f t="shared" si="24"/>
        <v>0</v>
      </c>
      <c r="W119">
        <f t="shared" si="29"/>
        <v>0.23789853780938952</v>
      </c>
      <c r="X119">
        <f>W119</f>
        <v>0.23789853780938952</v>
      </c>
      <c r="Y119">
        <f>(X119*'Data Kystruten'!$B$43*'Data Kystruten'!$B$17)/'Data Kystruten'!$B$42</f>
        <v>8.8608343613464182</v>
      </c>
      <c r="Z119">
        <f>(Y119*3.6)/'Data Kystruten'!$B$10</f>
        <v>0.64703861462164525</v>
      </c>
      <c r="AA119">
        <f>AA118-Z119</f>
        <v>6.033831695248332</v>
      </c>
      <c r="AB119" s="44">
        <f t="shared" si="22"/>
        <v>90.315055006145784</v>
      </c>
    </row>
    <row r="120" spans="1:28">
      <c r="A120" s="35"/>
      <c r="B120" s="24" t="s">
        <v>108</v>
      </c>
      <c r="C120" s="24"/>
      <c r="D120" s="34">
        <v>0.875</v>
      </c>
      <c r="E120" s="34">
        <v>0.89583333333333337</v>
      </c>
      <c r="F120" s="32">
        <f t="shared" si="25"/>
        <v>0.50000000000000089</v>
      </c>
      <c r="G120" s="32"/>
      <c r="H120" s="90">
        <v>0</v>
      </c>
      <c r="J120" s="36"/>
      <c r="L120" s="23">
        <f>(F120+G120)*('Data Kystruten'!$B$3+'Data Kystruten'!$B$4)</f>
        <v>1.7500000000000031</v>
      </c>
      <c r="M120">
        <f>L120/'Data Kystruten'!$B$43</f>
        <v>4.7704393700054268</v>
      </c>
      <c r="N120">
        <f>M120/'Data Kystruten'!$B$17</f>
        <v>0.14312749384954776</v>
      </c>
      <c r="O120">
        <f t="shared" si="36"/>
        <v>-0.38102603165893728</v>
      </c>
      <c r="Q120" s="44">
        <v>0</v>
      </c>
      <c r="R120" s="44">
        <f t="shared" si="24"/>
        <v>0</v>
      </c>
      <c r="W120">
        <f t="shared" si="29"/>
        <v>0.38102603165893728</v>
      </c>
      <c r="X120">
        <f>W120-W119</f>
        <v>0.14312749384954776</v>
      </c>
      <c r="Y120">
        <f>(X120*'Data Kystruten'!$B$43*'Data Kystruten'!$B$17)/'Data Kystruten'!$B$42</f>
        <v>5.3309659959810629</v>
      </c>
      <c r="Z120">
        <f>(Y120*3.6)/'Data Kystruten'!$B$10</f>
        <v>0.3892794642095706</v>
      </c>
      <c r="AA120">
        <f t="shared" ref="AA120:AA121" si="38">AA119-Z120</f>
        <v>5.6445522310387615</v>
      </c>
      <c r="AB120" s="44">
        <f t="shared" si="22"/>
        <v>84.488277263813785</v>
      </c>
    </row>
    <row r="121" spans="1:28">
      <c r="A121" s="35"/>
      <c r="B121" s="24"/>
      <c r="C121" s="24"/>
      <c r="D121" s="24"/>
      <c r="E121" s="24"/>
      <c r="F121" s="32"/>
      <c r="G121" s="32">
        <v>7</v>
      </c>
      <c r="H121" s="90"/>
      <c r="J121" s="36"/>
      <c r="L121" s="23">
        <f>(F121+G121)*('Data Kystruten'!$B$3+'Data Kystruten'!$B$4)</f>
        <v>24.5</v>
      </c>
      <c r="M121">
        <f>L121/'Data Kystruten'!$B$43</f>
        <v>66.786151180075862</v>
      </c>
      <c r="N121">
        <f>M121/'Data Kystruten'!$B$17</f>
        <v>2.0037849138936652</v>
      </c>
      <c r="O121">
        <f t="shared" si="36"/>
        <v>-2.3848109455526023</v>
      </c>
      <c r="Q121" s="44">
        <v>0</v>
      </c>
      <c r="R121" s="44">
        <f t="shared" si="24"/>
        <v>0</v>
      </c>
      <c r="W121">
        <f t="shared" si="29"/>
        <v>2.3848109455526023</v>
      </c>
      <c r="X121">
        <f>W121-W120</f>
        <v>2.0037849138936652</v>
      </c>
      <c r="Y121">
        <f>(X121*'Data Kystruten'!$B$43*'Data Kystruten'!$B$17)/'Data Kystruten'!$B$42</f>
        <v>74.633523943734758</v>
      </c>
      <c r="Z121">
        <f>(Y121*3.6)/'Data Kystruten'!$B$10</f>
        <v>5.4499124989339789</v>
      </c>
      <c r="AA121">
        <f t="shared" si="38"/>
        <v>0.19463973210478258</v>
      </c>
      <c r="AB121" s="44">
        <f t="shared" si="22"/>
        <v>2.9133888711659583</v>
      </c>
    </row>
    <row r="122" spans="1:28">
      <c r="A122" s="38" t="s">
        <v>144</v>
      </c>
      <c r="B122" s="39" t="s">
        <v>107</v>
      </c>
      <c r="C122" s="39" t="s">
        <v>98</v>
      </c>
      <c r="D122" s="47">
        <v>0.27083333333333331</v>
      </c>
      <c r="E122" s="47">
        <v>0.40625</v>
      </c>
      <c r="F122" s="42">
        <f t="shared" si="25"/>
        <v>3.2500000000000004</v>
      </c>
      <c r="G122" s="42"/>
      <c r="H122" s="42">
        <f>F122-('Data Kystruten'!$B$51*2)</f>
        <v>2.2500000000000004</v>
      </c>
      <c r="J122" s="43"/>
      <c r="K122" s="44"/>
      <c r="L122" s="45">
        <f>(F122+G122)*('Data Kystruten'!$B$3+'Data Kystruten'!$B$4)</f>
        <v>11.375000000000002</v>
      </c>
      <c r="M122" s="44">
        <f>L122/'Data Kystruten'!$B$43</f>
        <v>31.007855905035228</v>
      </c>
      <c r="N122" s="44">
        <f>M122/'Data Kystruten'!$B$17</f>
        <v>0.93032871002205908</v>
      </c>
      <c r="O122" s="44">
        <f>O110</f>
        <v>4.7</v>
      </c>
      <c r="P122" s="44">
        <f>O122+N122</f>
        <v>5.6303287100220594</v>
      </c>
      <c r="Q122" s="44">
        <f t="shared" si="23"/>
        <v>4.7</v>
      </c>
      <c r="R122" s="44">
        <f t="shared" si="24"/>
        <v>100</v>
      </c>
      <c r="S122" s="44"/>
      <c r="T122" s="44"/>
      <c r="U122" s="44"/>
      <c r="V122" s="44"/>
      <c r="W122" s="44"/>
      <c r="X122" s="44"/>
      <c r="Y122" s="44">
        <f>(X122*'Data Kystruten'!$B$43*'Data Kystruten'!$B$17)/'Data Kystruten'!$B$42</f>
        <v>0</v>
      </c>
      <c r="Z122" s="44">
        <f>(Y122*3.6)/'Data Kystruten'!$B$10</f>
        <v>0</v>
      </c>
      <c r="AA122" s="44">
        <f>AA110</f>
        <v>6.6808703098699773</v>
      </c>
      <c r="AB122" s="44">
        <f t="shared" si="22"/>
        <v>100</v>
      </c>
    </row>
    <row r="123" spans="1:28">
      <c r="A123" s="35"/>
      <c r="B123" s="24"/>
      <c r="C123" s="24"/>
      <c r="D123" s="24"/>
      <c r="E123" s="24"/>
      <c r="F123" s="32"/>
      <c r="G123" s="32">
        <f t="shared" si="28"/>
        <v>6.75</v>
      </c>
      <c r="H123" s="90"/>
      <c r="J123" s="36"/>
      <c r="L123" s="23">
        <f>(F123+G123)*('Data Kystruten'!$B$3+'Data Kystruten'!$B$4)</f>
        <v>23.625</v>
      </c>
      <c r="M123">
        <f>L123/'Data Kystruten'!$B$43</f>
        <v>64.400931495073152</v>
      </c>
      <c r="N123">
        <f>M123/'Data Kystruten'!$B$17</f>
        <v>1.9322211669688916</v>
      </c>
      <c r="O123" s="54">
        <f t="shared" ref="O123:O127" si="39">O111</f>
        <v>3.8650896192109729</v>
      </c>
      <c r="Q123" s="44">
        <f t="shared" si="23"/>
        <v>3.8650896192109729</v>
      </c>
      <c r="R123" s="44">
        <f t="shared" si="24"/>
        <v>82.235949344914317</v>
      </c>
      <c r="Y123">
        <f>(X123*'Data Kystruten'!$B$43*'Data Kystruten'!$B$17)/'Data Kystruten'!$B$42</f>
        <v>0</v>
      </c>
      <c r="Z123">
        <f>(Y123*3.6)/'Data Kystruten'!$B$10</f>
        <v>0</v>
      </c>
      <c r="AA123">
        <f>AA122</f>
        <v>6.6808703098699773</v>
      </c>
      <c r="AB123" s="44">
        <f t="shared" si="22"/>
        <v>100</v>
      </c>
    </row>
    <row r="124" spans="1:28">
      <c r="A124" s="35"/>
      <c r="B124" s="24" t="s">
        <v>145</v>
      </c>
      <c r="C124" s="24"/>
      <c r="D124" s="34">
        <v>0.6875</v>
      </c>
      <c r="E124" s="34">
        <v>0.70833333333333337</v>
      </c>
      <c r="F124" s="32">
        <f t="shared" si="25"/>
        <v>0.50000000000000089</v>
      </c>
      <c r="G124" s="32"/>
      <c r="H124" s="90">
        <v>0</v>
      </c>
      <c r="J124" s="36"/>
      <c r="L124" s="23">
        <f>(F124+G124)*('Data Kystruten'!$B$3+'Data Kystruten'!$B$4)</f>
        <v>1.7500000000000031</v>
      </c>
      <c r="M124">
        <f>L124/'Data Kystruten'!$B$43</f>
        <v>4.7704393700054268</v>
      </c>
      <c r="N124">
        <f>M124/'Data Kystruten'!$B$17</f>
        <v>0.14312749384954776</v>
      </c>
      <c r="O124" s="54">
        <f t="shared" si="39"/>
        <v>3.8173804545944572</v>
      </c>
      <c r="Q124" s="44">
        <f t="shared" si="23"/>
        <v>3.8173804545944572</v>
      </c>
      <c r="R124" s="44">
        <f t="shared" si="24"/>
        <v>81.220860736052288</v>
      </c>
      <c r="Y124">
        <f>(X124*'Data Kystruten'!$B$43*'Data Kystruten'!$B$17)/'Data Kystruten'!$B$42</f>
        <v>0</v>
      </c>
      <c r="Z124">
        <f>(Y124*3.6)/'Data Kystruten'!$B$10</f>
        <v>0</v>
      </c>
      <c r="AA124">
        <f t="shared" ref="AA124:AA136" si="40">AA123</f>
        <v>6.6808703098699773</v>
      </c>
      <c r="AB124" s="44">
        <f t="shared" si="22"/>
        <v>100</v>
      </c>
    </row>
    <row r="125" spans="1:28">
      <c r="A125" s="35"/>
      <c r="B125" s="24"/>
      <c r="C125" s="24"/>
      <c r="D125" s="24"/>
      <c r="E125" s="24"/>
      <c r="F125" s="32"/>
      <c r="G125" s="32">
        <f t="shared" si="28"/>
        <v>3.9999999999999991</v>
      </c>
      <c r="H125" s="90"/>
      <c r="J125" s="36"/>
      <c r="L125" s="23">
        <f>(F125+G125)*('Data Kystruten'!$B$3+'Data Kystruten'!$B$4)</f>
        <v>13.999999999999996</v>
      </c>
      <c r="M125">
        <f>L125/'Data Kystruten'!$B$43</f>
        <v>38.163514960043344</v>
      </c>
      <c r="N125">
        <f>M125/'Data Kystruten'!$B$17</f>
        <v>1.1450199507963801</v>
      </c>
      <c r="O125" s="54">
        <f t="shared" si="39"/>
        <v>2.7916334153393665</v>
      </c>
      <c r="Q125" s="44">
        <f t="shared" si="23"/>
        <v>2.7916334153393665</v>
      </c>
      <c r="R125" s="44">
        <f t="shared" si="24"/>
        <v>59.396455645518429</v>
      </c>
      <c r="Y125">
        <f>(X125*'Data Kystruten'!$B$43*'Data Kystruten'!$B$17)/'Data Kystruten'!$B$42</f>
        <v>0</v>
      </c>
      <c r="Z125">
        <f>(Y125*3.6)/'Data Kystruten'!$B$10</f>
        <v>0</v>
      </c>
      <c r="AA125">
        <f t="shared" si="40"/>
        <v>6.6808703098699773</v>
      </c>
      <c r="AB125" s="44">
        <f t="shared" si="22"/>
        <v>100</v>
      </c>
    </row>
    <row r="126" spans="1:28">
      <c r="A126" s="35"/>
      <c r="B126" s="24" t="s">
        <v>104</v>
      </c>
      <c r="C126" s="24"/>
      <c r="D126" s="34">
        <v>0.875</v>
      </c>
      <c r="E126" s="34">
        <v>0.89583333333333337</v>
      </c>
      <c r="F126" s="32">
        <f t="shared" si="25"/>
        <v>0.50000000000000089</v>
      </c>
      <c r="G126" s="32"/>
      <c r="H126" s="90">
        <v>0</v>
      </c>
      <c r="J126" s="36"/>
      <c r="L126" s="23">
        <f>(F126+G126)*('Data Kystruten'!$B$3+'Data Kystruten'!$B$4)</f>
        <v>1.7500000000000031</v>
      </c>
      <c r="M126">
        <f>L126/'Data Kystruten'!$B$43</f>
        <v>4.7704393700054268</v>
      </c>
      <c r="N126">
        <f>M126/'Data Kystruten'!$B$17</f>
        <v>0.14312749384954776</v>
      </c>
      <c r="O126" s="54">
        <f t="shared" si="39"/>
        <v>2.7439242507228498</v>
      </c>
      <c r="Q126" s="44">
        <f t="shared" si="23"/>
        <v>2.7439242507228498</v>
      </c>
      <c r="R126" s="44">
        <f t="shared" si="24"/>
        <v>58.381367036656371</v>
      </c>
      <c r="Y126">
        <f>(X126*'Data Kystruten'!$B$43*'Data Kystruten'!$B$17)/'Data Kystruten'!$B$42</f>
        <v>0</v>
      </c>
      <c r="Z126">
        <f>(Y126*3.6)/'Data Kystruten'!$B$10</f>
        <v>0</v>
      </c>
      <c r="AA126">
        <f t="shared" si="40"/>
        <v>6.6808703098699773</v>
      </c>
      <c r="AB126" s="44">
        <f t="shared" si="22"/>
        <v>100</v>
      </c>
    </row>
    <row r="127" spans="1:28">
      <c r="A127" s="35"/>
      <c r="B127" s="24"/>
      <c r="C127" s="24"/>
      <c r="D127" s="24"/>
      <c r="E127" s="24"/>
      <c r="F127" s="32"/>
      <c r="G127" s="32">
        <v>3</v>
      </c>
      <c r="H127" s="90"/>
      <c r="J127" s="36"/>
      <c r="L127" s="23">
        <f>(F127+G127)*('Data Kystruten'!$B$3+'Data Kystruten'!$B$4)</f>
        <v>10.5</v>
      </c>
      <c r="M127">
        <f>L127/'Data Kystruten'!$B$43</f>
        <v>28.622636220032511</v>
      </c>
      <c r="N127">
        <f>M127/'Data Kystruten'!$B$17</f>
        <v>0.85876496309728512</v>
      </c>
      <c r="O127" s="54">
        <f t="shared" si="39"/>
        <v>2.4099600984072396</v>
      </c>
      <c r="Q127" s="44">
        <f t="shared" si="23"/>
        <v>2.4099600984072396</v>
      </c>
      <c r="R127" s="44">
        <f t="shared" si="24"/>
        <v>51.275746774622121</v>
      </c>
      <c r="Y127">
        <f>(X127*'Data Kystruten'!$B$43*'Data Kystruten'!$B$17)/'Data Kystruten'!$B$42</f>
        <v>0</v>
      </c>
      <c r="Z127">
        <f>(Y127*3.6)/'Data Kystruten'!$B$10</f>
        <v>0</v>
      </c>
      <c r="AA127">
        <f t="shared" si="40"/>
        <v>6.6808703098699773</v>
      </c>
      <c r="AB127" s="44">
        <f t="shared" si="22"/>
        <v>100</v>
      </c>
    </row>
    <row r="128" spans="1:28">
      <c r="A128" s="38" t="s">
        <v>146</v>
      </c>
      <c r="B128" s="39" t="s">
        <v>103</v>
      </c>
      <c r="C128" s="39" t="s">
        <v>98</v>
      </c>
      <c r="D128" s="47">
        <v>2.0833333333333332E-2</v>
      </c>
      <c r="E128" s="47">
        <v>4.1666666666666664E-2</v>
      </c>
      <c r="F128" s="42">
        <f t="shared" si="25"/>
        <v>0.5</v>
      </c>
      <c r="G128" s="42"/>
      <c r="H128" s="42">
        <v>0</v>
      </c>
      <c r="J128" s="43"/>
      <c r="K128" s="44"/>
      <c r="L128" s="45">
        <f>(F128+G128)*('Data Kystruten'!$B$3+'Data Kystruten'!$B$4)</f>
        <v>1.75</v>
      </c>
      <c r="M128" s="44">
        <f>L128/'Data Kystruten'!$B$43</f>
        <v>4.7704393700054188</v>
      </c>
      <c r="N128" s="44">
        <f>M128/'Data Kystruten'!$B$17</f>
        <v>0.14312749384954754</v>
      </c>
      <c r="O128" s="44">
        <f>O122</f>
        <v>4.7</v>
      </c>
      <c r="P128" s="44">
        <f>O128+N128-O127</f>
        <v>2.4331673954423083</v>
      </c>
      <c r="Q128" s="44">
        <f t="shared" si="23"/>
        <v>4.7</v>
      </c>
      <c r="R128" s="44">
        <f t="shared" si="24"/>
        <v>100</v>
      </c>
      <c r="S128" s="44"/>
      <c r="T128" s="44"/>
      <c r="U128" s="44"/>
      <c r="V128" s="44"/>
      <c r="W128" s="44"/>
      <c r="X128" s="44"/>
      <c r="Y128" s="44">
        <f>(X128*'Data Kystruten'!$B$43*'Data Kystruten'!$B$17)/'Data Kystruten'!$B$42</f>
        <v>0</v>
      </c>
      <c r="Z128" s="44">
        <f>(Y128*3.6)/'Data Kystruten'!$B$10</f>
        <v>0</v>
      </c>
      <c r="AA128" s="44">
        <f t="shared" si="40"/>
        <v>6.6808703098699773</v>
      </c>
      <c r="AB128" s="44">
        <f t="shared" si="22"/>
        <v>100</v>
      </c>
    </row>
    <row r="129" spans="1:28">
      <c r="A129" s="35"/>
      <c r="B129" s="24"/>
      <c r="C129" s="24"/>
      <c r="D129" s="24"/>
      <c r="E129" s="24"/>
      <c r="F129" s="32"/>
      <c r="G129" s="32">
        <f t="shared" si="28"/>
        <v>1.25</v>
      </c>
      <c r="H129" s="90"/>
      <c r="J129" s="36"/>
      <c r="L129" s="23">
        <f>(F129+G129)*('Data Kystruten'!$B$3+'Data Kystruten'!$B$4)</f>
        <v>4.375</v>
      </c>
      <c r="M129">
        <f>L129/'Data Kystruten'!$B$43</f>
        <v>11.926098425013548</v>
      </c>
      <c r="N129">
        <f>M129/'Data Kystruten'!$B$17</f>
        <v>0.35781873462386882</v>
      </c>
      <c r="O129" s="54">
        <f>O128-N129</f>
        <v>4.3421812653761318</v>
      </c>
      <c r="Q129" s="44">
        <f t="shared" si="23"/>
        <v>4.3421812653761318</v>
      </c>
      <c r="R129" s="44">
        <f t="shared" si="24"/>
        <v>92.386835433534714</v>
      </c>
      <c r="Y129">
        <f>(X129*'Data Kystruten'!$B$43*'Data Kystruten'!$B$17)/'Data Kystruten'!$B$42</f>
        <v>0</v>
      </c>
      <c r="Z129">
        <f>(Y129*3.6)/'Data Kystruten'!$B$10</f>
        <v>0</v>
      </c>
      <c r="AA129">
        <f t="shared" si="40"/>
        <v>6.6808703098699773</v>
      </c>
      <c r="AB129" s="44">
        <f t="shared" si="22"/>
        <v>100</v>
      </c>
    </row>
    <row r="130" spans="1:28">
      <c r="A130" s="35"/>
      <c r="B130" s="24" t="s">
        <v>102</v>
      </c>
      <c r="C130" s="24"/>
      <c r="D130" s="34">
        <v>9.375E-2</v>
      </c>
      <c r="E130" s="34">
        <v>0.10416666666666667</v>
      </c>
      <c r="F130" s="32">
        <f t="shared" si="25"/>
        <v>0.25000000000000011</v>
      </c>
      <c r="G130" s="32"/>
      <c r="H130" s="90">
        <v>0</v>
      </c>
      <c r="J130" s="36"/>
      <c r="L130" s="23">
        <f>(F130+G130)*('Data Kystruten'!$B$3+'Data Kystruten'!$B$4)</f>
        <v>0.87500000000000044</v>
      </c>
      <c r="M130">
        <f>L130/'Data Kystruten'!$B$43</f>
        <v>2.3852196850027108</v>
      </c>
      <c r="N130">
        <f>M130/'Data Kystruten'!$B$17</f>
        <v>7.1563746924773811E-2</v>
      </c>
      <c r="O130" s="54">
        <f t="shared" ref="O130:O135" si="41">O129-N130</f>
        <v>4.270617518451358</v>
      </c>
      <c r="Q130" s="44">
        <f t="shared" si="23"/>
        <v>4.270617518451358</v>
      </c>
      <c r="R130" s="44">
        <f t="shared" si="24"/>
        <v>90.864202520241662</v>
      </c>
      <c r="Y130">
        <f>(X130*'Data Kystruten'!$B$43*'Data Kystruten'!$B$17)/'Data Kystruten'!$B$42</f>
        <v>0</v>
      </c>
      <c r="Z130">
        <f>(Y130*3.6)/'Data Kystruten'!$B$10</f>
        <v>0</v>
      </c>
      <c r="AA130">
        <f t="shared" si="40"/>
        <v>6.6808703098699773</v>
      </c>
      <c r="AB130" s="44">
        <f t="shared" si="22"/>
        <v>100</v>
      </c>
    </row>
    <row r="131" spans="1:28">
      <c r="A131" s="35"/>
      <c r="B131" s="24"/>
      <c r="C131" s="24"/>
      <c r="D131" s="24"/>
      <c r="E131" s="24"/>
      <c r="F131" s="32"/>
      <c r="G131" s="32">
        <f t="shared" si="28"/>
        <v>2.75</v>
      </c>
      <c r="H131" s="90"/>
      <c r="J131" s="36"/>
      <c r="L131" s="23">
        <f>(F131+G131)*('Data Kystruten'!$B$3+'Data Kystruten'!$B$4)</f>
        <v>9.625</v>
      </c>
      <c r="M131">
        <f>L131/'Data Kystruten'!$B$43</f>
        <v>26.237416535029805</v>
      </c>
      <c r="N131">
        <f>M131/'Data Kystruten'!$B$17</f>
        <v>0.78720121617251149</v>
      </c>
      <c r="O131" s="54">
        <f t="shared" si="41"/>
        <v>3.4834163022788465</v>
      </c>
      <c r="Q131" s="44">
        <f t="shared" si="23"/>
        <v>3.4834163022788465</v>
      </c>
      <c r="R131" s="44">
        <f t="shared" si="24"/>
        <v>74.115240474018009</v>
      </c>
      <c r="Y131">
        <f>(X131*'Data Kystruten'!$B$43*'Data Kystruten'!$B$17)/'Data Kystruten'!$B$42</f>
        <v>0</v>
      </c>
      <c r="Z131">
        <f>(Y131*3.6)/'Data Kystruten'!$B$10</f>
        <v>0</v>
      </c>
      <c r="AA131">
        <f t="shared" si="40"/>
        <v>6.6808703098699773</v>
      </c>
      <c r="AB131" s="44">
        <f t="shared" si="22"/>
        <v>100</v>
      </c>
    </row>
    <row r="132" spans="1:28">
      <c r="A132" s="35"/>
      <c r="B132" s="24" t="s">
        <v>101</v>
      </c>
      <c r="C132" s="24"/>
      <c r="D132" s="34">
        <v>0.21875</v>
      </c>
      <c r="E132" s="34">
        <v>0.23263888888888887</v>
      </c>
      <c r="F132" s="32">
        <f t="shared" si="25"/>
        <v>0.33333333333333282</v>
      </c>
      <c r="G132" s="32"/>
      <c r="H132" s="90">
        <v>0</v>
      </c>
      <c r="J132" s="36"/>
      <c r="L132" s="23">
        <f>(F132+G132)*('Data Kystruten'!$B$3+'Data Kystruten'!$B$4)</f>
        <v>1.1666666666666647</v>
      </c>
      <c r="M132">
        <f>L132/'Data Kystruten'!$B$43</f>
        <v>3.1802929133369404</v>
      </c>
      <c r="N132">
        <f>M132/'Data Kystruten'!$B$17</f>
        <v>9.5418329233031521E-2</v>
      </c>
      <c r="O132" s="54">
        <f t="shared" si="41"/>
        <v>3.387997973045815</v>
      </c>
      <c r="Q132" s="44">
        <f t="shared" si="23"/>
        <v>3.387997973045815</v>
      </c>
      <c r="R132" s="44">
        <f t="shared" si="24"/>
        <v>72.085063256293935</v>
      </c>
      <c r="Y132">
        <f>(X132*'Data Kystruten'!$B$43*'Data Kystruten'!$B$17)/'Data Kystruten'!$B$42</f>
        <v>0</v>
      </c>
      <c r="Z132">
        <f>(Y132*3.6)/'Data Kystruten'!$B$10</f>
        <v>0</v>
      </c>
      <c r="AA132">
        <f t="shared" si="40"/>
        <v>6.6808703098699773</v>
      </c>
      <c r="AB132" s="44">
        <f t="shared" si="22"/>
        <v>100</v>
      </c>
    </row>
    <row r="133" spans="1:28">
      <c r="A133" s="35"/>
      <c r="B133" s="24"/>
      <c r="C133" s="24"/>
      <c r="D133" s="24"/>
      <c r="E133" s="24"/>
      <c r="F133" s="32"/>
      <c r="G133" s="32">
        <f t="shared" si="28"/>
        <v>2.1666666666666679</v>
      </c>
      <c r="H133" s="90"/>
      <c r="J133" s="36"/>
      <c r="L133" s="23">
        <f>(F133+G133)*('Data Kystruten'!$B$3+'Data Kystruten'!$B$4)</f>
        <v>7.5833333333333375</v>
      </c>
      <c r="M133">
        <f>L133/'Data Kystruten'!$B$43</f>
        <v>20.67190393669016</v>
      </c>
      <c r="N133">
        <f>M133/'Data Kystruten'!$B$17</f>
        <v>0.62021914001470635</v>
      </c>
      <c r="O133" s="54">
        <f t="shared" si="41"/>
        <v>2.7677788330311088</v>
      </c>
      <c r="Q133" s="44">
        <f t="shared" si="23"/>
        <v>2.7677788330311088</v>
      </c>
      <c r="R133" s="44">
        <f t="shared" si="24"/>
        <v>58.888911341087422</v>
      </c>
      <c r="Y133">
        <f>(X133*'Data Kystruten'!$B$43*'Data Kystruten'!$B$17)/'Data Kystruten'!$B$42</f>
        <v>0</v>
      </c>
      <c r="Z133">
        <f>(Y133*3.6)/'Data Kystruten'!$B$10</f>
        <v>0</v>
      </c>
      <c r="AA133">
        <f t="shared" si="40"/>
        <v>6.6808703098699773</v>
      </c>
      <c r="AB133" s="44">
        <f t="shared" si="22"/>
        <v>100</v>
      </c>
    </row>
    <row r="134" spans="1:28">
      <c r="A134" s="35"/>
      <c r="B134" s="24" t="s">
        <v>100</v>
      </c>
      <c r="C134" s="24"/>
      <c r="D134" s="34">
        <v>0.32291666666666669</v>
      </c>
      <c r="E134" s="34">
        <v>0.34375</v>
      </c>
      <c r="F134" s="32">
        <f t="shared" si="25"/>
        <v>0.49999999999999956</v>
      </c>
      <c r="G134" s="32"/>
      <c r="H134" s="90">
        <v>0</v>
      </c>
      <c r="J134" s="36"/>
      <c r="L134" s="23">
        <f>(F134+G134)*('Data Kystruten'!$B$3+'Data Kystruten'!$B$4)</f>
        <v>1.7499999999999984</v>
      </c>
      <c r="M134">
        <f>L134/'Data Kystruten'!$B$43</f>
        <v>4.7704393700054144</v>
      </c>
      <c r="N134">
        <f>M134/'Data Kystruten'!$B$17</f>
        <v>0.1431274938495474</v>
      </c>
      <c r="O134" s="54">
        <f t="shared" si="41"/>
        <v>2.6246513391815616</v>
      </c>
      <c r="Q134" s="44">
        <f t="shared" si="23"/>
        <v>2.6246513391815616</v>
      </c>
      <c r="R134" s="44">
        <f t="shared" si="24"/>
        <v>55.843645514501304</v>
      </c>
      <c r="Y134">
        <f>(X134*'Data Kystruten'!$B$43*'Data Kystruten'!$B$17)/'Data Kystruten'!$B$42</f>
        <v>0</v>
      </c>
      <c r="Z134">
        <f>(Y134*3.6)/'Data Kystruten'!$B$10</f>
        <v>0</v>
      </c>
      <c r="AA134">
        <f t="shared" si="40"/>
        <v>6.6808703098699773</v>
      </c>
      <c r="AB134" s="44">
        <f t="shared" si="22"/>
        <v>100</v>
      </c>
    </row>
    <row r="135" spans="1:28">
      <c r="A135" s="35"/>
      <c r="B135" s="24"/>
      <c r="C135" s="24"/>
      <c r="D135" s="24"/>
      <c r="E135" s="24"/>
      <c r="F135" s="32"/>
      <c r="G135" s="32">
        <f t="shared" si="28"/>
        <v>6.2499999999999991</v>
      </c>
      <c r="H135" s="90"/>
      <c r="J135" s="36"/>
      <c r="L135" s="23">
        <f>(F135+G135)*('Data Kystruten'!$B$3+'Data Kystruten'!$B$4)</f>
        <v>21.874999999999996</v>
      </c>
      <c r="M135">
        <f>L135/'Data Kystruten'!$B$43</f>
        <v>59.630492125067725</v>
      </c>
      <c r="N135">
        <f>M135/'Data Kystruten'!$B$17</f>
        <v>1.7890936731193439</v>
      </c>
      <c r="O135" s="54">
        <f t="shared" si="41"/>
        <v>0.83555766606221771</v>
      </c>
      <c r="Q135" s="44">
        <f t="shared" ref="Q135" si="42">O135</f>
        <v>0.83555766606221771</v>
      </c>
      <c r="R135" s="44">
        <f t="shared" si="24"/>
        <v>17.777822682174843</v>
      </c>
      <c r="Y135">
        <f>(X135*'Data Kystruten'!$B$43*'Data Kystruten'!$B$17)/'Data Kystruten'!$B$42</f>
        <v>0</v>
      </c>
      <c r="Z135">
        <f>(Y135*3.6)/'Data Kystruten'!$B$10</f>
        <v>0</v>
      </c>
      <c r="AA135">
        <f t="shared" si="40"/>
        <v>6.6808703098699773</v>
      </c>
      <c r="AB135" s="44">
        <f t="shared" ref="AB135:AB136" si="43">(AA135/$U$5)*100</f>
        <v>100</v>
      </c>
    </row>
    <row r="136" spans="1:28">
      <c r="A136" s="48"/>
      <c r="B136" s="49" t="s">
        <v>97</v>
      </c>
      <c r="C136" s="49" t="s">
        <v>98</v>
      </c>
      <c r="D136" s="47">
        <v>0.60416666666666663</v>
      </c>
      <c r="E136" s="47"/>
      <c r="F136" s="42"/>
      <c r="G136" s="42"/>
      <c r="H136" s="42"/>
      <c r="J136" s="53"/>
      <c r="K136" s="44" t="s">
        <v>147</v>
      </c>
      <c r="L136" s="45">
        <f>SUM(L6:L135)</f>
        <v>913.50000000000011</v>
      </c>
      <c r="M136" s="44">
        <f>L136/'Data Kystruten'!$B$43</f>
        <v>2490.1693511428289</v>
      </c>
      <c r="N136" s="44">
        <f>M136/'Data Kystruten'!$B$17</f>
        <v>74.712551789463816</v>
      </c>
      <c r="O136" s="44"/>
      <c r="P136" s="44">
        <f>P128+P122+P110+P94+P84+P72+P58+P48+P32+P20+P14+P6</f>
        <v>62.696315158833698</v>
      </c>
      <c r="Q136" s="44"/>
      <c r="R136" s="44"/>
      <c r="S136" s="44"/>
      <c r="T136" s="44"/>
      <c r="U136" s="44"/>
      <c r="V136" s="44"/>
      <c r="W136" s="44"/>
      <c r="X136" s="44"/>
      <c r="Y136" s="44">
        <f>(X136*'Data Kystruten'!$B$43*'Data Kystruten'!$B$17)/'Data Kystruten'!$B$42</f>
        <v>0</v>
      </c>
      <c r="Z136" s="44">
        <f>(Y136*3.6)/'Data Kystruten'!$B$10</f>
        <v>0</v>
      </c>
      <c r="AA136" s="44">
        <f t="shared" si="40"/>
        <v>6.6808703098699773</v>
      </c>
      <c r="AB136" s="44">
        <f t="shared" si="43"/>
        <v>100</v>
      </c>
    </row>
    <row r="137" spans="1:28">
      <c r="Z137">
        <f>SUM(Z6:Z135)</f>
        <v>29.699154669781755</v>
      </c>
    </row>
  </sheetData>
  <mergeCells count="3">
    <mergeCell ref="A1:J1"/>
    <mergeCell ref="L1:Q1"/>
    <mergeCell ref="W1:AF1"/>
  </mergeCells>
  <pageMargins left="0.7" right="0.7" top="0.75" bottom="0.75" header="0.3" footer="0.3"/>
  <pageSetup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501AC-CF37-0F47-8666-5CCE6838390D}">
  <dimension ref="A1:G35"/>
  <sheetViews>
    <sheetView workbookViewId="0">
      <selection activeCell="J38" sqref="J38"/>
    </sheetView>
  </sheetViews>
  <sheetFormatPr baseColWidth="10" defaultRowHeight="15"/>
  <cols>
    <col min="1" max="1" width="29.5" customWidth="1"/>
    <col min="5" max="5" width="29.1640625" customWidth="1"/>
  </cols>
  <sheetData>
    <row r="1" spans="1:7" ht="19">
      <c r="A1" s="55" t="s">
        <v>159</v>
      </c>
      <c r="F1" t="s">
        <v>8</v>
      </c>
      <c r="G1" t="s">
        <v>256</v>
      </c>
    </row>
    <row r="2" spans="1:7">
      <c r="E2" t="s">
        <v>255</v>
      </c>
      <c r="F2">
        <v>2.75</v>
      </c>
      <c r="G2">
        <v>3.17</v>
      </c>
    </row>
    <row r="3" spans="1:7">
      <c r="A3" t="s">
        <v>161</v>
      </c>
      <c r="B3">
        <f>'Route and energy requirements 2'!Q136</f>
        <v>64.971395025768331</v>
      </c>
      <c r="E3" t="s">
        <v>12</v>
      </c>
      <c r="F3">
        <v>8.9</v>
      </c>
      <c r="G3">
        <v>9.8000000000000007</v>
      </c>
    </row>
    <row r="4" spans="1:7">
      <c r="A4" t="s">
        <v>163</v>
      </c>
      <c r="B4">
        <f>B3*'Data Kystruten'!B17</f>
        <v>2165.4965962088581</v>
      </c>
    </row>
    <row r="5" spans="1:7">
      <c r="A5" t="s">
        <v>165</v>
      </c>
      <c r="B5">
        <f>B3*Assumptions!B9</f>
        <v>3573.4267264172581</v>
      </c>
    </row>
    <row r="6" spans="1:7" ht="19">
      <c r="A6" t="s">
        <v>167</v>
      </c>
      <c r="B6">
        <f>B3*Assumptions!B10</f>
        <v>701.69106627829797</v>
      </c>
      <c r="E6" s="55" t="s">
        <v>160</v>
      </c>
    </row>
    <row r="7" spans="1:7">
      <c r="A7" t="s">
        <v>168</v>
      </c>
      <c r="B7">
        <f>B6+B5</f>
        <v>4275.1177926955561</v>
      </c>
    </row>
    <row r="8" spans="1:7">
      <c r="A8" t="s">
        <v>281</v>
      </c>
      <c r="B8">
        <f>B7*('Data Kystruten'!B21/1000)</f>
        <v>80.799726281946008</v>
      </c>
      <c r="E8" t="s">
        <v>162</v>
      </c>
      <c r="F8" s="37">
        <f>100-(G8/B21)*100</f>
        <v>75.572809708562858</v>
      </c>
      <c r="G8">
        <f>B8+B15</f>
        <v>175.50349971830599</v>
      </c>
    </row>
    <row r="9" spans="1:7">
      <c r="E9" t="s">
        <v>164</v>
      </c>
      <c r="F9" s="73">
        <f>100-(G9/B21)*100</f>
        <v>-0.93503294944005688</v>
      </c>
      <c r="G9">
        <f>B26+B15</f>
        <v>725.193987333819</v>
      </c>
    </row>
    <row r="10" spans="1:7" ht="19">
      <c r="A10" s="55" t="s">
        <v>8</v>
      </c>
      <c r="E10" t="s">
        <v>166</v>
      </c>
      <c r="F10" s="73">
        <f>100-(G10/B21)*100</f>
        <v>72.312827759717038</v>
      </c>
      <c r="G10">
        <f>B35+B15</f>
        <v>198.92568762509546</v>
      </c>
    </row>
    <row r="11" spans="1:7">
      <c r="A11" t="s">
        <v>278</v>
      </c>
      <c r="B11">
        <f>'Route and energy requirements 2'!AB137</f>
        <v>29.699154669781759</v>
      </c>
    </row>
    <row r="12" spans="1:7">
      <c r="A12" t="s">
        <v>170</v>
      </c>
      <c r="B12">
        <f>(B11*'Data Kystruten'!B10)/1000</f>
        <v>1.4641683252202407</v>
      </c>
    </row>
    <row r="13" spans="1:7">
      <c r="A13" t="s">
        <v>282</v>
      </c>
      <c r="B13">
        <f>B12*('Data Kystruten'!B12)</f>
        <v>13.031098094460143</v>
      </c>
    </row>
    <row r="14" spans="1:7">
      <c r="A14" t="s">
        <v>259</v>
      </c>
      <c r="B14">
        <f>F2*B11</f>
        <v>81.672675341899833</v>
      </c>
    </row>
    <row r="15" spans="1:7">
      <c r="A15" t="s">
        <v>283</v>
      </c>
      <c r="B15">
        <f>B14+B13</f>
        <v>94.703773436359981</v>
      </c>
    </row>
    <row r="16" spans="1:7" ht="19">
      <c r="A16" s="55" t="s">
        <v>9</v>
      </c>
    </row>
    <row r="17" spans="1:2">
      <c r="A17" t="s">
        <v>169</v>
      </c>
      <c r="B17">
        <v>200</v>
      </c>
    </row>
    <row r="18" spans="1:2">
      <c r="A18" t="s">
        <v>170</v>
      </c>
      <c r="B18">
        <f>(B17*'Data Kystruten'!C10)/1000</f>
        <v>8.6199999999999992</v>
      </c>
    </row>
    <row r="19" spans="1:2">
      <c r="A19" t="s">
        <v>258</v>
      </c>
      <c r="B19">
        <f>B18*'Data Kystruten'!C12</f>
        <v>84.475999999999999</v>
      </c>
    </row>
    <row r="20" spans="1:2">
      <c r="A20" t="s">
        <v>259</v>
      </c>
      <c r="B20">
        <f>B17*G2</f>
        <v>634</v>
      </c>
    </row>
    <row r="21" spans="1:2">
      <c r="A21" t="s">
        <v>283</v>
      </c>
      <c r="B21">
        <f>B20+B19</f>
        <v>718.476</v>
      </c>
    </row>
    <row r="23" spans="1:2" ht="19">
      <c r="A23" s="55" t="s">
        <v>153</v>
      </c>
    </row>
    <row r="24" spans="1:2">
      <c r="A24" t="s">
        <v>172</v>
      </c>
      <c r="B24">
        <f>SMR!B7</f>
        <v>617.22825274479919</v>
      </c>
    </row>
    <row r="25" spans="1:2">
      <c r="A25" t="s">
        <v>173</v>
      </c>
      <c r="B25">
        <f>B6*'Data Kystruten'!B21/1000</f>
        <v>13.261961152659831</v>
      </c>
    </row>
    <row r="26" spans="1:2">
      <c r="A26" t="s">
        <v>174</v>
      </c>
      <c r="B26">
        <f>B25+B24</f>
        <v>630.49021389745906</v>
      </c>
    </row>
    <row r="27" spans="1:2">
      <c r="A27" t="s">
        <v>246</v>
      </c>
      <c r="B27">
        <f>SMR!B10</f>
        <v>739.32029856337635</v>
      </c>
    </row>
    <row r="28" spans="1:2">
      <c r="A28" t="s">
        <v>247</v>
      </c>
      <c r="B28">
        <f>SMR!B9*Assumptions!B10</f>
        <v>840.49044468257523</v>
      </c>
    </row>
    <row r="29" spans="1:2">
      <c r="A29" t="s">
        <v>248</v>
      </c>
      <c r="B29">
        <f>B28*'Data Kystruten'!B21/1000</f>
        <v>15.88526940450067</v>
      </c>
    </row>
    <row r="30" spans="1:2">
      <c r="A30" t="s">
        <v>249</v>
      </c>
      <c r="B30">
        <f>B29+B27</f>
        <v>755.20556796787707</v>
      </c>
    </row>
    <row r="32" spans="1:2" ht="21">
      <c r="A32" s="74" t="s">
        <v>157</v>
      </c>
    </row>
    <row r="33" spans="1:2">
      <c r="A33" t="s">
        <v>172</v>
      </c>
      <c r="B33">
        <f>SMR!B20</f>
        <v>90.959953036075646</v>
      </c>
    </row>
    <row r="34" spans="1:2">
      <c r="A34" t="s">
        <v>173</v>
      </c>
      <c r="B34">
        <f>B25</f>
        <v>13.261961152659831</v>
      </c>
    </row>
    <row r="35" spans="1:2">
      <c r="A35" t="s">
        <v>267</v>
      </c>
      <c r="B35">
        <f>B33+B34</f>
        <v>104.22191418873548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F61AF-5EDE-4637-861C-AF347959A4AE}">
  <dimension ref="A1:C26"/>
  <sheetViews>
    <sheetView zoomScale="143" workbookViewId="0">
      <selection activeCell="A36" sqref="A36"/>
    </sheetView>
  </sheetViews>
  <sheetFormatPr baseColWidth="10" defaultColWidth="8.6640625" defaultRowHeight="15"/>
  <cols>
    <col min="1" max="1" width="39.1640625" customWidth="1"/>
  </cols>
  <sheetData>
    <row r="1" spans="1:3">
      <c r="A1" s="1" t="s">
        <v>42</v>
      </c>
    </row>
    <row r="2" spans="1:3">
      <c r="A2" t="s">
        <v>269</v>
      </c>
      <c r="B2">
        <v>200</v>
      </c>
    </row>
    <row r="3" spans="1:3">
      <c r="A3" t="s">
        <v>43</v>
      </c>
      <c r="B3" t="s">
        <v>44</v>
      </c>
    </row>
    <row r="4" spans="1:3">
      <c r="A4" t="s">
        <v>45</v>
      </c>
      <c r="B4">
        <v>0.5</v>
      </c>
    </row>
    <row r="5" spans="1:3">
      <c r="A5" t="s">
        <v>46</v>
      </c>
      <c r="B5" t="s">
        <v>44</v>
      </c>
    </row>
    <row r="6" spans="1:3">
      <c r="A6" t="s">
        <v>47</v>
      </c>
      <c r="B6" t="s">
        <v>44</v>
      </c>
    </row>
    <row r="7" spans="1:3">
      <c r="A7" t="s">
        <v>48</v>
      </c>
      <c r="B7">
        <v>0.85</v>
      </c>
    </row>
    <row r="8" spans="1:3">
      <c r="A8" t="s">
        <v>49</v>
      </c>
      <c r="B8">
        <v>0.5</v>
      </c>
    </row>
    <row r="9" spans="1:3">
      <c r="A9" t="s">
        <v>50</v>
      </c>
      <c r="B9">
        <v>55</v>
      </c>
      <c r="C9" t="s">
        <v>51</v>
      </c>
    </row>
    <row r="10" spans="1:3">
      <c r="A10" t="s">
        <v>52</v>
      </c>
      <c r="B10">
        <v>10.8</v>
      </c>
      <c r="C10" t="s">
        <v>51</v>
      </c>
    </row>
    <row r="11" spans="1:3">
      <c r="A11" t="s">
        <v>53</v>
      </c>
    </row>
    <row r="12" spans="1:3">
      <c r="A12" t="s">
        <v>54</v>
      </c>
      <c r="B12">
        <v>0.7</v>
      </c>
    </row>
    <row r="14" spans="1:3">
      <c r="A14" s="1" t="s">
        <v>55</v>
      </c>
    </row>
    <row r="15" spans="1:3">
      <c r="A15" t="s">
        <v>56</v>
      </c>
      <c r="B15">
        <v>6</v>
      </c>
    </row>
    <row r="16" spans="1:3">
      <c r="A16" t="s">
        <v>57</v>
      </c>
      <c r="B16">
        <v>2</v>
      </c>
    </row>
    <row r="17" spans="1:2">
      <c r="A17" t="s">
        <v>58</v>
      </c>
      <c r="B17">
        <v>4</v>
      </c>
    </row>
    <row r="18" spans="1:2">
      <c r="A18" t="s">
        <v>59</v>
      </c>
      <c r="B18">
        <v>3.5</v>
      </c>
    </row>
    <row r="19" spans="1:2">
      <c r="A19" t="s">
        <v>60</v>
      </c>
      <c r="B19">
        <f>1.3</f>
        <v>1.3</v>
      </c>
    </row>
    <row r="21" spans="1:2">
      <c r="A21" t="s">
        <v>61</v>
      </c>
    </row>
    <row r="22" spans="1:2">
      <c r="A22" t="s">
        <v>62</v>
      </c>
      <c r="B22">
        <f>20/60</f>
        <v>0.33333333333333331</v>
      </c>
    </row>
    <row r="23" spans="1:2">
      <c r="A23" t="s">
        <v>63</v>
      </c>
      <c r="B23">
        <f>20/60</f>
        <v>0.33333333333333331</v>
      </c>
    </row>
    <row r="25" spans="1:2">
      <c r="A25" t="s">
        <v>64</v>
      </c>
      <c r="B25">
        <v>1</v>
      </c>
    </row>
    <row r="26" spans="1:2">
      <c r="B26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4BCB9-E63E-4D7B-BDF9-D23B7F750B65}">
  <dimension ref="A1:AD309"/>
  <sheetViews>
    <sheetView topLeftCell="A123" zoomScale="92" workbookViewId="0">
      <pane xSplit="1" topLeftCell="M1" activePane="topRight" state="frozen"/>
      <selection pane="topRight" activeCell="F17" sqref="F17"/>
    </sheetView>
  </sheetViews>
  <sheetFormatPr baseColWidth="10" defaultColWidth="8.83203125" defaultRowHeight="15"/>
  <cols>
    <col min="1" max="1" width="8" customWidth="1"/>
    <col min="2" max="2" width="14.5" customWidth="1"/>
    <col min="4" max="4" width="8.33203125" customWidth="1"/>
    <col min="5" max="5" width="12.33203125" customWidth="1"/>
    <col min="6" max="6" width="13.1640625" customWidth="1"/>
    <col min="7" max="7" width="13.6640625" customWidth="1"/>
    <col min="9" max="9" width="22" customWidth="1"/>
    <col min="10" max="10" width="16.1640625" customWidth="1"/>
    <col min="11" max="11" width="13.33203125" customWidth="1"/>
    <col min="13" max="13" width="19.83203125" customWidth="1"/>
    <col min="14" max="14" width="15.33203125" customWidth="1"/>
    <col min="15" max="15" width="19.6640625" customWidth="1"/>
    <col min="16" max="16" width="18.6640625" customWidth="1"/>
    <col min="17" max="17" width="16.5" customWidth="1"/>
    <col min="18" max="18" width="14.6640625" customWidth="1"/>
    <col min="19" max="19" width="10.33203125" customWidth="1"/>
    <col min="22" max="22" width="37" customWidth="1"/>
    <col min="23" max="23" width="14.5" customWidth="1"/>
    <col min="25" max="25" width="14.6640625" customWidth="1"/>
    <col min="26" max="26" width="14.33203125" customWidth="1"/>
    <col min="27" max="27" width="11.1640625" customWidth="1"/>
    <col min="28" max="28" width="11.5" customWidth="1"/>
    <col min="29" max="30" width="9.1640625" customWidth="1"/>
  </cols>
  <sheetData>
    <row r="1" spans="1:30">
      <c r="A1" s="99" t="s">
        <v>65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M1" s="101" t="s">
        <v>66</v>
      </c>
      <c r="N1" s="101"/>
      <c r="O1" s="101"/>
      <c r="P1" s="101"/>
      <c r="Q1" s="101"/>
      <c r="R1" s="101"/>
      <c r="S1" s="101"/>
      <c r="V1" s="102" t="s">
        <v>8</v>
      </c>
      <c r="W1" s="102"/>
      <c r="X1" s="102"/>
      <c r="Y1" s="102"/>
      <c r="Z1" s="102"/>
      <c r="AA1" s="102"/>
      <c r="AB1" s="102"/>
      <c r="AC1" s="102"/>
      <c r="AD1" s="102"/>
    </row>
    <row r="2" spans="1:30" ht="48">
      <c r="A2" s="87" t="s">
        <v>67</v>
      </c>
      <c r="B2" s="88" t="s">
        <v>68</v>
      </c>
      <c r="C2" s="88" t="s">
        <v>69</v>
      </c>
      <c r="D2" s="88" t="s">
        <v>70</v>
      </c>
      <c r="E2" s="88" t="s">
        <v>71</v>
      </c>
      <c r="F2" s="88" t="s">
        <v>72</v>
      </c>
      <c r="G2" s="88" t="s">
        <v>73</v>
      </c>
      <c r="H2" s="88" t="s">
        <v>364</v>
      </c>
      <c r="I2" s="36" t="s">
        <v>148</v>
      </c>
      <c r="J2" s="78"/>
      <c r="M2" s="92" t="s">
        <v>74</v>
      </c>
      <c r="N2" s="92" t="s">
        <v>75</v>
      </c>
      <c r="O2" s="92" t="s">
        <v>365</v>
      </c>
      <c r="P2" s="92" t="s">
        <v>77</v>
      </c>
      <c r="Q2" s="92" t="s">
        <v>78</v>
      </c>
      <c r="R2" s="92" t="s">
        <v>79</v>
      </c>
      <c r="S2" s="92" t="s">
        <v>367</v>
      </c>
      <c r="V2" t="s">
        <v>270</v>
      </c>
      <c r="W2">
        <f>-MIN(P5:P135)</f>
        <v>2.4563746924773762</v>
      </c>
      <c r="Y2" t="s">
        <v>81</v>
      </c>
      <c r="Z2" s="92" t="s">
        <v>76</v>
      </c>
      <c r="AA2" s="92" t="s">
        <v>83</v>
      </c>
      <c r="AB2" s="92" t="s">
        <v>83</v>
      </c>
      <c r="AC2" s="92" t="s">
        <v>84</v>
      </c>
      <c r="AD2" s="92" t="s">
        <v>80</v>
      </c>
    </row>
    <row r="3" spans="1:30" ht="16">
      <c r="A3" s="88"/>
      <c r="C3" s="88"/>
      <c r="D3" s="88"/>
      <c r="E3" s="88"/>
      <c r="F3" s="88" t="s">
        <v>85</v>
      </c>
      <c r="G3" s="88" t="s">
        <v>85</v>
      </c>
      <c r="H3" s="88" t="s">
        <v>85</v>
      </c>
      <c r="I3" s="75" t="s">
        <v>149</v>
      </c>
      <c r="J3" s="78"/>
      <c r="M3" t="s">
        <v>86</v>
      </c>
      <c r="N3" t="s">
        <v>86</v>
      </c>
      <c r="O3" t="s">
        <v>271</v>
      </c>
      <c r="P3" t="s">
        <v>271</v>
      </c>
      <c r="Q3" t="s">
        <v>271</v>
      </c>
      <c r="R3" t="s">
        <v>366</v>
      </c>
      <c r="V3" t="s">
        <v>87</v>
      </c>
      <c r="W3">
        <f>W2*'Data Kystruten'!B17*'Data Kystruten'!B43</f>
        <v>30.033752399480012</v>
      </c>
      <c r="Y3" t="s">
        <v>271</v>
      </c>
      <c r="Z3" t="s">
        <v>271</v>
      </c>
      <c r="AA3" t="s">
        <v>86</v>
      </c>
      <c r="AB3" t="s">
        <v>274</v>
      </c>
      <c r="AC3" t="s">
        <v>272</v>
      </c>
    </row>
    <row r="4" spans="1:30">
      <c r="A4" s="24"/>
      <c r="C4" s="24"/>
      <c r="D4" s="24"/>
      <c r="E4" s="24"/>
      <c r="F4" s="24"/>
      <c r="G4" s="24"/>
      <c r="H4" s="24"/>
      <c r="I4" s="75"/>
      <c r="J4" t="s">
        <v>368</v>
      </c>
      <c r="K4">
        <f>3.35*7-I136</f>
        <v>10.866666666666667</v>
      </c>
      <c r="V4" t="s">
        <v>93</v>
      </c>
      <c r="W4">
        <f>W3/'Data Kystruten'!B42</f>
        <v>91.490807299052761</v>
      </c>
    </row>
    <row r="5" spans="1:30">
      <c r="A5" s="24"/>
      <c r="C5" s="24"/>
      <c r="D5" s="24"/>
      <c r="E5" s="24"/>
      <c r="F5" s="24"/>
      <c r="G5" s="24"/>
      <c r="H5" s="24"/>
      <c r="I5" s="75"/>
      <c r="P5" s="23">
        <f>'Data Kystruten'!B5</f>
        <v>4.7</v>
      </c>
      <c r="V5" t="s">
        <v>273</v>
      </c>
      <c r="W5">
        <f>(W4*3.6)/'Data Kystruten'!B10</f>
        <v>6.6808703098699791</v>
      </c>
    </row>
    <row r="6" spans="1:30">
      <c r="A6" s="38" t="s">
        <v>96</v>
      </c>
      <c r="B6" s="39" t="s">
        <v>97</v>
      </c>
      <c r="C6" s="39" t="s">
        <v>98</v>
      </c>
      <c r="D6" s="41">
        <v>0.60416666666666663</v>
      </c>
      <c r="E6" s="41">
        <v>0.89583333333333337</v>
      </c>
      <c r="F6" s="42">
        <f>(E6-D6)*24</f>
        <v>7.0000000000000018</v>
      </c>
      <c r="G6" s="41"/>
      <c r="H6" s="42">
        <f>F6-('Data Kystruten'!$B$51*2)</f>
        <v>6.0000000000000018</v>
      </c>
      <c r="I6" s="76"/>
      <c r="M6" s="45">
        <f>(F6+G6)*('Data Kystruten'!$B$3+'Data Kystruten'!$B$4)</f>
        <v>24.500000000000007</v>
      </c>
      <c r="N6" s="45">
        <f>M6/'Data Kystruten'!$B$43</f>
        <v>66.786151180075876</v>
      </c>
      <c r="O6" s="45">
        <f>N6/'Data Kystruten'!$B$17</f>
        <v>2.0037849138936656</v>
      </c>
      <c r="P6" s="45">
        <f>P5</f>
        <v>4.7</v>
      </c>
      <c r="Q6" s="45">
        <f>P6+O6</f>
        <v>6.7037849138936654</v>
      </c>
      <c r="R6" s="45">
        <f>P6</f>
        <v>4.7</v>
      </c>
      <c r="S6" s="94">
        <f>(R6/$P$5)*100</f>
        <v>100</v>
      </c>
      <c r="Y6" s="44">
        <v>0</v>
      </c>
      <c r="Z6" s="44"/>
      <c r="AA6" s="44"/>
      <c r="AB6" s="44"/>
      <c r="AC6" s="45">
        <f>W5</f>
        <v>6.6808703098699791</v>
      </c>
      <c r="AD6" s="95">
        <f>(AC6/$W$5)*100</f>
        <v>100</v>
      </c>
    </row>
    <row r="7" spans="1:30">
      <c r="A7" s="35"/>
      <c r="B7" s="24"/>
      <c r="C7" s="24"/>
      <c r="D7" s="31"/>
      <c r="E7" s="31"/>
      <c r="F7" s="32"/>
      <c r="G7" s="32">
        <v>6</v>
      </c>
      <c r="H7" s="90"/>
      <c r="I7" s="75"/>
      <c r="M7" s="80">
        <f>(F7+G7)*('Data Kystruten'!$B$3+'Data Kystruten'!$B$4)</f>
        <v>21</v>
      </c>
      <c r="N7" s="23">
        <f>M7/'Data Kystruten'!$B$43</f>
        <v>57.245272440065023</v>
      </c>
      <c r="O7" s="23">
        <f>N7/'Data Kystruten'!$B$17</f>
        <v>1.7175299261945702</v>
      </c>
      <c r="P7" s="23">
        <f>P6-O7</f>
        <v>2.9824700738054299</v>
      </c>
      <c r="Q7" s="23"/>
      <c r="R7" s="80">
        <f t="shared" ref="R7:R69" si="0">P7</f>
        <v>2.9824700738054299</v>
      </c>
      <c r="S7" s="94">
        <f t="shared" ref="S7:S70" si="1">(R7/$P$5)*100</f>
        <v>63.456810080966598</v>
      </c>
      <c r="Y7" s="54">
        <v>0</v>
      </c>
      <c r="AC7" s="23">
        <f>AC6</f>
        <v>6.6808703098699791</v>
      </c>
      <c r="AD7" s="96">
        <f t="shared" ref="AD7:AD70" si="2">(AC7/$W$5)*100</f>
        <v>100</v>
      </c>
    </row>
    <row r="8" spans="1:30">
      <c r="A8" s="35" t="s">
        <v>99</v>
      </c>
      <c r="B8" s="24" t="s">
        <v>100</v>
      </c>
      <c r="C8" s="24"/>
      <c r="D8" s="31">
        <v>0.14583333333333334</v>
      </c>
      <c r="E8" s="31">
        <v>0.15277777777777776</v>
      </c>
      <c r="F8" s="32">
        <f t="shared" ref="F8:F72" si="3">(E8-D8)*24</f>
        <v>0.16666666666666607</v>
      </c>
      <c r="G8" s="32"/>
      <c r="H8" s="90">
        <v>0</v>
      </c>
      <c r="I8" s="75"/>
      <c r="M8" s="80">
        <f>(F8+G8)*('Data Kystruten'!$B$3+'Data Kystruten'!$B$4)</f>
        <v>0.58333333333333126</v>
      </c>
      <c r="N8" s="23">
        <f>M8/'Data Kystruten'!$B$43</f>
        <v>1.5901464566684673</v>
      </c>
      <c r="O8" s="23">
        <f>N8/'Data Kystruten'!$B$17</f>
        <v>4.7709164616515677E-2</v>
      </c>
      <c r="P8" s="23">
        <f t="shared" ref="P8:P13" si="4">P7-O8</f>
        <v>2.9347609091889142</v>
      </c>
      <c r="Q8" s="23"/>
      <c r="R8" s="80">
        <f t="shared" si="0"/>
        <v>2.9347609091889142</v>
      </c>
      <c r="S8" s="94">
        <f t="shared" si="1"/>
        <v>62.441721472104547</v>
      </c>
      <c r="Y8" s="54">
        <v>0</v>
      </c>
      <c r="AC8" s="23">
        <f t="shared" ref="AC8:AC18" si="5">AC7</f>
        <v>6.6808703098699791</v>
      </c>
      <c r="AD8" s="96">
        <f t="shared" si="2"/>
        <v>100</v>
      </c>
    </row>
    <row r="9" spans="1:30">
      <c r="A9" s="35"/>
      <c r="B9" s="24"/>
      <c r="C9" s="24"/>
      <c r="D9" s="31"/>
      <c r="E9" s="31"/>
      <c r="F9" s="32"/>
      <c r="G9" s="32">
        <f t="shared" ref="G9:G71" si="6">(D10-E8)*24</f>
        <v>2.0000000000000009</v>
      </c>
      <c r="H9" s="90"/>
      <c r="I9" s="75"/>
      <c r="M9" s="80">
        <f>(F9+G9)*('Data Kystruten'!$B$3+'Data Kystruten'!$B$4)</f>
        <v>7.0000000000000036</v>
      </c>
      <c r="N9" s="23">
        <f>M9/'Data Kystruten'!$B$43</f>
        <v>19.081757480021686</v>
      </c>
      <c r="O9" s="23">
        <f>N9/'Data Kystruten'!$B$17</f>
        <v>0.57250997539819048</v>
      </c>
      <c r="P9" s="23">
        <f t="shared" si="4"/>
        <v>2.3622509337907238</v>
      </c>
      <c r="Q9" s="23"/>
      <c r="R9" s="80">
        <f t="shared" si="0"/>
        <v>2.3622509337907238</v>
      </c>
      <c r="S9" s="94">
        <f t="shared" si="1"/>
        <v>50.260658165760077</v>
      </c>
      <c r="Y9" s="54">
        <v>0</v>
      </c>
      <c r="AC9" s="23">
        <f t="shared" si="5"/>
        <v>6.6808703098699791</v>
      </c>
      <c r="AD9" s="96">
        <f t="shared" si="2"/>
        <v>100</v>
      </c>
    </row>
    <row r="10" spans="1:30">
      <c r="A10" s="35"/>
      <c r="B10" s="24" t="s">
        <v>101</v>
      </c>
      <c r="C10" s="24"/>
      <c r="D10" s="31">
        <v>0.23611111111111113</v>
      </c>
      <c r="E10" s="31">
        <v>0.24305555555555555</v>
      </c>
      <c r="F10" s="32">
        <f t="shared" si="3"/>
        <v>0.16666666666666607</v>
      </c>
      <c r="G10" s="32"/>
      <c r="H10" s="90">
        <v>0</v>
      </c>
      <c r="I10" s="75"/>
      <c r="M10" s="80">
        <f>(F10+G10)*('Data Kystruten'!$B$3+'Data Kystruten'!$B$4)</f>
        <v>0.58333333333333126</v>
      </c>
      <c r="N10" s="23">
        <f>M10/'Data Kystruten'!$B$43</f>
        <v>1.5901464566684673</v>
      </c>
      <c r="O10" s="23">
        <f>N10/'Data Kystruten'!$B$17</f>
        <v>4.7709164616515677E-2</v>
      </c>
      <c r="P10" s="23">
        <f t="shared" si="4"/>
        <v>2.3145417691742081</v>
      </c>
      <c r="Q10" s="23"/>
      <c r="R10" s="80">
        <f t="shared" si="0"/>
        <v>2.3145417691742081</v>
      </c>
      <c r="S10" s="94">
        <f t="shared" si="1"/>
        <v>49.245569556898047</v>
      </c>
      <c r="Y10" s="54">
        <v>0</v>
      </c>
      <c r="AC10" s="23">
        <f t="shared" si="5"/>
        <v>6.6808703098699791</v>
      </c>
      <c r="AD10" s="96">
        <f t="shared" si="2"/>
        <v>100</v>
      </c>
    </row>
    <row r="11" spans="1:30">
      <c r="A11" s="35"/>
      <c r="B11" s="24"/>
      <c r="C11" s="24"/>
      <c r="D11" s="31"/>
      <c r="E11" s="31"/>
      <c r="F11" s="32"/>
      <c r="G11" s="32">
        <f t="shared" si="6"/>
        <v>2.666666666666667</v>
      </c>
      <c r="H11" s="90"/>
      <c r="I11" s="75"/>
      <c r="M11" s="80">
        <f>(F11+G11)*('Data Kystruten'!$B$3+'Data Kystruten'!$B$4)</f>
        <v>9.3333333333333339</v>
      </c>
      <c r="N11" s="23">
        <f>M11/'Data Kystruten'!$B$43</f>
        <v>25.44234330669557</v>
      </c>
      <c r="O11" s="23">
        <f>N11/'Data Kystruten'!$B$17</f>
        <v>0.7633466338642535</v>
      </c>
      <c r="P11" s="23">
        <f t="shared" si="4"/>
        <v>1.5511951353099547</v>
      </c>
      <c r="Q11" s="23"/>
      <c r="R11" s="80">
        <f t="shared" si="0"/>
        <v>1.5511951353099547</v>
      </c>
      <c r="S11" s="94">
        <f t="shared" si="1"/>
        <v>33.004151815105416</v>
      </c>
      <c r="Y11" s="54">
        <v>0</v>
      </c>
      <c r="AC11" s="23">
        <f t="shared" si="5"/>
        <v>6.6808703098699791</v>
      </c>
      <c r="AD11" s="96">
        <f t="shared" si="2"/>
        <v>100</v>
      </c>
    </row>
    <row r="12" spans="1:30">
      <c r="A12" s="35"/>
      <c r="B12" s="24" t="s">
        <v>102</v>
      </c>
      <c r="C12" s="24"/>
      <c r="D12" s="31">
        <v>0.35416666666666669</v>
      </c>
      <c r="E12" s="31">
        <v>0.3611111111111111</v>
      </c>
      <c r="F12" s="32">
        <f t="shared" si="3"/>
        <v>0.16666666666666607</v>
      </c>
      <c r="G12" s="32"/>
      <c r="H12" s="90">
        <v>0</v>
      </c>
      <c r="I12" s="75"/>
      <c r="M12" s="80">
        <f>(F12+G12)*('Data Kystruten'!$B$3+'Data Kystruten'!$B$4)</f>
        <v>0.58333333333333126</v>
      </c>
      <c r="N12" s="23">
        <f>M12/'Data Kystruten'!$B$43</f>
        <v>1.5901464566684673</v>
      </c>
      <c r="O12" s="23">
        <f>N12/'Data Kystruten'!$B$17</f>
        <v>4.7709164616515677E-2</v>
      </c>
      <c r="P12" s="23">
        <f t="shared" si="4"/>
        <v>1.5034859706934389</v>
      </c>
      <c r="Q12" s="23"/>
      <c r="R12" s="80">
        <f t="shared" si="0"/>
        <v>1.5034859706934389</v>
      </c>
      <c r="S12" s="94">
        <f t="shared" si="1"/>
        <v>31.98906320624338</v>
      </c>
      <c r="Y12" s="54">
        <v>0</v>
      </c>
      <c r="AC12" s="23">
        <f t="shared" si="5"/>
        <v>6.6808703098699791</v>
      </c>
      <c r="AD12" s="96">
        <f t="shared" si="2"/>
        <v>100</v>
      </c>
    </row>
    <row r="13" spans="1:30">
      <c r="A13" s="35"/>
      <c r="B13" s="24"/>
      <c r="C13" s="24"/>
      <c r="D13" s="31"/>
      <c r="E13" s="31"/>
      <c r="F13" s="32"/>
      <c r="G13" s="32">
        <f t="shared" si="6"/>
        <v>1.0833333333333335</v>
      </c>
      <c r="H13" s="90"/>
      <c r="I13" s="75"/>
      <c r="M13" s="80">
        <f>(F13+G13)*('Data Kystruten'!$B$3+'Data Kystruten'!$B$4)</f>
        <v>3.791666666666667</v>
      </c>
      <c r="N13" s="23">
        <f>M13/'Data Kystruten'!$B$43</f>
        <v>10.335951968345075</v>
      </c>
      <c r="O13" s="23">
        <f>N13/'Data Kystruten'!$B$17</f>
        <v>0.31010957000735301</v>
      </c>
      <c r="P13" s="23">
        <f t="shared" si="4"/>
        <v>1.1933764006860859</v>
      </c>
      <c r="Q13" s="23"/>
      <c r="R13" s="80">
        <f t="shared" si="0"/>
        <v>1.1933764006860859</v>
      </c>
      <c r="S13" s="94">
        <f t="shared" si="1"/>
        <v>25.390987248640123</v>
      </c>
      <c r="Y13" s="54">
        <v>0</v>
      </c>
      <c r="AC13" s="23">
        <f t="shared" si="5"/>
        <v>6.6808703098699791</v>
      </c>
      <c r="AD13" s="96">
        <f t="shared" si="2"/>
        <v>100</v>
      </c>
    </row>
    <row r="14" spans="1:30">
      <c r="A14" s="38"/>
      <c r="B14" s="39" t="s">
        <v>103</v>
      </c>
      <c r="C14" s="39" t="s">
        <v>98</v>
      </c>
      <c r="D14" s="41">
        <v>0.40625</v>
      </c>
      <c r="E14" s="41">
        <v>0.5625</v>
      </c>
      <c r="F14" s="42">
        <f t="shared" si="3"/>
        <v>3.75</v>
      </c>
      <c r="G14" s="42"/>
      <c r="H14" s="42">
        <f>F14-('Data Kystruten'!$B$51*2)</f>
        <v>2.75</v>
      </c>
      <c r="I14" s="76"/>
      <c r="M14" s="45">
        <f>(F14+G14)*('Data Kystruten'!$B$3+'Data Kystruten'!$B$4)</f>
        <v>13.125</v>
      </c>
      <c r="N14" s="45">
        <f>M14/'Data Kystruten'!$B$43</f>
        <v>35.778295275040641</v>
      </c>
      <c r="O14" s="45">
        <f>N14/'Data Kystruten'!$B$17</f>
        <v>1.0734562038716065</v>
      </c>
      <c r="P14" s="45">
        <f>P5</f>
        <v>4.7</v>
      </c>
      <c r="Q14" s="45">
        <f>P14+O14-P13</f>
        <v>4.5800798031855212</v>
      </c>
      <c r="R14" s="45">
        <f t="shared" si="0"/>
        <v>4.7</v>
      </c>
      <c r="S14" s="94">
        <f t="shared" si="1"/>
        <v>100</v>
      </c>
      <c r="Y14" s="44">
        <v>0</v>
      </c>
      <c r="Z14" s="44"/>
      <c r="AA14" s="44"/>
      <c r="AB14" s="44"/>
      <c r="AC14" s="45">
        <f t="shared" si="5"/>
        <v>6.6808703098699791</v>
      </c>
      <c r="AD14" s="95">
        <f t="shared" si="2"/>
        <v>100</v>
      </c>
    </row>
    <row r="15" spans="1:30">
      <c r="A15" s="35"/>
      <c r="B15" s="24"/>
      <c r="C15" s="24"/>
      <c r="D15" s="31"/>
      <c r="E15" s="31"/>
      <c r="F15" s="32"/>
      <c r="G15" s="32">
        <f t="shared" si="6"/>
        <v>2.7500000000000009</v>
      </c>
      <c r="H15" s="90"/>
      <c r="I15" s="75"/>
      <c r="M15" s="80">
        <f>(F15+G15)*('Data Kystruten'!$B$3+'Data Kystruten'!$B$4)</f>
        <v>9.6250000000000036</v>
      </c>
      <c r="N15" s="23">
        <f>M15/'Data Kystruten'!$B$43</f>
        <v>26.237416535029812</v>
      </c>
      <c r="O15" s="23">
        <f>N15/'Data Kystruten'!$B$17</f>
        <v>0.78720121617251171</v>
      </c>
      <c r="P15" s="23">
        <f>P14-O15</f>
        <v>3.9127987838274887</v>
      </c>
      <c r="Q15" s="23"/>
      <c r="R15" s="80">
        <f t="shared" si="0"/>
        <v>3.9127987838274887</v>
      </c>
      <c r="S15" s="94">
        <f t="shared" si="1"/>
        <v>83.251037953776347</v>
      </c>
      <c r="Y15" s="54">
        <v>0</v>
      </c>
      <c r="AC15" s="23">
        <f t="shared" si="5"/>
        <v>6.6808703098699791</v>
      </c>
      <c r="AD15" s="96">
        <f t="shared" si="2"/>
        <v>100</v>
      </c>
    </row>
    <row r="16" spans="1:30">
      <c r="A16" s="35"/>
      <c r="B16" s="24" t="s">
        <v>104</v>
      </c>
      <c r="C16" s="24"/>
      <c r="D16" s="31">
        <v>0.67708333333333337</v>
      </c>
      <c r="E16" s="31">
        <v>0.79166666666666663</v>
      </c>
      <c r="F16" s="32">
        <f t="shared" si="3"/>
        <v>2.7499999999999982</v>
      </c>
      <c r="G16" s="32"/>
      <c r="H16" s="90">
        <f>F16-('Data Kystruten'!$B$51*2)</f>
        <v>1.7499999999999982</v>
      </c>
      <c r="I16" s="75"/>
      <c r="M16" s="80">
        <f>(F16+G16)*('Data Kystruten'!$B$3+'Data Kystruten'!$B$4)</f>
        <v>9.6249999999999929</v>
      </c>
      <c r="N16" s="23">
        <f>M16/'Data Kystruten'!$B$43</f>
        <v>26.237416535029784</v>
      </c>
      <c r="O16" s="23">
        <f>N16/'Data Kystruten'!$B$17</f>
        <v>0.78720121617251082</v>
      </c>
      <c r="P16" s="23">
        <f t="shared" ref="P16:P18" si="7">P15-O16</f>
        <v>3.1255975676549781</v>
      </c>
      <c r="Q16" s="23"/>
      <c r="R16" s="80">
        <f t="shared" si="0"/>
        <v>3.1255975676549781</v>
      </c>
      <c r="S16" s="94">
        <f t="shared" si="1"/>
        <v>66.502075907552722</v>
      </c>
      <c r="Y16" s="54">
        <v>0</v>
      </c>
      <c r="AC16" s="23">
        <f t="shared" si="5"/>
        <v>6.6808703098699791</v>
      </c>
      <c r="AD16" s="96">
        <f t="shared" si="2"/>
        <v>100</v>
      </c>
    </row>
    <row r="17" spans="1:30">
      <c r="A17" s="35"/>
      <c r="B17" s="24"/>
      <c r="C17" s="24"/>
      <c r="D17" s="31"/>
      <c r="E17" s="31"/>
      <c r="F17" s="32"/>
      <c r="G17" s="32">
        <f t="shared" si="6"/>
        <v>3.5000000000000009</v>
      </c>
      <c r="H17" s="90"/>
      <c r="I17" s="75"/>
      <c r="M17" s="80">
        <f>(F17+G17)*('Data Kystruten'!$B$3+'Data Kystruten'!$B$4)</f>
        <v>12.250000000000004</v>
      </c>
      <c r="N17" s="23">
        <f>M17/'Data Kystruten'!$B$43</f>
        <v>33.393075590037938</v>
      </c>
      <c r="O17" s="23">
        <f>N17/'Data Kystruten'!$B$17</f>
        <v>1.0018924569468328</v>
      </c>
      <c r="P17" s="23">
        <f t="shared" si="7"/>
        <v>2.123705110708145</v>
      </c>
      <c r="Q17" s="23"/>
      <c r="R17" s="80">
        <f t="shared" si="0"/>
        <v>2.123705110708145</v>
      </c>
      <c r="S17" s="94">
        <f t="shared" si="1"/>
        <v>45.185215121449893</v>
      </c>
      <c r="Y17" s="54">
        <v>0</v>
      </c>
      <c r="AC17" s="23">
        <f t="shared" si="5"/>
        <v>6.6808703098699791</v>
      </c>
      <c r="AD17" s="96">
        <f t="shared" si="2"/>
        <v>100</v>
      </c>
    </row>
    <row r="18" spans="1:30">
      <c r="A18" s="35" t="s">
        <v>105</v>
      </c>
      <c r="B18" s="24" t="s">
        <v>106</v>
      </c>
      <c r="C18" s="24"/>
      <c r="D18" s="31">
        <v>0.9375</v>
      </c>
      <c r="E18" s="31">
        <v>6.25E-2</v>
      </c>
      <c r="F18" s="32">
        <v>3</v>
      </c>
      <c r="G18" s="32"/>
      <c r="H18" s="90">
        <f>F18-('Data Kystruten'!$B$51*2)</f>
        <v>2</v>
      </c>
      <c r="I18" s="75"/>
      <c r="M18" s="80">
        <f>(F18+G18)*('Data Kystruten'!$B$3+'Data Kystruten'!$B$4)</f>
        <v>10.5</v>
      </c>
      <c r="N18" s="23">
        <f>M18/'Data Kystruten'!$B$43</f>
        <v>28.622636220032511</v>
      </c>
      <c r="O18" s="23">
        <f>N18/'Data Kystruten'!$B$17</f>
        <v>0.85876496309728512</v>
      </c>
      <c r="P18" s="23">
        <f t="shared" si="7"/>
        <v>1.2649401476108599</v>
      </c>
      <c r="Q18" s="23"/>
      <c r="R18" s="80">
        <f t="shared" si="0"/>
        <v>1.2649401476108599</v>
      </c>
      <c r="S18" s="94">
        <f t="shared" si="1"/>
        <v>26.913620161933189</v>
      </c>
      <c r="Y18" s="54">
        <v>0</v>
      </c>
      <c r="AC18" s="23">
        <f t="shared" si="5"/>
        <v>6.6808703098699791</v>
      </c>
      <c r="AD18" s="96">
        <f t="shared" si="2"/>
        <v>100</v>
      </c>
    </row>
    <row r="19" spans="1:30">
      <c r="A19" s="35"/>
      <c r="B19" s="24"/>
      <c r="C19" s="24"/>
      <c r="D19" s="31"/>
      <c r="E19" s="31"/>
      <c r="F19" s="32"/>
      <c r="G19" s="32">
        <f t="shared" si="6"/>
        <v>8.5</v>
      </c>
      <c r="H19" s="90"/>
      <c r="I19" s="75"/>
      <c r="M19" s="80">
        <f>(F19+G19)*('Data Kystruten'!$B$3+'Data Kystruten'!$B$4)</f>
        <v>29.75</v>
      </c>
      <c r="N19" s="23">
        <f>M19/'Data Kystruten'!$B$43</f>
        <v>81.097469290092121</v>
      </c>
      <c r="O19" s="23">
        <f>N19/'Data Kystruten'!$B$17</f>
        <v>2.4331673954423079</v>
      </c>
      <c r="P19" s="23">
        <f>P18-O19</f>
        <v>-1.1682272478314479</v>
      </c>
      <c r="Q19" s="23"/>
      <c r="R19" s="80">
        <v>0</v>
      </c>
      <c r="S19" s="94">
        <f t="shared" si="1"/>
        <v>0</v>
      </c>
      <c r="Y19" s="80">
        <f>-P19</f>
        <v>1.1682272478314479</v>
      </c>
      <c r="Z19" s="23">
        <f>Y19</f>
        <v>1.1682272478314479</v>
      </c>
      <c r="AA19" s="23">
        <f>(Z19*'Data Kystruten'!$B$43*'Data Kystruten'!$B$17)/'Data Kystruten'!$B$42</f>
        <v>43.512113335223248</v>
      </c>
      <c r="AB19" s="23">
        <f>(AA19*3.6)/'Data Kystruten'!$B$10</f>
        <v>3.1773551319838482</v>
      </c>
      <c r="AC19" s="23">
        <f>AC18-AB19</f>
        <v>3.5035151778861309</v>
      </c>
      <c r="AD19" s="96">
        <f t="shared" si="2"/>
        <v>52.4409996809879</v>
      </c>
    </row>
    <row r="20" spans="1:30">
      <c r="A20" s="38"/>
      <c r="B20" s="39" t="s">
        <v>107</v>
      </c>
      <c r="C20" s="39" t="s">
        <v>98</v>
      </c>
      <c r="D20" s="41">
        <v>0.41666666666666669</v>
      </c>
      <c r="E20" s="41">
        <v>0.55208333333333337</v>
      </c>
      <c r="F20" s="91">
        <f>'Data Kystruten'!B54</f>
        <v>3.35</v>
      </c>
      <c r="G20" s="42"/>
      <c r="H20" s="42">
        <f>F20-('Data Kystruten'!$B$51*2)</f>
        <v>2.35</v>
      </c>
      <c r="I20" s="76">
        <f>(E20-D20)*24</f>
        <v>3.2500000000000004</v>
      </c>
      <c r="J20" s="23"/>
      <c r="M20" s="45">
        <f>(F20+G20)*('Data Kystruten'!$B$3+'Data Kystruten'!$B$4)</f>
        <v>11.725</v>
      </c>
      <c r="N20" s="45">
        <f>M20/'Data Kystruten'!$B$43</f>
        <v>31.961943779036304</v>
      </c>
      <c r="O20" s="45">
        <f>N20/'Data Kystruten'!$B$17</f>
        <v>0.95895420879196835</v>
      </c>
      <c r="P20" s="45">
        <f>P5</f>
        <v>4.7</v>
      </c>
      <c r="Q20" s="45">
        <f>P20+O20</f>
        <v>5.6589542087919682</v>
      </c>
      <c r="R20" s="45">
        <f t="shared" si="0"/>
        <v>4.7</v>
      </c>
      <c r="S20" s="94">
        <f t="shared" si="1"/>
        <v>100</v>
      </c>
      <c r="Y20" s="44">
        <v>0</v>
      </c>
      <c r="Z20" s="44"/>
      <c r="AA20" s="44">
        <f>(Z20*'Data Kystruten'!$B$43*'Data Kystruten'!$B$17)/'Data Kystruten'!$B$42</f>
        <v>0</v>
      </c>
      <c r="AB20" s="44">
        <f>(AA20*3.6)/'Data Kystruten'!$B$10</f>
        <v>0</v>
      </c>
      <c r="AC20" s="45">
        <f>AC6-AB20</f>
        <v>6.6808703098699791</v>
      </c>
      <c r="AD20" s="95">
        <f t="shared" si="2"/>
        <v>100</v>
      </c>
    </row>
    <row r="21" spans="1:30">
      <c r="A21" s="35"/>
      <c r="B21" s="24"/>
      <c r="C21" s="24"/>
      <c r="D21" s="31"/>
      <c r="E21" s="31"/>
      <c r="F21" s="32"/>
      <c r="G21" s="32">
        <f t="shared" si="6"/>
        <v>9</v>
      </c>
      <c r="H21" s="90"/>
      <c r="I21" s="75"/>
      <c r="M21" s="45">
        <f>(F21+G21)*('Data Kystruten'!$B$3+'Data Kystruten'!$B$4)</f>
        <v>31.5</v>
      </c>
      <c r="N21" s="23">
        <f>M21/'Data Kystruten'!$B$43</f>
        <v>85.867908660097541</v>
      </c>
      <c r="O21" s="23">
        <f>N21/'Data Kystruten'!$B$17</f>
        <v>2.5762948892918556</v>
      </c>
      <c r="P21" s="23">
        <f>P20-O21</f>
        <v>2.1237051107081446</v>
      </c>
      <c r="Q21" s="23"/>
      <c r="R21" s="80">
        <f t="shared" si="0"/>
        <v>2.1237051107081446</v>
      </c>
      <c r="S21" s="94">
        <f t="shared" si="1"/>
        <v>45.185215121449886</v>
      </c>
      <c r="Y21" s="54">
        <v>0</v>
      </c>
      <c r="AA21">
        <f>(Z21*'Data Kystruten'!$B$43*'Data Kystruten'!$B$17)/'Data Kystruten'!$B$42</f>
        <v>0</v>
      </c>
      <c r="AB21">
        <f>(AA21*3.6)/'Data Kystruten'!$B$10</f>
        <v>0</v>
      </c>
      <c r="AC21" s="80">
        <f t="shared" ref="AC21:AC26" si="8">AC7-AB21</f>
        <v>6.6808703098699791</v>
      </c>
      <c r="AD21" s="96">
        <f t="shared" si="2"/>
        <v>100</v>
      </c>
    </row>
    <row r="22" spans="1:30">
      <c r="A22" s="35"/>
      <c r="B22" s="24" t="s">
        <v>108</v>
      </c>
      <c r="C22" s="24"/>
      <c r="D22" s="31">
        <v>0.92708333333333337</v>
      </c>
      <c r="E22" s="31">
        <v>0.9375</v>
      </c>
      <c r="F22" s="32">
        <f t="shared" si="3"/>
        <v>0.24999999999999911</v>
      </c>
      <c r="G22" s="32"/>
      <c r="H22" s="90">
        <v>0</v>
      </c>
      <c r="I22" s="75"/>
      <c r="M22" s="80">
        <f>(F22+G22)*('Data Kystruten'!$B$3+'Data Kystruten'!$B$4)</f>
        <v>0.87499999999999689</v>
      </c>
      <c r="N22" s="23">
        <f>M22/'Data Kystruten'!$B$43</f>
        <v>2.385219685002701</v>
      </c>
      <c r="O22" s="23">
        <f>N22/'Data Kystruten'!$B$17</f>
        <v>7.1563746924773505E-2</v>
      </c>
      <c r="P22" s="23">
        <f t="shared" ref="P22:P31" si="9">P21-O22</f>
        <v>2.0521413637833712</v>
      </c>
      <c r="Q22" s="23"/>
      <c r="R22" s="80">
        <f t="shared" si="0"/>
        <v>2.0521413637833712</v>
      </c>
      <c r="S22" s="94">
        <f t="shared" si="1"/>
        <v>43.662582208156827</v>
      </c>
      <c r="Y22" s="54">
        <v>0</v>
      </c>
      <c r="AA22">
        <f>(Z22*'Data Kystruten'!$B$43*'Data Kystruten'!$B$17)/'Data Kystruten'!$B$42</f>
        <v>0</v>
      </c>
      <c r="AB22">
        <f>(AA22*3.6)/'Data Kystruten'!$B$10</f>
        <v>0</v>
      </c>
      <c r="AC22" s="80">
        <f t="shared" si="8"/>
        <v>6.6808703098699791</v>
      </c>
      <c r="AD22" s="96">
        <f t="shared" si="2"/>
        <v>100</v>
      </c>
    </row>
    <row r="23" spans="1:30">
      <c r="A23" s="35"/>
      <c r="B23" s="24"/>
      <c r="C23" s="24"/>
      <c r="D23" s="31"/>
      <c r="E23" s="31"/>
      <c r="F23" s="32"/>
      <c r="G23" s="32">
        <v>2.25</v>
      </c>
      <c r="H23" s="90"/>
      <c r="I23" s="75"/>
      <c r="M23" s="80">
        <f>(F23+G23)*('Data Kystruten'!$B$3+'Data Kystruten'!$B$4)</f>
        <v>7.875</v>
      </c>
      <c r="N23" s="23">
        <f>M23/'Data Kystruten'!$B$43</f>
        <v>21.466977165024385</v>
      </c>
      <c r="O23" s="23">
        <f>N23/'Data Kystruten'!$B$17</f>
        <v>0.64407372232296389</v>
      </c>
      <c r="P23" s="23">
        <f t="shared" si="9"/>
        <v>1.4080676414604074</v>
      </c>
      <c r="Q23" s="23"/>
      <c r="R23" s="80">
        <f t="shared" si="0"/>
        <v>1.4080676414604074</v>
      </c>
      <c r="S23" s="94">
        <f t="shared" si="1"/>
        <v>29.958885988519306</v>
      </c>
      <c r="Y23" s="54">
        <v>0</v>
      </c>
      <c r="AA23">
        <f>(Z23*'Data Kystruten'!$B$43*'Data Kystruten'!$B$17)/'Data Kystruten'!$B$42</f>
        <v>0</v>
      </c>
      <c r="AB23">
        <f>(AA23*3.6)/'Data Kystruten'!$B$10</f>
        <v>0</v>
      </c>
      <c r="AC23" s="80">
        <f t="shared" si="8"/>
        <v>6.6808703098699791</v>
      </c>
      <c r="AD23" s="96">
        <f t="shared" si="2"/>
        <v>100</v>
      </c>
    </row>
    <row r="24" spans="1:30">
      <c r="A24" s="35" t="s">
        <v>109</v>
      </c>
      <c r="B24" s="24" t="s">
        <v>110</v>
      </c>
      <c r="C24" s="24"/>
      <c r="D24" s="31">
        <v>7.2916666666666671E-2</v>
      </c>
      <c r="E24" s="31">
        <v>7.9861111111111105E-2</v>
      </c>
      <c r="F24" s="32">
        <f t="shared" si="3"/>
        <v>0.16666666666666641</v>
      </c>
      <c r="G24" s="32"/>
      <c r="H24" s="90">
        <v>0</v>
      </c>
      <c r="I24" s="75"/>
      <c r="M24" s="80">
        <f>(F24+G24)*('Data Kystruten'!$B$3+'Data Kystruten'!$B$4)</f>
        <v>0.58333333333333237</v>
      </c>
      <c r="N24" s="23">
        <f>M24/'Data Kystruten'!$B$43</f>
        <v>1.5901464566684702</v>
      </c>
      <c r="O24" s="23">
        <f>N24/'Data Kystruten'!$B$17</f>
        <v>4.770916461651576E-2</v>
      </c>
      <c r="P24" s="23">
        <f t="shared" si="9"/>
        <v>1.3603584768438917</v>
      </c>
      <c r="Q24" s="23"/>
      <c r="R24" s="80">
        <f t="shared" si="0"/>
        <v>1.3603584768438917</v>
      </c>
      <c r="S24" s="94">
        <f t="shared" si="1"/>
        <v>28.943797379657266</v>
      </c>
      <c r="Y24" s="54">
        <v>0</v>
      </c>
      <c r="AA24">
        <f>(Z24*'Data Kystruten'!$B$43*'Data Kystruten'!$B$17)/'Data Kystruten'!$B$42</f>
        <v>0</v>
      </c>
      <c r="AB24">
        <f>(AA24*3.6)/'Data Kystruten'!$B$10</f>
        <v>0</v>
      </c>
      <c r="AC24" s="80">
        <f t="shared" si="8"/>
        <v>6.6808703098699791</v>
      </c>
      <c r="AD24" s="96">
        <f t="shared" si="2"/>
        <v>100</v>
      </c>
    </row>
    <row r="25" spans="1:30">
      <c r="A25" s="35"/>
      <c r="B25" s="24"/>
      <c r="C25" s="24"/>
      <c r="D25" s="31"/>
      <c r="E25" s="31"/>
      <c r="F25" s="32"/>
      <c r="G25" s="32">
        <f t="shared" si="6"/>
        <v>2.6666666666666665</v>
      </c>
      <c r="H25" s="90"/>
      <c r="I25" s="75"/>
      <c r="M25" s="80">
        <f>(F25+G25)*('Data Kystruten'!$B$3+'Data Kystruten'!$B$4)</f>
        <v>9.3333333333333321</v>
      </c>
      <c r="N25" s="23">
        <f>M25/'Data Kystruten'!$B$43</f>
        <v>25.442343306695562</v>
      </c>
      <c r="O25" s="23">
        <f>N25/'Data Kystruten'!$B$17</f>
        <v>0.76334663386425339</v>
      </c>
      <c r="P25" s="23">
        <f t="shared" si="9"/>
        <v>0.59701184297963827</v>
      </c>
      <c r="Q25" s="23"/>
      <c r="R25" s="80">
        <f t="shared" si="0"/>
        <v>0.59701184297963827</v>
      </c>
      <c r="S25" s="94">
        <f t="shared" si="1"/>
        <v>12.702379637864643</v>
      </c>
      <c r="Y25" s="54">
        <v>0</v>
      </c>
      <c r="AA25">
        <f>(Z25*'Data Kystruten'!$B$43*'Data Kystruten'!$B$17)/'Data Kystruten'!$B$42</f>
        <v>0</v>
      </c>
      <c r="AB25">
        <f>(AA25*3.6)/'Data Kystruten'!$B$10</f>
        <v>0</v>
      </c>
      <c r="AC25" s="80">
        <f t="shared" si="8"/>
        <v>6.6808703098699791</v>
      </c>
      <c r="AD25" s="96">
        <f t="shared" si="2"/>
        <v>100</v>
      </c>
    </row>
    <row r="26" spans="1:30">
      <c r="A26" s="35"/>
      <c r="B26" s="24" t="s">
        <v>111</v>
      </c>
      <c r="C26" s="25" t="s">
        <v>363</v>
      </c>
      <c r="D26" s="31">
        <v>0.19097222222222221</v>
      </c>
      <c r="E26" s="31">
        <v>0.19791666666666666</v>
      </c>
      <c r="F26" s="32">
        <f t="shared" si="3"/>
        <v>0.16666666666666674</v>
      </c>
      <c r="G26" s="32"/>
      <c r="H26" s="90">
        <v>0</v>
      </c>
      <c r="I26" s="75"/>
      <c r="M26" s="80">
        <f>(F26+G26)*('Data Kystruten'!$B$3+'Data Kystruten'!$B$4)</f>
        <v>0.58333333333333359</v>
      </c>
      <c r="N26" s="23">
        <f>M26/'Data Kystruten'!$B$43</f>
        <v>1.5901464566684735</v>
      </c>
      <c r="O26" s="23">
        <f>N26/'Data Kystruten'!$B$17</f>
        <v>4.7709164616515858E-2</v>
      </c>
      <c r="P26" s="23">
        <f t="shared" si="9"/>
        <v>0.54930267836312241</v>
      </c>
      <c r="Q26" s="23"/>
      <c r="R26" s="80">
        <f t="shared" si="0"/>
        <v>0.54930267836312241</v>
      </c>
      <c r="S26" s="94">
        <f t="shared" si="1"/>
        <v>11.687291029002605</v>
      </c>
      <c r="Y26" s="54">
        <v>0</v>
      </c>
      <c r="AA26">
        <f>(Z26*'Data Kystruten'!$B$43*'Data Kystruten'!$B$17)/'Data Kystruten'!$B$42</f>
        <v>0</v>
      </c>
      <c r="AB26">
        <f>(AA26*3.6)/'Data Kystruten'!$B$10</f>
        <v>0</v>
      </c>
      <c r="AC26" s="80">
        <f t="shared" si="8"/>
        <v>6.6808703098699791</v>
      </c>
      <c r="AD26" s="96">
        <f t="shared" si="2"/>
        <v>100</v>
      </c>
    </row>
    <row r="27" spans="1:30">
      <c r="A27" s="35"/>
      <c r="B27" s="24"/>
      <c r="C27" s="24"/>
      <c r="D27" s="31"/>
      <c r="E27" s="31"/>
      <c r="F27" s="32"/>
      <c r="G27" s="32">
        <f t="shared" si="6"/>
        <v>1.1666666666666672</v>
      </c>
      <c r="H27" s="90"/>
      <c r="I27" s="75"/>
      <c r="M27" s="80">
        <f>(F27+G27)*('Data Kystruten'!$B$3+'Data Kystruten'!$B$4)</f>
        <v>4.0833333333333348</v>
      </c>
      <c r="N27" s="23">
        <f>M27/'Data Kystruten'!$B$43</f>
        <v>11.131025196679314</v>
      </c>
      <c r="O27" s="23">
        <f>N27/'Data Kystruten'!$B$17</f>
        <v>0.333964152315611</v>
      </c>
      <c r="P27" s="23">
        <f t="shared" si="9"/>
        <v>0.21533852604751141</v>
      </c>
      <c r="Q27" s="23"/>
      <c r="R27" s="80">
        <f>P27</f>
        <v>0.21533852604751141</v>
      </c>
      <c r="S27" s="94">
        <f t="shared" si="1"/>
        <v>4.5816707669683279</v>
      </c>
      <c r="Y27" s="54">
        <v>0</v>
      </c>
      <c r="Z27">
        <f>Y27</f>
        <v>0</v>
      </c>
      <c r="AA27">
        <f>(Z27*'Data Kystruten'!$B$43*'Data Kystruten'!$B$17)/'Data Kystruten'!$B$42</f>
        <v>0</v>
      </c>
      <c r="AB27">
        <f>(AA27*3.6)/'Data Kystruten'!$B$10</f>
        <v>0</v>
      </c>
      <c r="AC27" s="80">
        <f>AC26-AB27</f>
        <v>6.6808703098699791</v>
      </c>
      <c r="AD27" s="96">
        <f t="shared" si="2"/>
        <v>100</v>
      </c>
    </row>
    <row r="28" spans="1:30">
      <c r="A28" s="35"/>
      <c r="B28" s="24" t="s">
        <v>113</v>
      </c>
      <c r="C28" s="24"/>
      <c r="D28" s="31">
        <v>0.24652777777777779</v>
      </c>
      <c r="E28" s="31">
        <v>0.25347222222222221</v>
      </c>
      <c r="F28" s="32">
        <f t="shared" si="3"/>
        <v>0.16666666666666607</v>
      </c>
      <c r="G28" s="32"/>
      <c r="H28" s="90">
        <v>0</v>
      </c>
      <c r="I28" s="75"/>
      <c r="M28" s="80">
        <f>(F28+G28)*('Data Kystruten'!$B$3+'Data Kystruten'!$B$4)</f>
        <v>0.58333333333333126</v>
      </c>
      <c r="N28" s="23">
        <f>M28/'Data Kystruten'!$B$43</f>
        <v>1.5901464566684673</v>
      </c>
      <c r="O28" s="23">
        <f>N28/'Data Kystruten'!$B$17</f>
        <v>4.7709164616515677E-2</v>
      </c>
      <c r="P28" s="23">
        <f t="shared" si="9"/>
        <v>0.16762936143099574</v>
      </c>
      <c r="Q28" s="23"/>
      <c r="R28" s="80">
        <f>P28</f>
        <v>0.16762936143099574</v>
      </c>
      <c r="S28" s="94">
        <f t="shared" si="1"/>
        <v>3.566582158106292</v>
      </c>
      <c r="Y28" s="54"/>
      <c r="Z28">
        <f>Y28-Y27</f>
        <v>0</v>
      </c>
      <c r="AA28">
        <f>(Z28*'Data Kystruten'!$B$43*'Data Kystruten'!$B$17)/'Data Kystruten'!$B$42</f>
        <v>0</v>
      </c>
      <c r="AB28">
        <f>(AA28*3.6)/'Data Kystruten'!$B$10</f>
        <v>0</v>
      </c>
      <c r="AC28" s="80">
        <f t="shared" ref="AC28:AC31" si="10">AC27-AB28</f>
        <v>6.6808703098699791</v>
      </c>
      <c r="AD28" s="96">
        <f t="shared" si="2"/>
        <v>100</v>
      </c>
    </row>
    <row r="29" spans="1:30">
      <c r="A29" s="35"/>
      <c r="B29" s="24"/>
      <c r="C29" s="24"/>
      <c r="D29" s="31"/>
      <c r="E29" s="31"/>
      <c r="F29" s="32"/>
      <c r="G29" s="32">
        <f t="shared" si="6"/>
        <v>3.666666666666667</v>
      </c>
      <c r="H29" s="90"/>
      <c r="I29" s="75"/>
      <c r="M29" s="80">
        <f>(F29+G29)*('Data Kystruten'!$B$3+'Data Kystruten'!$B$4)</f>
        <v>12.833333333333334</v>
      </c>
      <c r="N29" s="23">
        <f>M29/'Data Kystruten'!$B$43</f>
        <v>34.983222046706409</v>
      </c>
      <c r="O29" s="23">
        <f>N29/'Data Kystruten'!$B$17</f>
        <v>1.0496016215633486</v>
      </c>
      <c r="P29" s="23">
        <f t="shared" si="9"/>
        <v>-0.88197226013235286</v>
      </c>
      <c r="Q29" s="23"/>
      <c r="R29" s="80">
        <v>0</v>
      </c>
      <c r="S29" s="94">
        <f t="shared" si="1"/>
        <v>0</v>
      </c>
      <c r="Y29" s="80">
        <f t="shared" ref="Y29:Y31" si="11">-P29</f>
        <v>0.88197226013235286</v>
      </c>
      <c r="Z29" s="23">
        <f t="shared" ref="Z29:Z31" si="12">Y29-Y28</f>
        <v>0.88197226013235286</v>
      </c>
      <c r="AA29" s="23">
        <f>(Z29*'Data Kystruten'!$B$43*'Data Kystruten'!$B$17)/'Data Kystruten'!$B$42</f>
        <v>32.850181343261141</v>
      </c>
      <c r="AB29" s="23">
        <f>(AA29*3.6)/'Data Kystruten'!$B$10</f>
        <v>2.3987962035647086</v>
      </c>
      <c r="AC29" s="80">
        <f t="shared" si="10"/>
        <v>4.2820741063052701</v>
      </c>
      <c r="AD29" s="96">
        <f t="shared" si="2"/>
        <v>64.094555165651855</v>
      </c>
    </row>
    <row r="30" spans="1:30">
      <c r="A30" s="35"/>
      <c r="B30" s="24" t="s">
        <v>114</v>
      </c>
      <c r="C30" s="24"/>
      <c r="D30" s="31">
        <v>0.40625</v>
      </c>
      <c r="E30" s="31">
        <v>0.41319444444444442</v>
      </c>
      <c r="F30" s="32">
        <f t="shared" si="3"/>
        <v>0.16666666666666607</v>
      </c>
      <c r="G30" s="32"/>
      <c r="H30" s="90">
        <v>0</v>
      </c>
      <c r="I30" s="75"/>
      <c r="M30" s="80">
        <f>(F30+G30)*('Data Kystruten'!$B$3+'Data Kystruten'!$B$4)</f>
        <v>0.58333333333333126</v>
      </c>
      <c r="N30" s="23">
        <f>M30/'Data Kystruten'!$B$43</f>
        <v>1.5901464566684673</v>
      </c>
      <c r="O30" s="23">
        <f>N30/'Data Kystruten'!$B$17</f>
        <v>4.7709164616515677E-2</v>
      </c>
      <c r="P30" s="23">
        <f t="shared" si="9"/>
        <v>-0.9296814247488685</v>
      </c>
      <c r="Q30" s="23"/>
      <c r="R30" s="80">
        <v>0</v>
      </c>
      <c r="S30" s="94">
        <f t="shared" si="1"/>
        <v>0</v>
      </c>
      <c r="Y30" s="80">
        <f t="shared" si="11"/>
        <v>0.9296814247488685</v>
      </c>
      <c r="Z30" s="23">
        <f t="shared" si="12"/>
        <v>4.7709164616515642E-2</v>
      </c>
      <c r="AA30" s="23">
        <f>(Z30*'Data Kystruten'!$B$43*'Data Kystruten'!$B$17)/'Data Kystruten'!$B$42</f>
        <v>1.7769886653270108</v>
      </c>
      <c r="AB30" s="23">
        <f>(AA30*3.6)/'Data Kystruten'!$B$10</f>
        <v>0.12975982140318945</v>
      </c>
      <c r="AC30" s="80">
        <f t="shared" si="10"/>
        <v>4.1523142849020802</v>
      </c>
      <c r="AD30" s="96">
        <f t="shared" si="2"/>
        <v>62.152295918207869</v>
      </c>
    </row>
    <row r="31" spans="1:30">
      <c r="A31" s="35"/>
      <c r="B31" s="24"/>
      <c r="C31" s="24"/>
      <c r="D31" s="31"/>
      <c r="E31" s="31"/>
      <c r="F31" s="32"/>
      <c r="G31" s="32">
        <f t="shared" si="6"/>
        <v>2.7500000000000009</v>
      </c>
      <c r="H31" s="90"/>
      <c r="I31" s="75"/>
      <c r="M31" s="80">
        <f>(F31+G31)*('Data Kystruten'!$B$3+'Data Kystruten'!$B$4)</f>
        <v>9.6250000000000036</v>
      </c>
      <c r="N31" s="23">
        <f>M31/'Data Kystruten'!$B$43</f>
        <v>26.237416535029812</v>
      </c>
      <c r="O31" s="23">
        <f>N31/'Data Kystruten'!$B$17</f>
        <v>0.78720121617251171</v>
      </c>
      <c r="P31" s="23">
        <f t="shared" si="9"/>
        <v>-1.7168826409213802</v>
      </c>
      <c r="Q31" s="23"/>
      <c r="R31" s="80">
        <v>0</v>
      </c>
      <c r="S31" s="94">
        <f t="shared" si="1"/>
        <v>0</v>
      </c>
      <c r="Y31" s="80">
        <f t="shared" si="11"/>
        <v>1.7168826409213802</v>
      </c>
      <c r="Z31" s="23">
        <f t="shared" si="12"/>
        <v>0.78720121617251171</v>
      </c>
      <c r="AA31" s="23">
        <f>(Z31*'Data Kystruten'!$B$43*'Data Kystruten'!$B$17)/'Data Kystruten'!$B$42</f>
        <v>29.32031297789581</v>
      </c>
      <c r="AB31" s="23">
        <f>(AA31*3.6)/'Data Kystruten'!$B$10</f>
        <v>2.1410370531526355</v>
      </c>
      <c r="AC31" s="80">
        <f t="shared" si="10"/>
        <v>2.0112772317494447</v>
      </c>
      <c r="AD31" s="96">
        <f t="shared" si="2"/>
        <v>30.105018335381928</v>
      </c>
    </row>
    <row r="32" spans="1:30">
      <c r="A32" s="38"/>
      <c r="B32" s="39" t="s">
        <v>115</v>
      </c>
      <c r="C32" s="39" t="s">
        <v>98</v>
      </c>
      <c r="D32" s="41">
        <v>0.52777777777777779</v>
      </c>
      <c r="E32" s="41">
        <v>0.625</v>
      </c>
      <c r="F32" s="91">
        <f>F20</f>
        <v>3.35</v>
      </c>
      <c r="G32" s="42"/>
      <c r="H32" s="42">
        <f>F32-('Data Kystruten'!$B$51*2)</f>
        <v>2.35</v>
      </c>
      <c r="I32" s="76">
        <f>(E32-D32)*24</f>
        <v>2.333333333333333</v>
      </c>
      <c r="J32" s="23"/>
      <c r="M32" s="45">
        <f>(F32+G32)*('Data Kystruten'!$B$3+'Data Kystruten'!$B$4)</f>
        <v>11.725</v>
      </c>
      <c r="N32" s="45">
        <f>M32/'Data Kystruten'!$B$43</f>
        <v>31.961943779036304</v>
      </c>
      <c r="O32" s="45">
        <f>N32/'Data Kystruten'!$B$17</f>
        <v>0.95895420879196835</v>
      </c>
      <c r="P32" s="45">
        <f>P20</f>
        <v>4.7</v>
      </c>
      <c r="Q32" s="45">
        <f>P32+O32</f>
        <v>5.6589542087919682</v>
      </c>
      <c r="R32" s="45">
        <f t="shared" si="0"/>
        <v>4.7</v>
      </c>
      <c r="S32" s="94">
        <f t="shared" si="1"/>
        <v>100</v>
      </c>
      <c r="Y32" s="44">
        <v>0</v>
      </c>
      <c r="Z32" s="44"/>
      <c r="AA32" s="44">
        <f>(Z32*'Data Kystruten'!$B$43*'Data Kystruten'!$B$17)/'Data Kystruten'!$B$42</f>
        <v>0</v>
      </c>
      <c r="AB32" s="44">
        <f>(AA32*3.6)/'Data Kystruten'!$B$10</f>
        <v>0</v>
      </c>
      <c r="AC32" s="45">
        <f>AC20</f>
        <v>6.6808703098699791</v>
      </c>
      <c r="AD32" s="95">
        <f t="shared" si="2"/>
        <v>100</v>
      </c>
    </row>
    <row r="33" spans="1:30">
      <c r="A33" s="35"/>
      <c r="B33" s="24"/>
      <c r="C33" s="24"/>
      <c r="D33" s="31"/>
      <c r="E33" s="31"/>
      <c r="F33" s="32"/>
      <c r="G33" s="32">
        <f t="shared" si="6"/>
        <v>3.9999999999999991</v>
      </c>
      <c r="H33" s="90"/>
      <c r="I33" s="75"/>
      <c r="M33" s="80">
        <f>(F33+G33)*('Data Kystruten'!$B$3+'Data Kystruten'!$B$4)</f>
        <v>13.999999999999996</v>
      </c>
      <c r="N33" s="23">
        <f>M33/'Data Kystruten'!$B$43</f>
        <v>38.163514960043344</v>
      </c>
      <c r="O33" s="23">
        <f>N33/'Data Kystruten'!$B$17</f>
        <v>1.1450199507963801</v>
      </c>
      <c r="P33" s="23">
        <f>P32-O33</f>
        <v>3.5549800492036203</v>
      </c>
      <c r="Q33" s="23"/>
      <c r="R33" s="80">
        <f t="shared" si="0"/>
        <v>3.5549800492036203</v>
      </c>
      <c r="S33" s="94">
        <f t="shared" si="1"/>
        <v>75.637873387311075</v>
      </c>
      <c r="Y33" s="54">
        <v>0</v>
      </c>
      <c r="AA33">
        <f>(Z33*'Data Kystruten'!$B$43*'Data Kystruten'!$B$17)/'Data Kystruten'!$B$42</f>
        <v>0</v>
      </c>
      <c r="AB33">
        <f>(AA33*3.6)/'Data Kystruten'!$B$10</f>
        <v>0</v>
      </c>
      <c r="AC33" s="80">
        <f>AC32</f>
        <v>6.6808703098699791</v>
      </c>
      <c r="AD33" s="96">
        <f t="shared" si="2"/>
        <v>100</v>
      </c>
    </row>
    <row r="34" spans="1:30">
      <c r="A34" s="35"/>
      <c r="B34" s="24" t="s">
        <v>116</v>
      </c>
      <c r="C34" s="24"/>
      <c r="D34" s="31">
        <v>0.79166666666666663</v>
      </c>
      <c r="E34" s="31">
        <v>0.8125</v>
      </c>
      <c r="F34" s="32">
        <f t="shared" si="3"/>
        <v>0.50000000000000089</v>
      </c>
      <c r="G34" s="32"/>
      <c r="H34" s="90">
        <v>0</v>
      </c>
      <c r="I34" s="75"/>
      <c r="M34" s="80">
        <f>(F34+G34)*('Data Kystruten'!$B$3+'Data Kystruten'!$B$4)</f>
        <v>1.7500000000000031</v>
      </c>
      <c r="N34" s="23">
        <f>M34/'Data Kystruten'!$B$43</f>
        <v>4.7704393700054268</v>
      </c>
      <c r="O34" s="23">
        <f>N34/'Data Kystruten'!$B$17</f>
        <v>0.14312749384954776</v>
      </c>
      <c r="P34" s="23">
        <f t="shared" ref="P34:P47" si="13">P33-O34</f>
        <v>3.4118525553540726</v>
      </c>
      <c r="Q34" s="23"/>
      <c r="R34" s="80">
        <f t="shared" si="0"/>
        <v>3.4118525553540726</v>
      </c>
      <c r="S34" s="94">
        <f t="shared" si="1"/>
        <v>72.592607560724943</v>
      </c>
      <c r="Y34" s="54">
        <v>0</v>
      </c>
      <c r="AA34">
        <f>(Z34*'Data Kystruten'!$B$43*'Data Kystruten'!$B$17)/'Data Kystruten'!$B$42</f>
        <v>0</v>
      </c>
      <c r="AB34">
        <f>(AA34*3.6)/'Data Kystruten'!$B$10</f>
        <v>0</v>
      </c>
      <c r="AC34" s="80">
        <f t="shared" ref="AC34:AC42" si="14">AC33</f>
        <v>6.6808703098699791</v>
      </c>
      <c r="AD34" s="96">
        <f t="shared" si="2"/>
        <v>100</v>
      </c>
    </row>
    <row r="35" spans="1:30">
      <c r="A35" s="35"/>
      <c r="B35" s="24"/>
      <c r="C35" s="24"/>
      <c r="D35" s="31"/>
      <c r="E35" s="31"/>
      <c r="F35" s="32"/>
      <c r="G35" s="32">
        <f t="shared" si="6"/>
        <v>1.5</v>
      </c>
      <c r="H35" s="90"/>
      <c r="I35" s="75"/>
      <c r="M35" s="80">
        <f>(F35+G35)*('Data Kystruten'!$B$3+'Data Kystruten'!$B$4)</f>
        <v>5.25</v>
      </c>
      <c r="N35" s="23">
        <f>M35/'Data Kystruten'!$B$43</f>
        <v>14.311318110016256</v>
      </c>
      <c r="O35" s="23">
        <f>N35/'Data Kystruten'!$B$17</f>
        <v>0.42938248154864256</v>
      </c>
      <c r="P35" s="23">
        <f t="shared" si="13"/>
        <v>2.9824700738054299</v>
      </c>
      <c r="Q35" s="23"/>
      <c r="R35" s="80">
        <f t="shared" si="0"/>
        <v>2.9824700738054299</v>
      </c>
      <c r="S35" s="94">
        <f t="shared" si="1"/>
        <v>63.456810080966598</v>
      </c>
      <c r="Y35" s="54">
        <v>0</v>
      </c>
      <c r="AA35">
        <f>(Z35*'Data Kystruten'!$B$43*'Data Kystruten'!$B$17)/'Data Kystruten'!$B$42</f>
        <v>0</v>
      </c>
      <c r="AB35">
        <f>(AA35*3.6)/'Data Kystruten'!$B$10</f>
        <v>0</v>
      </c>
      <c r="AC35" s="80">
        <f t="shared" si="14"/>
        <v>6.6808703098699791</v>
      </c>
      <c r="AD35" s="96">
        <f t="shared" si="2"/>
        <v>100</v>
      </c>
    </row>
    <row r="36" spans="1:30">
      <c r="A36" s="35"/>
      <c r="B36" s="24" t="s">
        <v>117</v>
      </c>
      <c r="C36" s="24"/>
      <c r="D36" s="31">
        <v>0.875</v>
      </c>
      <c r="E36" s="31">
        <v>0.91666666666666663</v>
      </c>
      <c r="F36" s="32">
        <f t="shared" si="3"/>
        <v>0.99999999999999911</v>
      </c>
      <c r="G36" s="32"/>
      <c r="H36" s="90">
        <f>F36-('Data Kystruten'!$B$51*2)</f>
        <v>-8.8817841970012523E-16</v>
      </c>
      <c r="I36" s="75"/>
      <c r="M36" s="80">
        <f>(F36+G36)*('Data Kystruten'!$B$3+'Data Kystruten'!$B$4)</f>
        <v>3.4999999999999969</v>
      </c>
      <c r="N36" s="23">
        <f>M36/'Data Kystruten'!$B$43</f>
        <v>9.5408787400108288</v>
      </c>
      <c r="O36" s="23">
        <f>N36/'Data Kystruten'!$B$17</f>
        <v>0.2862549876990948</v>
      </c>
      <c r="P36" s="23">
        <f t="shared" si="13"/>
        <v>2.696215086106335</v>
      </c>
      <c r="Q36" s="23"/>
      <c r="R36" s="80">
        <f t="shared" si="0"/>
        <v>2.696215086106335</v>
      </c>
      <c r="S36" s="94">
        <f t="shared" si="1"/>
        <v>57.366278427794356</v>
      </c>
      <c r="Y36" s="54">
        <v>0</v>
      </c>
      <c r="AA36">
        <f>(Z36*'Data Kystruten'!$B$43*'Data Kystruten'!$B$17)/'Data Kystruten'!$B$42</f>
        <v>0</v>
      </c>
      <c r="AB36">
        <f>(AA36*3.6)/'Data Kystruten'!$B$10</f>
        <v>0</v>
      </c>
      <c r="AC36" s="80">
        <f t="shared" si="14"/>
        <v>6.6808703098699791</v>
      </c>
      <c r="AD36" s="96">
        <f t="shared" si="2"/>
        <v>100</v>
      </c>
    </row>
    <row r="37" spans="1:30">
      <c r="A37" s="35"/>
      <c r="B37" s="24"/>
      <c r="C37" s="24"/>
      <c r="D37" s="31"/>
      <c r="E37" s="31"/>
      <c r="F37" s="32"/>
      <c r="G37" s="32">
        <v>3</v>
      </c>
      <c r="H37" s="90"/>
      <c r="I37" s="75"/>
      <c r="M37" s="80">
        <f>(F37+G37)*('Data Kystruten'!$B$3+'Data Kystruten'!$B$4)</f>
        <v>10.5</v>
      </c>
      <c r="N37" s="23">
        <f>M37/'Data Kystruten'!$B$43</f>
        <v>28.622636220032511</v>
      </c>
      <c r="O37" s="23">
        <f>N37/'Data Kystruten'!$B$17</f>
        <v>0.85876496309728512</v>
      </c>
      <c r="P37" s="23">
        <f t="shared" si="13"/>
        <v>1.8374501230090499</v>
      </c>
      <c r="Q37" s="23"/>
      <c r="R37" s="80">
        <f t="shared" si="0"/>
        <v>1.8374501230090499</v>
      </c>
      <c r="S37" s="94">
        <f t="shared" si="1"/>
        <v>39.094683468277658</v>
      </c>
      <c r="Y37" s="54">
        <v>0</v>
      </c>
      <c r="AA37">
        <f>(Z37*'Data Kystruten'!$B$43*'Data Kystruten'!$B$17)/'Data Kystruten'!$B$42</f>
        <v>0</v>
      </c>
      <c r="AB37">
        <f>(AA37*3.6)/'Data Kystruten'!$B$10</f>
        <v>0</v>
      </c>
      <c r="AC37" s="80">
        <f t="shared" si="14"/>
        <v>6.6808703098699791</v>
      </c>
      <c r="AD37" s="96">
        <f t="shared" si="2"/>
        <v>100</v>
      </c>
    </row>
    <row r="38" spans="1:30">
      <c r="A38" s="35" t="s">
        <v>118</v>
      </c>
      <c r="B38" s="24" t="s">
        <v>119</v>
      </c>
      <c r="C38" s="24"/>
      <c r="D38" s="31">
        <v>4.1666666666666664E-2</v>
      </c>
      <c r="E38" s="31">
        <v>5.2083333333333336E-2</v>
      </c>
      <c r="F38" s="32">
        <f t="shared" si="3"/>
        <v>0.25000000000000011</v>
      </c>
      <c r="G38" s="32"/>
      <c r="H38" s="90">
        <v>0</v>
      </c>
      <c r="I38" s="75"/>
      <c r="M38" s="80">
        <f>(F38+G38)*('Data Kystruten'!$B$3+'Data Kystruten'!$B$4)</f>
        <v>0.87500000000000044</v>
      </c>
      <c r="N38" s="23">
        <f>M38/'Data Kystruten'!$B$43</f>
        <v>2.3852196850027108</v>
      </c>
      <c r="O38" s="23">
        <f>N38/'Data Kystruten'!$B$17</f>
        <v>7.1563746924773811E-2</v>
      </c>
      <c r="P38" s="23">
        <f t="shared" si="13"/>
        <v>1.765886376084276</v>
      </c>
      <c r="Q38" s="23"/>
      <c r="R38" s="80">
        <f t="shared" si="0"/>
        <v>1.765886376084276</v>
      </c>
      <c r="S38" s="94">
        <f t="shared" si="1"/>
        <v>37.572050554984592</v>
      </c>
      <c r="Y38" s="54">
        <v>0</v>
      </c>
      <c r="AA38">
        <f>(Z38*'Data Kystruten'!$B$43*'Data Kystruten'!$B$17)/'Data Kystruten'!$B$42</f>
        <v>0</v>
      </c>
      <c r="AB38">
        <f>(AA38*3.6)/'Data Kystruten'!$B$10</f>
        <v>0</v>
      </c>
      <c r="AC38" s="80">
        <f t="shared" si="14"/>
        <v>6.6808703098699791</v>
      </c>
      <c r="AD38" s="96">
        <f t="shared" si="2"/>
        <v>100</v>
      </c>
    </row>
    <row r="39" spans="1:30">
      <c r="A39" s="35"/>
      <c r="B39" s="24"/>
      <c r="C39" s="24"/>
      <c r="D39" s="31"/>
      <c r="E39" s="31"/>
      <c r="F39" s="32"/>
      <c r="G39" s="32">
        <f t="shared" si="6"/>
        <v>1.4999999999999998</v>
      </c>
      <c r="H39" s="90"/>
      <c r="I39" s="75"/>
      <c r="M39" s="80">
        <f>(F39+G39)*('Data Kystruten'!$B$3+'Data Kystruten'!$B$4)</f>
        <v>5.2499999999999991</v>
      </c>
      <c r="N39" s="23">
        <f>M39/'Data Kystruten'!$B$43</f>
        <v>14.311318110016254</v>
      </c>
      <c r="O39" s="23">
        <f>N39/'Data Kystruten'!$B$17</f>
        <v>0.4293824815486425</v>
      </c>
      <c r="P39" s="23">
        <f t="shared" si="13"/>
        <v>1.3365038945356336</v>
      </c>
      <c r="Q39" s="23"/>
      <c r="R39" s="80">
        <f t="shared" si="0"/>
        <v>1.3365038945356336</v>
      </c>
      <c r="S39" s="94">
        <f t="shared" si="1"/>
        <v>28.436253075226247</v>
      </c>
      <c r="Y39" s="54">
        <v>0</v>
      </c>
      <c r="AA39">
        <f>(Z39*'Data Kystruten'!$B$43*'Data Kystruten'!$B$17)/'Data Kystruten'!$B$42</f>
        <v>0</v>
      </c>
      <c r="AB39">
        <f>(AA39*3.6)/'Data Kystruten'!$B$10</f>
        <v>0</v>
      </c>
      <c r="AC39" s="80">
        <f t="shared" si="14"/>
        <v>6.6808703098699791</v>
      </c>
      <c r="AD39" s="96">
        <f t="shared" si="2"/>
        <v>100</v>
      </c>
    </row>
    <row r="40" spans="1:30">
      <c r="A40" s="35"/>
      <c r="B40" s="24" t="s">
        <v>120</v>
      </c>
      <c r="C40" s="24"/>
      <c r="D40" s="31">
        <v>0.11458333333333333</v>
      </c>
      <c r="E40" s="31">
        <v>0.125</v>
      </c>
      <c r="F40" s="32">
        <f t="shared" si="3"/>
        <v>0.25000000000000011</v>
      </c>
      <c r="G40" s="32"/>
      <c r="H40" s="90">
        <v>0</v>
      </c>
      <c r="I40" s="75"/>
      <c r="M40" s="80">
        <f>(F40+G40)*('Data Kystruten'!$B$3+'Data Kystruten'!$B$4)</f>
        <v>0.87500000000000044</v>
      </c>
      <c r="N40" s="23">
        <f>M40/'Data Kystruten'!$B$43</f>
        <v>2.3852196850027108</v>
      </c>
      <c r="O40" s="23">
        <f>N40/'Data Kystruten'!$B$17</f>
        <v>7.1563746924773811E-2</v>
      </c>
      <c r="P40" s="23">
        <f t="shared" si="13"/>
        <v>1.2649401476108597</v>
      </c>
      <c r="Q40" s="23"/>
      <c r="R40" s="80">
        <f t="shared" si="0"/>
        <v>1.2649401476108597</v>
      </c>
      <c r="S40" s="94">
        <f t="shared" si="1"/>
        <v>26.913620161933181</v>
      </c>
      <c r="Y40" s="54">
        <v>0</v>
      </c>
      <c r="AA40">
        <f>(Z40*'Data Kystruten'!$B$43*'Data Kystruten'!$B$17)/'Data Kystruten'!$B$42</f>
        <v>0</v>
      </c>
      <c r="AB40">
        <f>(AA40*3.6)/'Data Kystruten'!$B$10</f>
        <v>0</v>
      </c>
      <c r="AC40" s="80">
        <f t="shared" si="14"/>
        <v>6.6808703098699791</v>
      </c>
      <c r="AD40" s="96">
        <f t="shared" si="2"/>
        <v>100</v>
      </c>
    </row>
    <row r="41" spans="1:30">
      <c r="A41" s="35"/>
      <c r="B41" s="24"/>
      <c r="C41" s="24"/>
      <c r="D41" s="31"/>
      <c r="E41" s="31"/>
      <c r="F41" s="32"/>
      <c r="G41" s="32">
        <f t="shared" si="6"/>
        <v>1.2500000000000002</v>
      </c>
      <c r="H41" s="90"/>
      <c r="I41" s="75"/>
      <c r="M41" s="80">
        <f>(F41+G41)*('Data Kystruten'!$B$3+'Data Kystruten'!$B$4)</f>
        <v>4.3750000000000009</v>
      </c>
      <c r="N41" s="23">
        <f>M41/'Data Kystruten'!$B$43</f>
        <v>11.926098425013549</v>
      </c>
      <c r="O41" s="23">
        <f>N41/'Data Kystruten'!$B$17</f>
        <v>0.35781873462386887</v>
      </c>
      <c r="P41" s="23">
        <f t="shared" si="13"/>
        <v>0.90712141298699089</v>
      </c>
      <c r="Q41" s="23"/>
      <c r="R41" s="80">
        <f t="shared" si="0"/>
        <v>0.90712141298699089</v>
      </c>
      <c r="S41" s="94">
        <f t="shared" si="1"/>
        <v>19.300455595467891</v>
      </c>
      <c r="Y41" s="54">
        <v>0</v>
      </c>
      <c r="AA41">
        <f>(Z41*'Data Kystruten'!$B$43*'Data Kystruten'!$B$17)/'Data Kystruten'!$B$42</f>
        <v>0</v>
      </c>
      <c r="AB41">
        <f>(AA41*3.6)/'Data Kystruten'!$B$10</f>
        <v>0</v>
      </c>
      <c r="AC41" s="80">
        <f t="shared" si="14"/>
        <v>6.6808703098699791</v>
      </c>
      <c r="AD41" s="96">
        <f t="shared" si="2"/>
        <v>100</v>
      </c>
    </row>
    <row r="42" spans="1:30">
      <c r="A42" s="35"/>
      <c r="B42" s="24" t="s">
        <v>121</v>
      </c>
      <c r="C42" s="24"/>
      <c r="D42" s="31">
        <v>0.17708333333333334</v>
      </c>
      <c r="E42" s="31">
        <v>0.1875</v>
      </c>
      <c r="F42" s="32">
        <f t="shared" si="3"/>
        <v>0.24999999999999978</v>
      </c>
      <c r="G42" s="32"/>
      <c r="H42" s="90">
        <v>0</v>
      </c>
      <c r="I42" s="75"/>
      <c r="M42" s="80">
        <f>(F42+G42)*('Data Kystruten'!$B$3+'Data Kystruten'!$B$4)</f>
        <v>0.87499999999999922</v>
      </c>
      <c r="N42" s="23">
        <f>M42/'Data Kystruten'!$B$43</f>
        <v>2.3852196850027072</v>
      </c>
      <c r="O42" s="23">
        <f>N42/'Data Kystruten'!$B$17</f>
        <v>7.15637469247737E-2</v>
      </c>
      <c r="P42" s="23">
        <f t="shared" si="13"/>
        <v>0.83555766606221715</v>
      </c>
      <c r="Q42" s="23"/>
      <c r="R42" s="80">
        <f t="shared" si="0"/>
        <v>0.83555766606221715</v>
      </c>
      <c r="S42" s="94">
        <f t="shared" si="1"/>
        <v>17.777822682174833</v>
      </c>
      <c r="Y42" s="54">
        <v>0</v>
      </c>
      <c r="AA42">
        <f>(Z42*'Data Kystruten'!$B$43*'Data Kystruten'!$B$17)/'Data Kystruten'!$B$42</f>
        <v>0</v>
      </c>
      <c r="AB42">
        <f>(AA42*3.6)/'Data Kystruten'!$B$10</f>
        <v>0</v>
      </c>
      <c r="AC42" s="80">
        <f t="shared" si="14"/>
        <v>6.6808703098699791</v>
      </c>
      <c r="AD42" s="96">
        <f t="shared" si="2"/>
        <v>100</v>
      </c>
    </row>
    <row r="43" spans="1:30">
      <c r="A43" s="35"/>
      <c r="B43" s="24"/>
      <c r="C43" s="24"/>
      <c r="D43" s="31"/>
      <c r="E43" s="31"/>
      <c r="F43" s="32"/>
      <c r="G43" s="32">
        <f t="shared" si="6"/>
        <v>2.25</v>
      </c>
      <c r="H43" s="90"/>
      <c r="I43" s="75"/>
      <c r="M43" s="80">
        <f>(F43+G43)*('Data Kystruten'!$B$3+'Data Kystruten'!$B$4)</f>
        <v>7.875</v>
      </c>
      <c r="N43" s="23">
        <f>M43/'Data Kystruten'!$B$43</f>
        <v>21.466977165024385</v>
      </c>
      <c r="O43" s="23">
        <f>N43/'Data Kystruten'!$B$17</f>
        <v>0.64407372232296389</v>
      </c>
      <c r="P43" s="23">
        <f t="shared" si="13"/>
        <v>0.19148394373925326</v>
      </c>
      <c r="Q43" s="23"/>
      <c r="R43" s="80">
        <f>P43</f>
        <v>0.19148394373925326</v>
      </c>
      <c r="S43" s="94">
        <f t="shared" si="1"/>
        <v>4.0741264625373033</v>
      </c>
      <c r="Y43" s="54">
        <v>0</v>
      </c>
      <c r="Z43">
        <f>Y43</f>
        <v>0</v>
      </c>
      <c r="AA43">
        <f>(Z43*'Data Kystruten'!$B$43*'Data Kystruten'!$B$17)/'Data Kystruten'!$B$42</f>
        <v>0</v>
      </c>
      <c r="AB43">
        <f>(AA43*3.6)/'Data Kystruten'!$B$10</f>
        <v>0</v>
      </c>
      <c r="AC43" s="80">
        <f>AC42-AB43</f>
        <v>6.6808703098699791</v>
      </c>
      <c r="AD43" s="96">
        <f t="shared" si="2"/>
        <v>100</v>
      </c>
    </row>
    <row r="44" spans="1:30">
      <c r="A44" s="35"/>
      <c r="B44" s="24" t="s">
        <v>122</v>
      </c>
      <c r="C44" s="24"/>
      <c r="D44" s="31">
        <v>0.28125</v>
      </c>
      <c r="E44" s="31">
        <v>0.32291666666666669</v>
      </c>
      <c r="F44" s="32">
        <f t="shared" si="3"/>
        <v>1.0000000000000004</v>
      </c>
      <c r="G44" s="32"/>
      <c r="H44" s="90">
        <f>F44-('Data Kystruten'!$B$51*2)</f>
        <v>0</v>
      </c>
      <c r="I44" s="75"/>
      <c r="M44" s="80">
        <f>(F44+G44)*('Data Kystruten'!$B$3+'Data Kystruten'!$B$4)</f>
        <v>3.5000000000000018</v>
      </c>
      <c r="N44" s="23">
        <f>M44/'Data Kystruten'!$B$43</f>
        <v>9.540878740010843</v>
      </c>
      <c r="O44" s="23">
        <f>N44/'Data Kystruten'!$B$17</f>
        <v>0.28625498769909524</v>
      </c>
      <c r="P44" s="23">
        <f t="shared" si="13"/>
        <v>-9.4771043959841983E-2</v>
      </c>
      <c r="Q44" s="23"/>
      <c r="R44" s="80">
        <v>0</v>
      </c>
      <c r="S44" s="94">
        <f t="shared" si="1"/>
        <v>0</v>
      </c>
      <c r="Y44" s="80">
        <f t="shared" ref="Y44:Y47" si="15">-P44</f>
        <v>9.4771043959841983E-2</v>
      </c>
      <c r="Z44" s="23">
        <f>Y44-Y43</f>
        <v>9.4771043959841983E-2</v>
      </c>
      <c r="AA44" s="23">
        <f>(Z44*'Data Kystruten'!$B$43*'Data Kystruten'!$B$17)/'Data Kystruten'!$B$42</f>
        <v>3.5298683653653624</v>
      </c>
      <c r="AB44" s="23">
        <f>(AA44*3.6)/'Data Kystruten'!$B$10</f>
        <v>0.2577591504120752</v>
      </c>
      <c r="AC44" s="80">
        <f t="shared" ref="AC44:AC47" si="16">AC43-AB44</f>
        <v>6.4231111594579042</v>
      </c>
      <c r="AD44" s="96">
        <f t="shared" si="2"/>
        <v>96.141832748477768</v>
      </c>
    </row>
    <row r="45" spans="1:30">
      <c r="A45" s="35"/>
      <c r="B45" s="24"/>
      <c r="C45" s="24"/>
      <c r="D45" s="31"/>
      <c r="E45" s="31"/>
      <c r="F45" s="32"/>
      <c r="G45" s="32">
        <f t="shared" si="6"/>
        <v>3.2499999999999991</v>
      </c>
      <c r="H45" s="90"/>
      <c r="I45" s="75"/>
      <c r="M45" s="80">
        <f>(F45+G45)*('Data Kystruten'!$B$3+'Data Kystruten'!$B$4)</f>
        <v>11.374999999999996</v>
      </c>
      <c r="N45" s="23">
        <f>M45/'Data Kystruten'!$B$43</f>
        <v>31.007855905035214</v>
      </c>
      <c r="O45" s="23">
        <f>N45/'Data Kystruten'!$B$17</f>
        <v>0.93032871002205864</v>
      </c>
      <c r="P45" s="23">
        <f t="shared" si="13"/>
        <v>-1.0250997539819007</v>
      </c>
      <c r="Q45" s="23"/>
      <c r="R45" s="80">
        <v>0</v>
      </c>
      <c r="S45" s="94">
        <f t="shared" si="1"/>
        <v>0</v>
      </c>
      <c r="Y45" s="80">
        <f t="shared" si="15"/>
        <v>1.0250997539819007</v>
      </c>
      <c r="Z45" s="23">
        <f t="shared" ref="Z45:Z47" si="17">Y45-Y44</f>
        <v>0.93032871002205875</v>
      </c>
      <c r="AA45" s="23">
        <f>(Z45*'Data Kystruten'!$B$43*'Data Kystruten'!$B$17)/'Data Kystruten'!$B$42</f>
        <v>34.651278973876849</v>
      </c>
      <c r="AB45" s="23">
        <f>(AA45*3.6)/'Data Kystruten'!$B$10</f>
        <v>2.5303165173622042</v>
      </c>
      <c r="AC45" s="80">
        <f t="shared" si="16"/>
        <v>3.8927946420957</v>
      </c>
      <c r="AD45" s="96">
        <f t="shared" si="2"/>
        <v>58.267777423319863</v>
      </c>
    </row>
    <row r="46" spans="1:30">
      <c r="A46" s="35"/>
      <c r="B46" s="24" t="s">
        <v>123</v>
      </c>
      <c r="C46" s="24"/>
      <c r="D46" s="31">
        <v>0.45833333333333331</v>
      </c>
      <c r="E46" s="31">
        <v>0.47916666666666669</v>
      </c>
      <c r="F46" s="32">
        <f t="shared" si="3"/>
        <v>0.50000000000000089</v>
      </c>
      <c r="G46" s="32"/>
      <c r="H46" s="90">
        <v>0</v>
      </c>
      <c r="I46" s="75"/>
      <c r="M46" s="80">
        <f>(F46+G46)*('Data Kystruten'!$B$3+'Data Kystruten'!$B$4)</f>
        <v>1.7500000000000031</v>
      </c>
      <c r="N46" s="23">
        <f>M46/'Data Kystruten'!$B$43</f>
        <v>4.7704393700054268</v>
      </c>
      <c r="O46" s="23">
        <f>N46/'Data Kystruten'!$B$17</f>
        <v>0.14312749384954776</v>
      </c>
      <c r="P46" s="23">
        <f t="shared" si="13"/>
        <v>-1.1682272478314484</v>
      </c>
      <c r="Q46" s="23"/>
      <c r="R46" s="80">
        <v>0</v>
      </c>
      <c r="S46" s="94">
        <f t="shared" si="1"/>
        <v>0</v>
      </c>
      <c r="Y46" s="80">
        <f t="shared" si="15"/>
        <v>1.1682272478314484</v>
      </c>
      <c r="Z46" s="23">
        <f t="shared" si="17"/>
        <v>0.1431274938495477</v>
      </c>
      <c r="AA46" s="23">
        <f>(Z46*'Data Kystruten'!$B$43*'Data Kystruten'!$B$17)/'Data Kystruten'!$B$42</f>
        <v>5.3309659959810611</v>
      </c>
      <c r="AB46" s="23">
        <f>(AA46*3.6)/'Data Kystruten'!$B$10</f>
        <v>0.38927946420957044</v>
      </c>
      <c r="AC46" s="80">
        <f t="shared" si="16"/>
        <v>3.5035151778861295</v>
      </c>
      <c r="AD46" s="96">
        <f t="shared" si="2"/>
        <v>52.440999680987879</v>
      </c>
    </row>
    <row r="47" spans="1:30">
      <c r="A47" s="35"/>
      <c r="B47" s="24"/>
      <c r="C47" s="24"/>
      <c r="D47" s="31"/>
      <c r="E47" s="31"/>
      <c r="F47" s="32"/>
      <c r="G47" s="32">
        <f t="shared" si="6"/>
        <v>2.7499999999999996</v>
      </c>
      <c r="H47" s="90"/>
      <c r="I47" s="75"/>
      <c r="M47" s="80">
        <f>(F47+G47)*('Data Kystruten'!$B$3+'Data Kystruten'!$B$4)</f>
        <v>9.6249999999999982</v>
      </c>
      <c r="N47" s="23">
        <f>M47/'Data Kystruten'!$B$43</f>
        <v>26.237416535029798</v>
      </c>
      <c r="O47" s="23">
        <f>N47/'Data Kystruten'!$B$17</f>
        <v>0.78720121617251126</v>
      </c>
      <c r="P47" s="23">
        <f t="shared" si="13"/>
        <v>-1.9554284640039596</v>
      </c>
      <c r="Q47" s="23"/>
      <c r="R47" s="80">
        <v>0</v>
      </c>
      <c r="S47" s="94">
        <f t="shared" si="1"/>
        <v>0</v>
      </c>
      <c r="Y47" s="80">
        <f t="shared" si="15"/>
        <v>1.9554284640039596</v>
      </c>
      <c r="Z47" s="23">
        <f t="shared" si="17"/>
        <v>0.78720121617251126</v>
      </c>
      <c r="AA47" s="23">
        <f>(Z47*'Data Kystruten'!$B$43*'Data Kystruten'!$B$17)/'Data Kystruten'!$B$42</f>
        <v>29.320312977895792</v>
      </c>
      <c r="AB47" s="23">
        <f>(AA47*3.6)/'Data Kystruten'!$B$10</f>
        <v>2.1410370531526342</v>
      </c>
      <c r="AC47" s="80">
        <f t="shared" si="16"/>
        <v>1.3624781247334954</v>
      </c>
      <c r="AD47" s="96">
        <f t="shared" si="2"/>
        <v>20.393722098161959</v>
      </c>
    </row>
    <row r="48" spans="1:30">
      <c r="A48" s="38"/>
      <c r="B48" s="39" t="s">
        <v>124</v>
      </c>
      <c r="C48" s="39" t="s">
        <v>98</v>
      </c>
      <c r="D48" s="41">
        <v>0.59375</v>
      </c>
      <c r="E48" s="41">
        <v>0.77083333333333337</v>
      </c>
      <c r="F48" s="42">
        <f t="shared" si="3"/>
        <v>4.2500000000000009</v>
      </c>
      <c r="G48" s="42"/>
      <c r="H48" s="42">
        <f>F48-('Data Kystruten'!$B$51*2)</f>
        <v>3.2500000000000009</v>
      </c>
      <c r="I48" s="76"/>
      <c r="M48" s="45">
        <f>(F48+G48)*('Data Kystruten'!$B$3+'Data Kystruten'!$B$4)</f>
        <v>14.875000000000004</v>
      </c>
      <c r="N48" s="45">
        <f>M48/'Data Kystruten'!$B$43</f>
        <v>40.548734645046068</v>
      </c>
      <c r="O48" s="45">
        <f>N48/'Data Kystruten'!$B$17</f>
        <v>1.2165836977211542</v>
      </c>
      <c r="P48" s="45">
        <f>P32</f>
        <v>4.7</v>
      </c>
      <c r="Q48" s="45">
        <f>P48+O48</f>
        <v>5.9165836977211548</v>
      </c>
      <c r="R48" s="45">
        <f t="shared" si="0"/>
        <v>4.7</v>
      </c>
      <c r="S48" s="94">
        <f t="shared" si="1"/>
        <v>100</v>
      </c>
      <c r="Y48" s="44">
        <v>0</v>
      </c>
      <c r="Z48" s="44"/>
      <c r="AA48" s="44">
        <f>(Z48*'Data Kystruten'!$B$43*'Data Kystruten'!$B$17)/'Data Kystruten'!$B$42</f>
        <v>0</v>
      </c>
      <c r="AB48" s="44">
        <f>(AA48*3.6)/'Data Kystruten'!$B$10</f>
        <v>0</v>
      </c>
      <c r="AC48" s="45">
        <f>AC32</f>
        <v>6.6808703098699791</v>
      </c>
      <c r="AD48" s="95">
        <f t="shared" si="2"/>
        <v>100</v>
      </c>
    </row>
    <row r="49" spans="1:30">
      <c r="A49" s="35"/>
      <c r="B49" s="24"/>
      <c r="C49" s="24"/>
      <c r="D49" s="31"/>
      <c r="E49" s="31"/>
      <c r="F49" s="32"/>
      <c r="G49" s="32">
        <f t="shared" si="6"/>
        <v>3.9999999999999991</v>
      </c>
      <c r="H49" s="90"/>
      <c r="I49" s="75"/>
      <c r="M49" s="45">
        <f>(F49+G49)*('Data Kystruten'!$B$3+'Data Kystruten'!$B$4)</f>
        <v>13.999999999999996</v>
      </c>
      <c r="N49" s="23">
        <f>M49/'Data Kystruten'!$B$43</f>
        <v>38.163514960043344</v>
      </c>
      <c r="O49" s="23">
        <f>N49/'Data Kystruten'!$B$17</f>
        <v>1.1450199507963801</v>
      </c>
      <c r="P49" s="23">
        <f>P48-O49</f>
        <v>3.5549800492036203</v>
      </c>
      <c r="Q49" s="23"/>
      <c r="R49" s="80">
        <f t="shared" si="0"/>
        <v>3.5549800492036203</v>
      </c>
      <c r="S49" s="94">
        <f t="shared" si="1"/>
        <v>75.637873387311075</v>
      </c>
      <c r="Y49" s="54">
        <v>0</v>
      </c>
      <c r="AA49">
        <f>(Z49*'Data Kystruten'!$B$43*'Data Kystruten'!$B$17)/'Data Kystruten'!$B$42</f>
        <v>0</v>
      </c>
      <c r="AB49">
        <f>(AA49*3.6)/'Data Kystruten'!$B$10</f>
        <v>0</v>
      </c>
      <c r="AC49" s="80">
        <f t="shared" ref="AC49:AC56" si="18">AC33</f>
        <v>6.6808703098699791</v>
      </c>
      <c r="AD49" s="95">
        <f t="shared" si="2"/>
        <v>100</v>
      </c>
    </row>
    <row r="50" spans="1:30">
      <c r="A50" s="35"/>
      <c r="B50" s="24" t="s">
        <v>125</v>
      </c>
      <c r="C50" s="24"/>
      <c r="D50" s="31">
        <v>0.9375</v>
      </c>
      <c r="E50" s="31">
        <v>0.94791666666666663</v>
      </c>
      <c r="F50" s="32">
        <f t="shared" si="3"/>
        <v>0.24999999999999911</v>
      </c>
      <c r="G50" s="32"/>
      <c r="H50" s="90">
        <v>0</v>
      </c>
      <c r="I50" s="75"/>
      <c r="M50" s="80">
        <f>(F50+G50)*('Data Kystruten'!$B$3+'Data Kystruten'!$B$4)</f>
        <v>0.87499999999999689</v>
      </c>
      <c r="N50" s="23">
        <f>M50/'Data Kystruten'!$B$43</f>
        <v>2.385219685002701</v>
      </c>
      <c r="O50" s="23">
        <f>N50/'Data Kystruten'!$B$17</f>
        <v>7.1563746924773505E-2</v>
      </c>
      <c r="P50" s="23">
        <f t="shared" ref="P50:P57" si="19">P49-O50</f>
        <v>3.4834163022788469</v>
      </c>
      <c r="Q50" s="23"/>
      <c r="R50" s="80">
        <f t="shared" si="0"/>
        <v>3.4834163022788469</v>
      </c>
      <c r="S50" s="94">
        <f t="shared" si="1"/>
        <v>74.115240474018023</v>
      </c>
      <c r="Y50" s="54">
        <v>0</v>
      </c>
      <c r="AA50">
        <f>(Z50*'Data Kystruten'!$B$43*'Data Kystruten'!$B$17)/'Data Kystruten'!$B$42</f>
        <v>0</v>
      </c>
      <c r="AB50">
        <f>(AA50*3.6)/'Data Kystruten'!$B$10</f>
        <v>0</v>
      </c>
      <c r="AC50" s="80">
        <f t="shared" si="18"/>
        <v>6.6808703098699791</v>
      </c>
      <c r="AD50" s="96">
        <f t="shared" si="2"/>
        <v>100</v>
      </c>
    </row>
    <row r="51" spans="1:30">
      <c r="A51" s="35"/>
      <c r="B51" s="24"/>
      <c r="C51" s="24"/>
      <c r="D51" s="31"/>
      <c r="E51" s="31"/>
      <c r="F51" s="32"/>
      <c r="G51" s="32">
        <v>3.25</v>
      </c>
      <c r="H51" s="90"/>
      <c r="I51" s="75"/>
      <c r="M51" s="80">
        <f>(F51+G51)*('Data Kystruten'!$B$3+'Data Kystruten'!$B$4)</f>
        <v>11.375</v>
      </c>
      <c r="N51" s="23">
        <f>M51/'Data Kystruten'!$B$43</f>
        <v>31.007855905035221</v>
      </c>
      <c r="O51" s="23">
        <f>N51/'Data Kystruten'!$B$17</f>
        <v>0.93032871002205886</v>
      </c>
      <c r="P51" s="23">
        <f t="shared" si="19"/>
        <v>2.5530875922567882</v>
      </c>
      <c r="Q51" s="23"/>
      <c r="R51" s="80">
        <f t="shared" si="0"/>
        <v>2.5530875922567882</v>
      </c>
      <c r="S51" s="94">
        <f t="shared" si="1"/>
        <v>54.321012601208253</v>
      </c>
      <c r="Y51" s="54">
        <v>0</v>
      </c>
      <c r="AA51">
        <f>(Z51*'Data Kystruten'!$B$43*'Data Kystruten'!$B$17)/'Data Kystruten'!$B$42</f>
        <v>0</v>
      </c>
      <c r="AB51">
        <f>(AA51*3.6)/'Data Kystruten'!$B$10</f>
        <v>0</v>
      </c>
      <c r="AC51" s="80">
        <f t="shared" si="18"/>
        <v>6.6808703098699791</v>
      </c>
      <c r="AD51" s="96">
        <f t="shared" si="2"/>
        <v>100</v>
      </c>
    </row>
    <row r="52" spans="1:30">
      <c r="A52" s="35" t="s">
        <v>126</v>
      </c>
      <c r="B52" s="24" t="s">
        <v>127</v>
      </c>
      <c r="C52" s="24"/>
      <c r="D52" s="31">
        <v>8.3333333333333329E-2</v>
      </c>
      <c r="E52" s="31">
        <v>9.375E-2</v>
      </c>
      <c r="F52" s="32">
        <f t="shared" si="3"/>
        <v>0.25000000000000011</v>
      </c>
      <c r="G52" s="32"/>
      <c r="H52" s="90">
        <v>0</v>
      </c>
      <c r="I52" s="75"/>
      <c r="M52" s="80">
        <f>(F52+G52)*('Data Kystruten'!$B$3+'Data Kystruten'!$B$4)</f>
        <v>0.87500000000000044</v>
      </c>
      <c r="N52" s="23">
        <f>M52/'Data Kystruten'!$B$43</f>
        <v>2.3852196850027108</v>
      </c>
      <c r="O52" s="23">
        <f>N52/'Data Kystruten'!$B$17</f>
        <v>7.1563746924773811E-2</v>
      </c>
      <c r="P52" s="23">
        <f t="shared" si="19"/>
        <v>2.4815238453320143</v>
      </c>
      <c r="Q52" s="23"/>
      <c r="R52" s="80">
        <f t="shared" si="0"/>
        <v>2.4815238453320143</v>
      </c>
      <c r="S52" s="94">
        <f t="shared" si="1"/>
        <v>52.798379687915201</v>
      </c>
      <c r="Y52" s="54">
        <v>0</v>
      </c>
      <c r="AA52">
        <f>(Z52*'Data Kystruten'!$B$43*'Data Kystruten'!$B$17)/'Data Kystruten'!$B$42</f>
        <v>0</v>
      </c>
      <c r="AB52">
        <f>(AA52*3.6)/'Data Kystruten'!$B$10</f>
        <v>0</v>
      </c>
      <c r="AC52" s="80">
        <f t="shared" si="18"/>
        <v>6.6808703098699791</v>
      </c>
      <c r="AD52" s="96">
        <f t="shared" si="2"/>
        <v>100</v>
      </c>
    </row>
    <row r="53" spans="1:30">
      <c r="A53" s="35"/>
      <c r="B53" s="24"/>
      <c r="C53" s="24"/>
      <c r="D53" s="31"/>
      <c r="E53" s="31"/>
      <c r="F53" s="32"/>
      <c r="G53" s="32">
        <f t="shared" si="6"/>
        <v>3</v>
      </c>
      <c r="H53" s="90"/>
      <c r="I53" s="75"/>
      <c r="M53" s="80">
        <f>(F53+G53)*('Data Kystruten'!$B$3+'Data Kystruten'!$B$4)</f>
        <v>10.5</v>
      </c>
      <c r="N53" s="23">
        <f>M53/'Data Kystruten'!$B$43</f>
        <v>28.622636220032511</v>
      </c>
      <c r="O53" s="23">
        <f>N53/'Data Kystruten'!$B$17</f>
        <v>0.85876496309728512</v>
      </c>
      <c r="P53" s="23">
        <f t="shared" si="19"/>
        <v>1.6227588822347292</v>
      </c>
      <c r="Q53" s="23"/>
      <c r="R53" s="80">
        <f t="shared" si="0"/>
        <v>1.6227588822347292</v>
      </c>
      <c r="S53" s="94">
        <f t="shared" si="1"/>
        <v>34.526784728398489</v>
      </c>
      <c r="Y53" s="54">
        <v>0</v>
      </c>
      <c r="AA53">
        <f>(Z53*'Data Kystruten'!$B$43*'Data Kystruten'!$B$17)/'Data Kystruten'!$B$42</f>
        <v>0</v>
      </c>
      <c r="AB53">
        <f>(AA53*3.6)/'Data Kystruten'!$B$10</f>
        <v>0</v>
      </c>
      <c r="AC53" s="80">
        <f t="shared" si="18"/>
        <v>6.6808703098699791</v>
      </c>
      <c r="AD53" s="96">
        <f t="shared" si="2"/>
        <v>100</v>
      </c>
    </row>
    <row r="54" spans="1:30">
      <c r="A54" s="35"/>
      <c r="B54" s="24" t="s">
        <v>128</v>
      </c>
      <c r="C54" s="24"/>
      <c r="D54" s="31">
        <v>0.21875</v>
      </c>
      <c r="E54" s="31">
        <v>0.25</v>
      </c>
      <c r="F54" s="32">
        <f t="shared" si="3"/>
        <v>0.75</v>
      </c>
      <c r="G54" s="32"/>
      <c r="H54" s="90">
        <v>0</v>
      </c>
      <c r="I54" s="75"/>
      <c r="M54" s="80">
        <f>(F54+G54)*('Data Kystruten'!$B$3+'Data Kystruten'!$B$4)</f>
        <v>2.625</v>
      </c>
      <c r="N54" s="23">
        <f>M54/'Data Kystruten'!$B$43</f>
        <v>7.1556590550081278</v>
      </c>
      <c r="O54" s="23">
        <f>N54/'Data Kystruten'!$B$17</f>
        <v>0.21469124077432128</v>
      </c>
      <c r="P54" s="23">
        <f t="shared" si="19"/>
        <v>1.4080676414604079</v>
      </c>
      <c r="Q54" s="23"/>
      <c r="R54" s="80">
        <f t="shared" si="0"/>
        <v>1.4080676414604079</v>
      </c>
      <c r="S54" s="94">
        <f t="shared" si="1"/>
        <v>29.958885988519313</v>
      </c>
      <c r="Y54" s="54">
        <v>0</v>
      </c>
      <c r="AA54">
        <f>(Z54*'Data Kystruten'!$B$43*'Data Kystruten'!$B$17)/'Data Kystruten'!$B$42</f>
        <v>0</v>
      </c>
      <c r="AB54">
        <f>(AA54*3.6)/'Data Kystruten'!$B$10</f>
        <v>0</v>
      </c>
      <c r="AC54" s="80">
        <f t="shared" si="18"/>
        <v>6.6808703098699791</v>
      </c>
      <c r="AD54" s="96">
        <f t="shared" si="2"/>
        <v>100</v>
      </c>
    </row>
    <row r="55" spans="1:30">
      <c r="A55" s="35"/>
      <c r="B55" s="24"/>
      <c r="C55" s="24"/>
      <c r="D55" s="31"/>
      <c r="E55" s="31"/>
      <c r="F55" s="32"/>
      <c r="G55" s="32">
        <f t="shared" si="6"/>
        <v>2.7499999999999996</v>
      </c>
      <c r="H55" s="90"/>
      <c r="I55" s="75"/>
      <c r="M55" s="80">
        <f>(F55+G55)*('Data Kystruten'!$B$3+'Data Kystruten'!$B$4)</f>
        <v>9.6249999999999982</v>
      </c>
      <c r="N55" s="23">
        <f>M55/'Data Kystruten'!$B$43</f>
        <v>26.237416535029798</v>
      </c>
      <c r="O55" s="23">
        <f>N55/'Data Kystruten'!$B$17</f>
        <v>0.78720121617251126</v>
      </c>
      <c r="P55" s="23">
        <f t="shared" si="19"/>
        <v>0.6208664252878966</v>
      </c>
      <c r="Q55" s="23"/>
      <c r="R55" s="80">
        <f t="shared" si="0"/>
        <v>0.6208664252878966</v>
      </c>
      <c r="S55" s="94">
        <f t="shared" si="1"/>
        <v>13.209923942295671</v>
      </c>
      <c r="Y55" s="54">
        <v>0</v>
      </c>
      <c r="AA55">
        <f>(Z55*'Data Kystruten'!$B$43*'Data Kystruten'!$B$17)/'Data Kystruten'!$B$42</f>
        <v>0</v>
      </c>
      <c r="AB55">
        <f>(AA55*3.6)/'Data Kystruten'!$B$10</f>
        <v>0</v>
      </c>
      <c r="AC55" s="80">
        <f t="shared" si="18"/>
        <v>6.6808703098699791</v>
      </c>
      <c r="AD55" s="96">
        <f t="shared" si="2"/>
        <v>100</v>
      </c>
    </row>
    <row r="56" spans="1:30">
      <c r="A56" s="35"/>
      <c r="B56" s="24" t="s">
        <v>129</v>
      </c>
      <c r="C56" s="24"/>
      <c r="D56" s="31">
        <v>0.36458333333333331</v>
      </c>
      <c r="E56" s="31">
        <v>0.38541666666666669</v>
      </c>
      <c r="F56" s="32">
        <f t="shared" si="3"/>
        <v>0.50000000000000089</v>
      </c>
      <c r="G56" s="32"/>
      <c r="H56" s="90">
        <v>0</v>
      </c>
      <c r="I56" s="75"/>
      <c r="M56" s="80">
        <f>(F56+G56)*('Data Kystruten'!$B$3+'Data Kystruten'!$B$4)</f>
        <v>1.7500000000000031</v>
      </c>
      <c r="N56" s="23">
        <f>M56/'Data Kystruten'!$B$43</f>
        <v>4.7704393700054268</v>
      </c>
      <c r="O56" s="23">
        <f>N56/'Data Kystruten'!$B$17</f>
        <v>0.14312749384954776</v>
      </c>
      <c r="P56" s="23">
        <f t="shared" si="19"/>
        <v>0.47773893143834884</v>
      </c>
      <c r="Q56" s="23"/>
      <c r="R56" s="80">
        <f t="shared" si="0"/>
        <v>0.47773893143834884</v>
      </c>
      <c r="S56" s="94">
        <f t="shared" si="1"/>
        <v>10.16465811570955</v>
      </c>
      <c r="Y56" s="54">
        <v>0</v>
      </c>
      <c r="AA56">
        <f>(Z56*'Data Kystruten'!$B$43*'Data Kystruten'!$B$17)/'Data Kystruten'!$B$42</f>
        <v>0</v>
      </c>
      <c r="AB56">
        <f>(AA56*3.6)/'Data Kystruten'!$B$10</f>
        <v>0</v>
      </c>
      <c r="AC56" s="80">
        <f t="shared" si="18"/>
        <v>6.6808703098699791</v>
      </c>
      <c r="AD56" s="96">
        <f t="shared" si="2"/>
        <v>100</v>
      </c>
    </row>
    <row r="57" spans="1:30">
      <c r="A57" s="35"/>
      <c r="B57" s="24"/>
      <c r="C57" s="24"/>
      <c r="D57" s="31"/>
      <c r="E57" s="31"/>
      <c r="F57" s="32"/>
      <c r="G57" s="32">
        <f t="shared" si="6"/>
        <v>1.9999999999999996</v>
      </c>
      <c r="H57" s="90"/>
      <c r="I57" s="75"/>
      <c r="M57" s="80">
        <f>(F57+G57)*('Data Kystruten'!$B$3+'Data Kystruten'!$B$4)</f>
        <v>6.9999999999999982</v>
      </c>
      <c r="N57" s="23">
        <f>M57/'Data Kystruten'!$B$43</f>
        <v>19.081757480021672</v>
      </c>
      <c r="O57" s="23">
        <f>N57/'Data Kystruten'!$B$17</f>
        <v>0.57250997539819004</v>
      </c>
      <c r="P57" s="23">
        <f t="shared" si="19"/>
        <v>-9.4771043959841206E-2</v>
      </c>
      <c r="Q57" s="23"/>
      <c r="R57" s="80">
        <v>0</v>
      </c>
      <c r="S57" s="94">
        <f t="shared" si="1"/>
        <v>0</v>
      </c>
      <c r="Y57" s="80">
        <f>-P57</f>
        <v>9.4771043959841206E-2</v>
      </c>
      <c r="Z57" s="23">
        <f>Y57</f>
        <v>9.4771043959841206E-2</v>
      </c>
      <c r="AA57" s="23">
        <f>(Z57*'Data Kystruten'!$B$43*'Data Kystruten'!$B$17)/'Data Kystruten'!$B$42</f>
        <v>3.5298683653653331</v>
      </c>
      <c r="AB57" s="23">
        <f>(AA57*3.6)/'Data Kystruten'!$B$10</f>
        <v>0.25775915041207303</v>
      </c>
      <c r="AC57" s="80">
        <f>AC56-AB57</f>
        <v>6.423111159457906</v>
      </c>
      <c r="AD57" s="96">
        <f t="shared" si="2"/>
        <v>96.14183274847781</v>
      </c>
    </row>
    <row r="58" spans="1:30">
      <c r="A58" s="38"/>
      <c r="B58" s="39" t="s">
        <v>130</v>
      </c>
      <c r="C58" s="39" t="s">
        <v>98</v>
      </c>
      <c r="D58" s="41">
        <v>0.46875</v>
      </c>
      <c r="E58" s="41">
        <v>0.61458333333333337</v>
      </c>
      <c r="F58" s="42">
        <f t="shared" si="3"/>
        <v>3.5000000000000009</v>
      </c>
      <c r="G58" s="42"/>
      <c r="H58" s="42">
        <f>F58-('Data Kystruten'!$B$51*2)</f>
        <v>2.5000000000000009</v>
      </c>
      <c r="I58" s="76"/>
      <c r="M58" s="45">
        <f>(F58+G58)*('Data Kystruten'!$B$3+'Data Kystruten'!$B$4)</f>
        <v>12.250000000000004</v>
      </c>
      <c r="N58" s="45">
        <f>M58/'Data Kystruten'!$B$43</f>
        <v>33.393075590037938</v>
      </c>
      <c r="O58" s="45">
        <f>N58/'Data Kystruten'!$B$17</f>
        <v>1.0018924569468328</v>
      </c>
      <c r="P58" s="45">
        <f>P48</f>
        <v>4.7</v>
      </c>
      <c r="Q58" s="45">
        <f>P58+O58</f>
        <v>5.7018924569468332</v>
      </c>
      <c r="R58" s="45">
        <f t="shared" si="0"/>
        <v>4.7</v>
      </c>
      <c r="S58" s="94">
        <f t="shared" si="1"/>
        <v>100</v>
      </c>
      <c r="Y58" s="44">
        <v>0</v>
      </c>
      <c r="Z58" s="44"/>
      <c r="AA58" s="44">
        <f>(Z58*'Data Kystruten'!$B$43*'Data Kystruten'!$B$17)/'Data Kystruten'!$B$42</f>
        <v>0</v>
      </c>
      <c r="AB58" s="44">
        <f>(AA58*3.6)/'Data Kystruten'!$B$10</f>
        <v>0</v>
      </c>
      <c r="AC58" s="45">
        <f>AC48</f>
        <v>6.6808703098699791</v>
      </c>
      <c r="AD58" s="95">
        <f t="shared" si="2"/>
        <v>100</v>
      </c>
    </row>
    <row r="59" spans="1:30">
      <c r="A59" s="35"/>
      <c r="B59" s="24"/>
      <c r="C59" s="24"/>
      <c r="D59" s="31"/>
      <c r="E59" s="31"/>
      <c r="F59" s="32"/>
      <c r="G59" s="32">
        <f t="shared" si="6"/>
        <v>2.25</v>
      </c>
      <c r="H59" s="90"/>
      <c r="I59" s="75"/>
      <c r="M59" s="80">
        <f>(F59+G59)*('Data Kystruten'!$B$3+'Data Kystruten'!$B$4)</f>
        <v>7.875</v>
      </c>
      <c r="N59" s="23">
        <f>M59/'Data Kystruten'!$B$43</f>
        <v>21.466977165024385</v>
      </c>
      <c r="O59" s="23">
        <f>N59/'Data Kystruten'!$B$17</f>
        <v>0.64407372232296389</v>
      </c>
      <c r="P59" s="23">
        <f>P58-O59</f>
        <v>4.0559262776770364</v>
      </c>
      <c r="Q59" s="23"/>
      <c r="R59" s="80">
        <f t="shared" si="0"/>
        <v>4.0559262776770364</v>
      </c>
      <c r="S59" s="94">
        <f t="shared" si="1"/>
        <v>86.296303780362464</v>
      </c>
      <c r="Y59" s="54">
        <v>0</v>
      </c>
      <c r="AA59">
        <f>(Z59*'Data Kystruten'!$B$43*'Data Kystruten'!$B$17)/'Data Kystruten'!$B$42</f>
        <v>0</v>
      </c>
      <c r="AB59">
        <f>(AA59*3.6)/'Data Kystruten'!$B$10</f>
        <v>0</v>
      </c>
      <c r="AC59" s="23">
        <f>AC58</f>
        <v>6.6808703098699791</v>
      </c>
      <c r="AD59" s="96">
        <f t="shared" si="2"/>
        <v>100</v>
      </c>
    </row>
    <row r="60" spans="1:30">
      <c r="A60" s="35"/>
      <c r="B60" s="24" t="s">
        <v>131</v>
      </c>
      <c r="C60" s="24"/>
      <c r="D60" s="31">
        <v>0.70833333333333337</v>
      </c>
      <c r="E60" s="31">
        <v>0.71875</v>
      </c>
      <c r="F60" s="32">
        <f t="shared" si="3"/>
        <v>0.24999999999999911</v>
      </c>
      <c r="G60" s="32"/>
      <c r="H60" s="90">
        <v>0</v>
      </c>
      <c r="I60" s="75"/>
      <c r="M60" s="80">
        <f>(F60+G60)*('Data Kystruten'!$B$3+'Data Kystruten'!$B$4)</f>
        <v>0.87499999999999689</v>
      </c>
      <c r="N60" s="23">
        <f>M60/'Data Kystruten'!$B$43</f>
        <v>2.385219685002701</v>
      </c>
      <c r="O60" s="23">
        <f>N60/'Data Kystruten'!$B$17</f>
        <v>7.1563746924773505E-2</v>
      </c>
      <c r="P60" s="23">
        <f t="shared" ref="P60:P71" si="20">P59-O60</f>
        <v>3.984362530752263</v>
      </c>
      <c r="Q60" s="23"/>
      <c r="R60" s="80">
        <f t="shared" si="0"/>
        <v>3.984362530752263</v>
      </c>
      <c r="S60" s="94">
        <f t="shared" si="1"/>
        <v>84.773670867069413</v>
      </c>
      <c r="Y60" s="54">
        <v>0</v>
      </c>
      <c r="AA60">
        <f>(Z60*'Data Kystruten'!$B$43*'Data Kystruten'!$B$17)/'Data Kystruten'!$B$42</f>
        <v>0</v>
      </c>
      <c r="AB60">
        <f>(AA60*3.6)/'Data Kystruten'!$B$10</f>
        <v>0</v>
      </c>
      <c r="AC60" s="23">
        <f t="shared" ref="AC60:AC68" si="21">AC59</f>
        <v>6.6808703098699791</v>
      </c>
      <c r="AD60" s="96">
        <f t="shared" si="2"/>
        <v>100</v>
      </c>
    </row>
    <row r="61" spans="1:30">
      <c r="A61" s="35"/>
      <c r="B61" s="24"/>
      <c r="C61" s="24"/>
      <c r="D61" s="31"/>
      <c r="E61" s="31"/>
      <c r="F61" s="32"/>
      <c r="G61" s="32">
        <f t="shared" si="6"/>
        <v>2.0000000000000009</v>
      </c>
      <c r="H61" s="90"/>
      <c r="I61" s="75"/>
      <c r="M61" s="80">
        <f>(F61+G61)*('Data Kystruten'!$B$3+'Data Kystruten'!$B$4)</f>
        <v>7.0000000000000036</v>
      </c>
      <c r="N61" s="23">
        <f>M61/'Data Kystruten'!$B$43</f>
        <v>19.081757480021686</v>
      </c>
      <c r="O61" s="23">
        <f>N61/'Data Kystruten'!$B$17</f>
        <v>0.57250997539819048</v>
      </c>
      <c r="P61" s="23">
        <f t="shared" si="20"/>
        <v>3.4118525553540726</v>
      </c>
      <c r="Q61" s="23"/>
      <c r="R61" s="80">
        <f t="shared" si="0"/>
        <v>3.4118525553540726</v>
      </c>
      <c r="S61" s="94">
        <f t="shared" si="1"/>
        <v>72.592607560724943</v>
      </c>
      <c r="Y61" s="54">
        <v>0</v>
      </c>
      <c r="AA61">
        <f>(Z61*'Data Kystruten'!$B$43*'Data Kystruten'!$B$17)/'Data Kystruten'!$B$42</f>
        <v>0</v>
      </c>
      <c r="AB61">
        <f>(AA61*3.6)/'Data Kystruten'!$B$10</f>
        <v>0</v>
      </c>
      <c r="AC61" s="23">
        <f t="shared" si="21"/>
        <v>6.6808703098699791</v>
      </c>
      <c r="AD61" s="96">
        <f t="shared" si="2"/>
        <v>100</v>
      </c>
    </row>
    <row r="62" spans="1:30">
      <c r="A62" s="35"/>
      <c r="B62" s="24" t="s">
        <v>132</v>
      </c>
      <c r="C62" s="24"/>
      <c r="D62" s="31">
        <v>0.80208333333333337</v>
      </c>
      <c r="E62" s="31">
        <v>0.8125</v>
      </c>
      <c r="F62" s="32">
        <f t="shared" si="3"/>
        <v>0.24999999999999911</v>
      </c>
      <c r="G62" s="32"/>
      <c r="H62" s="90">
        <v>0</v>
      </c>
      <c r="I62" s="75"/>
      <c r="M62" s="80">
        <f>(F62+G62)*('Data Kystruten'!$B$3+'Data Kystruten'!$B$4)</f>
        <v>0.87499999999999689</v>
      </c>
      <c r="N62" s="23">
        <f>M62/'Data Kystruten'!$B$43</f>
        <v>2.385219685002701</v>
      </c>
      <c r="O62" s="23">
        <f>N62/'Data Kystruten'!$B$17</f>
        <v>7.1563746924773505E-2</v>
      </c>
      <c r="P62" s="23">
        <f t="shared" si="20"/>
        <v>3.3402888084292992</v>
      </c>
      <c r="Q62" s="23"/>
      <c r="R62" s="80">
        <f t="shared" si="0"/>
        <v>3.3402888084292992</v>
      </c>
      <c r="S62" s="94">
        <f t="shared" si="1"/>
        <v>71.069974647431906</v>
      </c>
      <c r="Y62" s="54">
        <v>0</v>
      </c>
      <c r="AA62">
        <f>(Z62*'Data Kystruten'!$B$43*'Data Kystruten'!$B$17)/'Data Kystruten'!$B$42</f>
        <v>0</v>
      </c>
      <c r="AB62">
        <f>(AA62*3.6)/'Data Kystruten'!$B$10</f>
        <v>0</v>
      </c>
      <c r="AC62" s="23">
        <f t="shared" si="21"/>
        <v>6.6808703098699791</v>
      </c>
      <c r="AD62" s="96">
        <f t="shared" si="2"/>
        <v>100</v>
      </c>
    </row>
    <row r="63" spans="1:30">
      <c r="A63" s="35"/>
      <c r="B63" s="24"/>
      <c r="C63" s="24"/>
      <c r="D63" s="31"/>
      <c r="E63" s="31"/>
      <c r="F63" s="32"/>
      <c r="G63" s="32">
        <f t="shared" si="6"/>
        <v>2.4999999999999991</v>
      </c>
      <c r="H63" s="90"/>
      <c r="I63" s="75"/>
      <c r="M63" s="80">
        <f>(F63+G63)*('Data Kystruten'!$B$3+'Data Kystruten'!$B$4)</f>
        <v>8.7499999999999964</v>
      </c>
      <c r="N63" s="23">
        <f>M63/'Data Kystruten'!$B$43</f>
        <v>23.852196850027084</v>
      </c>
      <c r="O63" s="23">
        <f>N63/'Data Kystruten'!$B$17</f>
        <v>0.7156374692477373</v>
      </c>
      <c r="P63" s="23">
        <f t="shared" si="20"/>
        <v>2.624651339181562</v>
      </c>
      <c r="Q63" s="23"/>
      <c r="R63" s="80">
        <f t="shared" si="0"/>
        <v>2.624651339181562</v>
      </c>
      <c r="S63" s="94">
        <f t="shared" si="1"/>
        <v>55.843645514501318</v>
      </c>
      <c r="Y63" s="54">
        <v>0</v>
      </c>
      <c r="AA63">
        <f>(Z63*'Data Kystruten'!$B$43*'Data Kystruten'!$B$17)/'Data Kystruten'!$B$42</f>
        <v>0</v>
      </c>
      <c r="AB63">
        <f>(AA63*3.6)/'Data Kystruten'!$B$10</f>
        <v>0</v>
      </c>
      <c r="AC63" s="23">
        <f t="shared" si="21"/>
        <v>6.6808703098699791</v>
      </c>
      <c r="AD63" s="96">
        <f t="shared" si="2"/>
        <v>100</v>
      </c>
    </row>
    <row r="64" spans="1:30">
      <c r="A64" s="35"/>
      <c r="B64" s="24" t="s">
        <v>133</v>
      </c>
      <c r="C64" s="24"/>
      <c r="D64" s="31">
        <v>0.91666666666666663</v>
      </c>
      <c r="E64" s="31">
        <v>0.92708333333333337</v>
      </c>
      <c r="F64" s="32">
        <f t="shared" si="3"/>
        <v>0.25000000000000178</v>
      </c>
      <c r="G64" s="32"/>
      <c r="H64" s="90">
        <v>0</v>
      </c>
      <c r="I64" s="75"/>
      <c r="M64" s="80">
        <f>(F64+G64)*('Data Kystruten'!$B$3+'Data Kystruten'!$B$4)</f>
        <v>0.87500000000000622</v>
      </c>
      <c r="N64" s="23">
        <f>M64/'Data Kystruten'!$B$43</f>
        <v>2.3852196850027263</v>
      </c>
      <c r="O64" s="23">
        <f>N64/'Data Kystruten'!$B$17</f>
        <v>7.1563746924774269E-2</v>
      </c>
      <c r="P64" s="23">
        <f t="shared" si="20"/>
        <v>2.5530875922567877</v>
      </c>
      <c r="Q64" s="23"/>
      <c r="R64" s="80">
        <f t="shared" si="0"/>
        <v>2.5530875922567877</v>
      </c>
      <c r="S64" s="94">
        <f t="shared" si="1"/>
        <v>54.321012601208253</v>
      </c>
      <c r="Y64" s="54">
        <v>0</v>
      </c>
      <c r="AA64">
        <f>(Z64*'Data Kystruten'!$B$43*'Data Kystruten'!$B$17)/'Data Kystruten'!$B$42</f>
        <v>0</v>
      </c>
      <c r="AB64">
        <f>(AA64*3.6)/'Data Kystruten'!$B$10</f>
        <v>0</v>
      </c>
      <c r="AC64" s="23">
        <f t="shared" si="21"/>
        <v>6.6808703098699791</v>
      </c>
      <c r="AD64" s="96">
        <f t="shared" si="2"/>
        <v>100</v>
      </c>
    </row>
    <row r="65" spans="1:30">
      <c r="A65" s="35"/>
      <c r="B65" s="24"/>
      <c r="C65" s="24"/>
      <c r="D65" s="31"/>
      <c r="E65" s="31"/>
      <c r="F65" s="32"/>
      <c r="G65" s="32">
        <v>1.75</v>
      </c>
      <c r="H65" s="90"/>
      <c r="I65" s="75"/>
      <c r="M65" s="80">
        <f>(F65+G65)*('Data Kystruten'!$B$3+'Data Kystruten'!$B$4)</f>
        <v>6.125</v>
      </c>
      <c r="N65" s="23">
        <f>M65/'Data Kystruten'!$B$43</f>
        <v>16.696537795018966</v>
      </c>
      <c r="O65" s="23">
        <f>N65/'Data Kystruten'!$B$17</f>
        <v>0.5009462284734163</v>
      </c>
      <c r="P65" s="23">
        <f t="shared" si="20"/>
        <v>2.0521413637833712</v>
      </c>
      <c r="Q65" s="23"/>
      <c r="R65" s="80">
        <f t="shared" si="0"/>
        <v>2.0521413637833712</v>
      </c>
      <c r="S65" s="94">
        <f t="shared" si="1"/>
        <v>43.662582208156827</v>
      </c>
      <c r="Y65" s="54">
        <v>0</v>
      </c>
      <c r="AA65">
        <f>(Z65*'Data Kystruten'!$B$43*'Data Kystruten'!$B$17)/'Data Kystruten'!$B$42</f>
        <v>0</v>
      </c>
      <c r="AB65">
        <f>(AA65*3.6)/'Data Kystruten'!$B$10</f>
        <v>0</v>
      </c>
      <c r="AC65" s="23">
        <f t="shared" si="21"/>
        <v>6.6808703098699791</v>
      </c>
      <c r="AD65" s="96">
        <f t="shared" si="2"/>
        <v>100</v>
      </c>
    </row>
    <row r="66" spans="1:30">
      <c r="A66" s="35" t="s">
        <v>134</v>
      </c>
      <c r="B66" s="24" t="s">
        <v>135</v>
      </c>
      <c r="C66" s="24"/>
      <c r="D66" s="31">
        <v>0</v>
      </c>
      <c r="E66" s="31">
        <v>1.0416666666666666E-2</v>
      </c>
      <c r="F66" s="32">
        <f t="shared" si="3"/>
        <v>0.25</v>
      </c>
      <c r="G66" s="32"/>
      <c r="H66" s="90">
        <v>0</v>
      </c>
      <c r="I66" s="75"/>
      <c r="M66" s="80">
        <f>(F66+G66)*('Data Kystruten'!$B$3+'Data Kystruten'!$B$4)</f>
        <v>0.875</v>
      </c>
      <c r="N66" s="23">
        <f>M66/'Data Kystruten'!$B$43</f>
        <v>2.3852196850027094</v>
      </c>
      <c r="O66" s="23">
        <f>N66/'Data Kystruten'!$B$17</f>
        <v>7.1563746924773769E-2</v>
      </c>
      <c r="P66" s="23">
        <f t="shared" si="20"/>
        <v>1.9805776168585973</v>
      </c>
      <c r="Q66" s="23"/>
      <c r="R66" s="80">
        <f t="shared" si="0"/>
        <v>1.9805776168585973</v>
      </c>
      <c r="S66" s="94">
        <f t="shared" si="1"/>
        <v>42.139949294863769</v>
      </c>
      <c r="Y66" s="54">
        <v>0</v>
      </c>
      <c r="AA66">
        <f>(Z66*'Data Kystruten'!$B$43*'Data Kystruten'!$B$17)/'Data Kystruten'!$B$42</f>
        <v>0</v>
      </c>
      <c r="AB66">
        <f>(AA66*3.6)/'Data Kystruten'!$B$10</f>
        <v>0</v>
      </c>
      <c r="AC66" s="23">
        <f t="shared" si="21"/>
        <v>6.6808703098699791</v>
      </c>
      <c r="AD66" s="96">
        <f t="shared" si="2"/>
        <v>100</v>
      </c>
    </row>
    <row r="67" spans="1:30">
      <c r="A67" s="35"/>
      <c r="B67" s="24"/>
      <c r="C67" s="24"/>
      <c r="D67" s="31"/>
      <c r="E67" s="31"/>
      <c r="F67" s="32"/>
      <c r="G67" s="32">
        <f t="shared" si="6"/>
        <v>2.9999999999999996</v>
      </c>
      <c r="H67" s="90"/>
      <c r="I67" s="75"/>
      <c r="M67" s="80">
        <f>(F67+G67)*('Data Kystruten'!$B$3+'Data Kystruten'!$B$4)</f>
        <v>10.499999999999998</v>
      </c>
      <c r="N67" s="23">
        <f>M67/'Data Kystruten'!$B$43</f>
        <v>28.622636220032508</v>
      </c>
      <c r="O67" s="23">
        <f>N67/'Data Kystruten'!$B$17</f>
        <v>0.85876496309728501</v>
      </c>
      <c r="P67" s="23">
        <f t="shared" si="20"/>
        <v>1.1218126537613125</v>
      </c>
      <c r="Q67" s="23"/>
      <c r="R67" s="80">
        <f t="shared" si="0"/>
        <v>1.1218126537613125</v>
      </c>
      <c r="S67" s="94">
        <f t="shared" si="1"/>
        <v>23.868354335347071</v>
      </c>
      <c r="Y67" s="54">
        <v>0</v>
      </c>
      <c r="AA67">
        <f>(Z67*'Data Kystruten'!$B$43*'Data Kystruten'!$B$17)/'Data Kystruten'!$B$42</f>
        <v>0</v>
      </c>
      <c r="AB67">
        <f>(AA67*3.6)/'Data Kystruten'!$B$10</f>
        <v>0</v>
      </c>
      <c r="AC67" s="23">
        <f t="shared" si="21"/>
        <v>6.6808703098699791</v>
      </c>
      <c r="AD67" s="96">
        <f t="shared" si="2"/>
        <v>100</v>
      </c>
    </row>
    <row r="68" spans="1:30">
      <c r="A68" s="35"/>
      <c r="B68" s="24" t="s">
        <v>136</v>
      </c>
      <c r="C68" s="24"/>
      <c r="D68" s="31">
        <v>0.13541666666666666</v>
      </c>
      <c r="E68" s="31">
        <v>0.14583333333333334</v>
      </c>
      <c r="F68" s="32">
        <f t="shared" si="3"/>
        <v>0.25000000000000044</v>
      </c>
      <c r="G68" s="32"/>
      <c r="H68" s="90">
        <v>0</v>
      </c>
      <c r="I68" s="75"/>
      <c r="M68" s="80">
        <f>(F68+G68)*('Data Kystruten'!$B$3+'Data Kystruten'!$B$4)</f>
        <v>0.87500000000000155</v>
      </c>
      <c r="N68" s="23">
        <f>M68/'Data Kystruten'!$B$43</f>
        <v>2.3852196850027134</v>
      </c>
      <c r="O68" s="23">
        <f>N68/'Data Kystruten'!$B$17</f>
        <v>7.156374692477388E-2</v>
      </c>
      <c r="P68" s="23">
        <f t="shared" si="20"/>
        <v>1.0502489068365386</v>
      </c>
      <c r="Q68" s="23"/>
      <c r="R68" s="80">
        <f t="shared" si="0"/>
        <v>1.0502489068365386</v>
      </c>
      <c r="S68" s="94">
        <f t="shared" si="1"/>
        <v>22.345721422054012</v>
      </c>
      <c r="Y68" s="54">
        <v>0</v>
      </c>
      <c r="AA68">
        <f>(Z68*'Data Kystruten'!$B$43*'Data Kystruten'!$B$17)/'Data Kystruten'!$B$42</f>
        <v>0</v>
      </c>
      <c r="AB68">
        <f>(AA68*3.6)/'Data Kystruten'!$B$10</f>
        <v>0</v>
      </c>
      <c r="AC68" s="23">
        <f t="shared" si="21"/>
        <v>6.6808703098699791</v>
      </c>
      <c r="AD68" s="96">
        <f t="shared" si="2"/>
        <v>100</v>
      </c>
    </row>
    <row r="69" spans="1:30">
      <c r="A69" s="35"/>
      <c r="B69" s="24"/>
      <c r="C69" s="24"/>
      <c r="D69" s="31"/>
      <c r="E69" s="31"/>
      <c r="F69" s="32"/>
      <c r="G69" s="32">
        <f t="shared" si="6"/>
        <v>3.25</v>
      </c>
      <c r="H69" s="90"/>
      <c r="I69" s="75"/>
      <c r="M69" s="80">
        <f>(F69+G69)*('Data Kystruten'!$B$3+'Data Kystruten'!$B$4)</f>
        <v>11.375</v>
      </c>
      <c r="N69" s="23">
        <f>M69/'Data Kystruten'!$B$43</f>
        <v>31.007855905035221</v>
      </c>
      <c r="O69" s="23">
        <f>N69/'Data Kystruten'!$B$17</f>
        <v>0.93032871002205886</v>
      </c>
      <c r="P69" s="23">
        <f t="shared" si="20"/>
        <v>0.11992019681447974</v>
      </c>
      <c r="Q69" s="23"/>
      <c r="R69" s="80">
        <f t="shared" si="0"/>
        <v>0.11992019681447974</v>
      </c>
      <c r="S69" s="94">
        <f t="shared" si="1"/>
        <v>2.5514935492442494</v>
      </c>
      <c r="Y69" s="54"/>
      <c r="Z69">
        <f>Y69</f>
        <v>0</v>
      </c>
      <c r="AA69">
        <f>(Z69*'Data Kystruten'!$B$43*'Data Kystruten'!$B$17)/'Data Kystruten'!$B$42</f>
        <v>0</v>
      </c>
      <c r="AB69">
        <f>(AA69*3.6)/'Data Kystruten'!$B$10</f>
        <v>0</v>
      </c>
      <c r="AC69" s="23">
        <f>AC68-AB69</f>
        <v>6.6808703098699791</v>
      </c>
      <c r="AD69" s="96">
        <f t="shared" si="2"/>
        <v>100</v>
      </c>
    </row>
    <row r="70" spans="1:30">
      <c r="A70" s="35"/>
      <c r="B70" s="24" t="s">
        <v>137</v>
      </c>
      <c r="C70" s="24"/>
      <c r="D70" s="31">
        <v>0.28125</v>
      </c>
      <c r="E70" s="31">
        <v>0.30208333333333331</v>
      </c>
      <c r="F70" s="32">
        <f t="shared" si="3"/>
        <v>0.49999999999999956</v>
      </c>
      <c r="G70" s="32"/>
      <c r="H70" s="90">
        <f>F70-('Data Kystruten'!$B$51*2)</f>
        <v>-0.50000000000000044</v>
      </c>
      <c r="I70" s="75"/>
      <c r="M70" s="80">
        <f>(F70+G70)*('Data Kystruten'!$B$3+'Data Kystruten'!$B$4)</f>
        <v>1.7499999999999984</v>
      </c>
      <c r="N70" s="23">
        <f>M70/'Data Kystruten'!$B$43</f>
        <v>4.7704393700054144</v>
      </c>
      <c r="O70" s="23">
        <f>N70/'Data Kystruten'!$B$17</f>
        <v>0.1431274938495474</v>
      </c>
      <c r="P70" s="23">
        <f t="shared" si="20"/>
        <v>-2.3207297035067659E-2</v>
      </c>
      <c r="Q70" s="23"/>
      <c r="R70" s="80">
        <v>0</v>
      </c>
      <c r="S70" s="94">
        <f t="shared" si="1"/>
        <v>0</v>
      </c>
      <c r="Y70" s="80">
        <f t="shared" ref="Y70:Y71" si="22">-P70</f>
        <v>2.3207297035067659E-2</v>
      </c>
      <c r="Z70" s="23">
        <f>Y70-Y69</f>
        <v>2.3207297035067659E-2</v>
      </c>
      <c r="AA70" s="23">
        <f>(Z70*'Data Kystruten'!$B$43*'Data Kystruten'!$B$17)/'Data Kystruten'!$B$42</f>
        <v>0.86438536737481442</v>
      </c>
      <c r="AB70" s="23">
        <f>(AA70*3.6)/'Data Kystruten'!$B$10</f>
        <v>6.3119418307288677E-2</v>
      </c>
      <c r="AC70" s="23">
        <f t="shared" ref="AC70:AC71" si="23">AC69-AB70</f>
        <v>6.6177508915626904</v>
      </c>
      <c r="AD70" s="96">
        <f t="shared" si="2"/>
        <v>99.055221619643788</v>
      </c>
    </row>
    <row r="71" spans="1:30">
      <c r="A71" s="35"/>
      <c r="B71" s="24"/>
      <c r="C71" s="24"/>
      <c r="D71" s="31"/>
      <c r="E71" s="31"/>
      <c r="F71" s="31"/>
      <c r="G71" s="32">
        <f t="shared" si="6"/>
        <v>1.7500000000000004</v>
      </c>
      <c r="H71" s="90"/>
      <c r="I71" s="75"/>
      <c r="M71" s="80">
        <f>(F71+G71)*('Data Kystruten'!$B$3+'Data Kystruten'!$B$4)</f>
        <v>6.1250000000000018</v>
      </c>
      <c r="N71" s="23">
        <f>M71/'Data Kystruten'!$B$43</f>
        <v>16.696537795018969</v>
      </c>
      <c r="O71" s="23">
        <f>N71/'Data Kystruten'!$B$17</f>
        <v>0.50094622847341641</v>
      </c>
      <c r="P71" s="23">
        <f t="shared" si="20"/>
        <v>-0.52415352550848404</v>
      </c>
      <c r="Q71" s="23"/>
      <c r="R71" s="80">
        <v>0</v>
      </c>
      <c r="S71" s="94">
        <f t="shared" ref="S71:S134" si="24">(R71/$P$5)*100</f>
        <v>0</v>
      </c>
      <c r="Y71" s="80">
        <f t="shared" si="22"/>
        <v>0.52415352550848404</v>
      </c>
      <c r="Z71" s="23">
        <f>Y71-Y70</f>
        <v>0.50094622847341641</v>
      </c>
      <c r="AA71" s="23">
        <f>(Z71*'Data Kystruten'!$B$43*'Data Kystruten'!$B$17)/'Data Kystruten'!$B$42</f>
        <v>18.658380985933693</v>
      </c>
      <c r="AB71" s="23">
        <f>(AA71*3.6)/'Data Kystruten'!$B$10</f>
        <v>1.3624781247334949</v>
      </c>
      <c r="AC71" s="23">
        <f t="shared" si="23"/>
        <v>5.2552727668291954</v>
      </c>
      <c r="AD71" s="96">
        <f t="shared" ref="AD71:AD134" si="25">(AC71/$W$5)*100</f>
        <v>78.661499521481844</v>
      </c>
    </row>
    <row r="72" spans="1:30">
      <c r="A72" s="38"/>
      <c r="B72" s="39" t="s">
        <v>138</v>
      </c>
      <c r="C72" s="39" t="s">
        <v>98</v>
      </c>
      <c r="D72" s="41">
        <v>0.375</v>
      </c>
      <c r="E72" s="41">
        <v>0.52083333333333337</v>
      </c>
      <c r="F72" s="42">
        <f t="shared" si="3"/>
        <v>3.5000000000000009</v>
      </c>
      <c r="G72" s="42"/>
      <c r="H72" s="42">
        <f>F72-('Data Kystruten'!$B$51*2)</f>
        <v>2.5000000000000009</v>
      </c>
      <c r="I72" s="76"/>
      <c r="M72" s="45">
        <f>(F72+G72)*('Data Kystruten'!$B$3+'Data Kystruten'!$B$4)</f>
        <v>12.250000000000004</v>
      </c>
      <c r="N72" s="45">
        <f>M72/'Data Kystruten'!$B$43</f>
        <v>33.393075590037938</v>
      </c>
      <c r="O72" s="45">
        <f>N72/'Data Kystruten'!$B$17</f>
        <v>1.0018924569468328</v>
      </c>
      <c r="P72" s="45">
        <f>P58</f>
        <v>4.7</v>
      </c>
      <c r="Q72" s="45">
        <f>P72+O72</f>
        <v>5.7018924569468332</v>
      </c>
      <c r="R72" s="45">
        <f t="shared" ref="R72:R135" si="26">P72</f>
        <v>4.7</v>
      </c>
      <c r="S72" s="94">
        <f t="shared" si="24"/>
        <v>100</v>
      </c>
      <c r="Y72" s="44">
        <v>0</v>
      </c>
      <c r="Z72" s="44"/>
      <c r="AA72" s="44">
        <f>(Z72*'Data Kystruten'!$B$43*'Data Kystruten'!$B$17)/'Data Kystruten'!$B$42</f>
        <v>0</v>
      </c>
      <c r="AB72" s="44">
        <f>(AA72*3.6)/'Data Kystruten'!$B$10</f>
        <v>0</v>
      </c>
      <c r="AC72" s="45">
        <f>AC58</f>
        <v>6.6808703098699791</v>
      </c>
      <c r="AD72" s="95">
        <f t="shared" si="25"/>
        <v>100</v>
      </c>
    </row>
    <row r="73" spans="1:30">
      <c r="A73" s="35"/>
      <c r="B73" s="24"/>
      <c r="C73" s="24"/>
      <c r="D73" s="24"/>
      <c r="E73" s="24"/>
      <c r="F73" s="24"/>
      <c r="G73" s="24">
        <v>3.25</v>
      </c>
      <c r="H73" s="90"/>
      <c r="I73" s="75"/>
      <c r="M73" s="45">
        <f>(F73+G73)*('Data Kystruten'!$B$3+'Data Kystruten'!$B$4)</f>
        <v>11.375</v>
      </c>
      <c r="N73" s="23">
        <f>M73/'Data Kystruten'!$B$43</f>
        <v>31.007855905035221</v>
      </c>
      <c r="O73" s="23">
        <f>N73/'Data Kystruten'!$B$17</f>
        <v>0.93032871002205886</v>
      </c>
      <c r="P73" s="23">
        <f>P72-O73</f>
        <v>3.7696712899779414</v>
      </c>
      <c r="Q73" s="23"/>
      <c r="R73" s="45">
        <f t="shared" si="26"/>
        <v>3.7696712899779414</v>
      </c>
      <c r="S73" s="94">
        <f t="shared" si="24"/>
        <v>80.205772127190244</v>
      </c>
      <c r="Y73" s="54">
        <v>0</v>
      </c>
      <c r="AA73">
        <f>(Z73*'Data Kystruten'!$B$43*'Data Kystruten'!$B$17)/'Data Kystruten'!$B$42</f>
        <v>0</v>
      </c>
      <c r="AB73">
        <f>(AA73*3.6)/'Data Kystruten'!$B$10</f>
        <v>0</v>
      </c>
      <c r="AC73" s="23">
        <f>AC72</f>
        <v>6.6808703098699791</v>
      </c>
      <c r="AD73" s="95">
        <f t="shared" si="25"/>
        <v>100</v>
      </c>
    </row>
    <row r="74" spans="1:30">
      <c r="A74" s="35"/>
      <c r="B74" s="24" t="s">
        <v>136</v>
      </c>
      <c r="C74" s="24"/>
      <c r="D74" s="34">
        <v>0.65625</v>
      </c>
      <c r="E74" s="34">
        <v>0.69791666666666663</v>
      </c>
      <c r="F74" s="32">
        <f t="shared" ref="F74:F134" si="27">(E74-D74)*24</f>
        <v>0.99999999999999911</v>
      </c>
      <c r="G74" s="32"/>
      <c r="H74" s="90">
        <f>F74-('Data Kystruten'!$B$51*2)</f>
        <v>-8.8817841970012523E-16</v>
      </c>
      <c r="I74" s="75"/>
      <c r="M74" s="80">
        <f>(F74+G74)*('Data Kystruten'!$B$3+'Data Kystruten'!$B$4)</f>
        <v>3.4999999999999969</v>
      </c>
      <c r="N74" s="23">
        <f>M74/'Data Kystruten'!$B$43</f>
        <v>9.5408787400108288</v>
      </c>
      <c r="O74" s="23">
        <f>N74/'Data Kystruten'!$B$17</f>
        <v>0.2862549876990948</v>
      </c>
      <c r="P74" s="23">
        <f t="shared" ref="P74:P83" si="28">P73-O74</f>
        <v>3.4834163022788465</v>
      </c>
      <c r="Q74" s="23"/>
      <c r="R74" s="80">
        <f t="shared" si="26"/>
        <v>3.4834163022788465</v>
      </c>
      <c r="S74" s="94">
        <f t="shared" si="24"/>
        <v>74.115240474018009</v>
      </c>
      <c r="Y74" s="54">
        <v>0</v>
      </c>
      <c r="AA74">
        <f>(Z74*'Data Kystruten'!$B$43*'Data Kystruten'!$B$17)/'Data Kystruten'!$B$42</f>
        <v>0</v>
      </c>
      <c r="AB74">
        <f>(AA74*3.6)/'Data Kystruten'!$B$10</f>
        <v>0</v>
      </c>
      <c r="AC74" s="23">
        <f t="shared" ref="AC74:AC82" si="29">AC73</f>
        <v>6.6808703098699791</v>
      </c>
      <c r="AD74" s="96">
        <f t="shared" si="25"/>
        <v>100</v>
      </c>
    </row>
    <row r="75" spans="1:30">
      <c r="A75" s="35"/>
      <c r="B75" s="24"/>
      <c r="C75" s="24"/>
      <c r="D75" s="24"/>
      <c r="E75" s="24"/>
      <c r="F75" s="32"/>
      <c r="G75" s="32">
        <f t="shared" ref="G75:G135" si="30">(D76-E74)*24</f>
        <v>3</v>
      </c>
      <c r="H75" s="90"/>
      <c r="I75" s="75"/>
      <c r="M75" s="80">
        <f>(F75+G75)*('Data Kystruten'!$B$3+'Data Kystruten'!$B$4)</f>
        <v>10.5</v>
      </c>
      <c r="N75" s="23">
        <f>M75/'Data Kystruten'!$B$43</f>
        <v>28.622636220032511</v>
      </c>
      <c r="O75" s="23">
        <f>N75/'Data Kystruten'!$B$17</f>
        <v>0.85876496309728512</v>
      </c>
      <c r="P75" s="23">
        <f t="shared" si="28"/>
        <v>2.6246513391815611</v>
      </c>
      <c r="Q75" s="23"/>
      <c r="R75" s="80">
        <f t="shared" si="26"/>
        <v>2.6246513391815611</v>
      </c>
      <c r="S75" s="94">
        <f t="shared" si="24"/>
        <v>55.843645514501297</v>
      </c>
      <c r="Y75" s="54">
        <v>0</v>
      </c>
      <c r="AA75">
        <f>(Z75*'Data Kystruten'!$B$43*'Data Kystruten'!$B$17)/'Data Kystruten'!$B$42</f>
        <v>0</v>
      </c>
      <c r="AB75">
        <f>(AA75*3.6)/'Data Kystruten'!$B$10</f>
        <v>0</v>
      </c>
      <c r="AC75" s="23">
        <f t="shared" si="29"/>
        <v>6.6808703098699791</v>
      </c>
      <c r="AD75" s="96">
        <f t="shared" si="25"/>
        <v>100</v>
      </c>
    </row>
    <row r="76" spans="1:30">
      <c r="A76" s="35"/>
      <c r="B76" s="24" t="s">
        <v>135</v>
      </c>
      <c r="C76" s="24"/>
      <c r="D76" s="34">
        <v>0.82291666666666663</v>
      </c>
      <c r="E76" s="34">
        <v>0.84375</v>
      </c>
      <c r="F76" s="32">
        <f t="shared" si="27"/>
        <v>0.50000000000000089</v>
      </c>
      <c r="G76" s="32"/>
      <c r="H76" s="90">
        <v>0</v>
      </c>
      <c r="I76" s="75"/>
      <c r="M76" s="80">
        <f>(F76+G76)*('Data Kystruten'!$B$3+'Data Kystruten'!$B$4)</f>
        <v>1.7500000000000031</v>
      </c>
      <c r="N76" s="23">
        <f>M76/'Data Kystruten'!$B$43</f>
        <v>4.7704393700054268</v>
      </c>
      <c r="O76" s="23">
        <f>N76/'Data Kystruten'!$B$17</f>
        <v>0.14312749384954776</v>
      </c>
      <c r="P76" s="23">
        <f t="shared" si="28"/>
        <v>2.4815238453320134</v>
      </c>
      <c r="Q76" s="23"/>
      <c r="R76" s="80">
        <f t="shared" si="26"/>
        <v>2.4815238453320134</v>
      </c>
      <c r="S76" s="94">
        <f t="shared" si="24"/>
        <v>52.798379687915173</v>
      </c>
      <c r="Y76" s="54">
        <v>0</v>
      </c>
      <c r="AA76">
        <f>(Z76*'Data Kystruten'!$B$43*'Data Kystruten'!$B$17)/'Data Kystruten'!$B$42</f>
        <v>0</v>
      </c>
      <c r="AB76">
        <f>(AA76*3.6)/'Data Kystruten'!$B$10</f>
        <v>0</v>
      </c>
      <c r="AC76" s="23">
        <f t="shared" si="29"/>
        <v>6.6808703098699791</v>
      </c>
      <c r="AD76" s="96">
        <f t="shared" si="25"/>
        <v>100</v>
      </c>
    </row>
    <row r="77" spans="1:30">
      <c r="A77" s="35"/>
      <c r="B77" s="24"/>
      <c r="C77" s="24"/>
      <c r="D77" s="24"/>
      <c r="E77" s="24"/>
      <c r="F77" s="32"/>
      <c r="G77" s="32">
        <f t="shared" si="30"/>
        <v>1.5</v>
      </c>
      <c r="H77" s="90"/>
      <c r="I77" s="75"/>
      <c r="M77" s="80">
        <f>(F77+G77)*('Data Kystruten'!$B$3+'Data Kystruten'!$B$4)</f>
        <v>5.25</v>
      </c>
      <c r="N77" s="23">
        <f>M77/'Data Kystruten'!$B$43</f>
        <v>14.311318110016256</v>
      </c>
      <c r="O77" s="23">
        <f>N77/'Data Kystruten'!$B$17</f>
        <v>0.42938248154864256</v>
      </c>
      <c r="P77" s="23">
        <f t="shared" si="28"/>
        <v>2.0521413637833708</v>
      </c>
      <c r="Q77" s="23"/>
      <c r="R77" s="80">
        <f t="shared" si="26"/>
        <v>2.0521413637833708</v>
      </c>
      <c r="S77" s="94">
        <f t="shared" si="24"/>
        <v>43.662582208156827</v>
      </c>
      <c r="Y77" s="54">
        <v>0</v>
      </c>
      <c r="AA77">
        <f>(Z77*'Data Kystruten'!$B$43*'Data Kystruten'!$B$17)/'Data Kystruten'!$B$42</f>
        <v>0</v>
      </c>
      <c r="AB77">
        <f>(AA77*3.6)/'Data Kystruten'!$B$10</f>
        <v>0</v>
      </c>
      <c r="AC77" s="23">
        <f t="shared" si="29"/>
        <v>6.6808703098699791</v>
      </c>
      <c r="AD77" s="96">
        <f t="shared" si="25"/>
        <v>100</v>
      </c>
    </row>
    <row r="78" spans="1:30">
      <c r="A78" s="35"/>
      <c r="B78" s="24" t="s">
        <v>133</v>
      </c>
      <c r="C78" s="24"/>
      <c r="D78" s="34">
        <v>0.90625</v>
      </c>
      <c r="E78" s="34">
        <v>0.91666666666666663</v>
      </c>
      <c r="F78" s="32">
        <f t="shared" si="27"/>
        <v>0.24999999999999911</v>
      </c>
      <c r="G78" s="32"/>
      <c r="H78" s="90">
        <v>0</v>
      </c>
      <c r="I78" s="75"/>
      <c r="M78" s="80">
        <f>(F78+G78)*('Data Kystruten'!$B$3+'Data Kystruten'!$B$4)</f>
        <v>0.87499999999999689</v>
      </c>
      <c r="N78" s="23">
        <f>M78/'Data Kystruten'!$B$43</f>
        <v>2.385219685002701</v>
      </c>
      <c r="O78" s="23">
        <f>N78/'Data Kystruten'!$B$17</f>
        <v>7.1563746924773505E-2</v>
      </c>
      <c r="P78" s="23">
        <f t="shared" si="28"/>
        <v>1.9805776168585973</v>
      </c>
      <c r="Q78" s="23"/>
      <c r="R78" s="80">
        <f t="shared" si="26"/>
        <v>1.9805776168585973</v>
      </c>
      <c r="S78" s="94">
        <f t="shared" si="24"/>
        <v>42.139949294863769</v>
      </c>
      <c r="Y78" s="54">
        <v>0</v>
      </c>
      <c r="AA78">
        <f>(Z78*'Data Kystruten'!$B$43*'Data Kystruten'!$B$17)/'Data Kystruten'!$B$42</f>
        <v>0</v>
      </c>
      <c r="AB78">
        <f>(AA78*3.6)/'Data Kystruten'!$B$10</f>
        <v>0</v>
      </c>
      <c r="AC78" s="23">
        <f t="shared" si="29"/>
        <v>6.6808703098699791</v>
      </c>
      <c r="AD78" s="96">
        <f t="shared" si="25"/>
        <v>100</v>
      </c>
    </row>
    <row r="79" spans="1:30">
      <c r="A79" s="35"/>
      <c r="B79" s="24"/>
      <c r="C79" s="24"/>
      <c r="D79" s="24"/>
      <c r="E79" s="24"/>
      <c r="F79" s="32"/>
      <c r="G79" s="32">
        <v>2.75</v>
      </c>
      <c r="H79" s="90"/>
      <c r="I79" s="75"/>
      <c r="M79" s="80">
        <f>(F79+G79)*('Data Kystruten'!$B$3+'Data Kystruten'!$B$4)</f>
        <v>9.625</v>
      </c>
      <c r="N79" s="23">
        <f>M79/'Data Kystruten'!$B$43</f>
        <v>26.237416535029805</v>
      </c>
      <c r="O79" s="23">
        <f>N79/'Data Kystruten'!$B$17</f>
        <v>0.78720121617251149</v>
      </c>
      <c r="P79" s="23">
        <f t="shared" si="28"/>
        <v>1.1933764006860859</v>
      </c>
      <c r="Q79" s="23"/>
      <c r="R79" s="80">
        <f t="shared" si="26"/>
        <v>1.1933764006860859</v>
      </c>
      <c r="S79" s="94">
        <f t="shared" si="24"/>
        <v>25.390987248640123</v>
      </c>
      <c r="Y79" s="54">
        <v>0</v>
      </c>
      <c r="AA79">
        <f>(Z79*'Data Kystruten'!$B$43*'Data Kystruten'!$B$17)/'Data Kystruten'!$B$42</f>
        <v>0</v>
      </c>
      <c r="AB79">
        <f>(AA79*3.6)/'Data Kystruten'!$B$10</f>
        <v>0</v>
      </c>
      <c r="AC79" s="23">
        <f t="shared" si="29"/>
        <v>6.6808703098699791</v>
      </c>
      <c r="AD79" s="96">
        <f t="shared" si="25"/>
        <v>100</v>
      </c>
    </row>
    <row r="80" spans="1:30">
      <c r="A80" s="35" t="s">
        <v>139</v>
      </c>
      <c r="B80" s="24" t="s">
        <v>132</v>
      </c>
      <c r="C80" s="24"/>
      <c r="D80" s="34">
        <v>3.125E-2</v>
      </c>
      <c r="E80" s="34">
        <v>4.1666666666666664E-2</v>
      </c>
      <c r="F80" s="32">
        <f t="shared" si="27"/>
        <v>0.24999999999999994</v>
      </c>
      <c r="G80" s="32"/>
      <c r="H80" s="90">
        <v>0</v>
      </c>
      <c r="I80" s="75"/>
      <c r="M80" s="80">
        <f>(F80+G80)*('Data Kystruten'!$B$3+'Data Kystruten'!$B$4)</f>
        <v>0.87499999999999978</v>
      </c>
      <c r="N80" s="23">
        <f>M80/'Data Kystruten'!$B$43</f>
        <v>2.385219685002709</v>
      </c>
      <c r="O80" s="23">
        <f>N80/'Data Kystruten'!$B$17</f>
        <v>7.1563746924773755E-2</v>
      </c>
      <c r="P80" s="23">
        <f t="shared" si="28"/>
        <v>1.121812653761312</v>
      </c>
      <c r="Q80" s="23"/>
      <c r="R80" s="80">
        <f t="shared" si="26"/>
        <v>1.121812653761312</v>
      </c>
      <c r="S80" s="94">
        <f t="shared" si="24"/>
        <v>23.868354335347064</v>
      </c>
      <c r="Y80" s="54">
        <v>0</v>
      </c>
      <c r="AA80">
        <f>(Z80*'Data Kystruten'!$B$43*'Data Kystruten'!$B$17)/'Data Kystruten'!$B$42</f>
        <v>0</v>
      </c>
      <c r="AB80">
        <f>(AA80*3.6)/'Data Kystruten'!$B$10</f>
        <v>0</v>
      </c>
      <c r="AC80" s="23">
        <f t="shared" si="29"/>
        <v>6.6808703098699791</v>
      </c>
      <c r="AD80" s="96">
        <f t="shared" si="25"/>
        <v>100</v>
      </c>
    </row>
    <row r="81" spans="1:30">
      <c r="A81" s="35"/>
      <c r="B81" s="24"/>
      <c r="C81" s="24"/>
      <c r="D81" s="24"/>
      <c r="E81" s="24"/>
      <c r="F81" s="32"/>
      <c r="G81" s="32">
        <f t="shared" si="30"/>
        <v>1.7499999999999998</v>
      </c>
      <c r="H81" s="90"/>
      <c r="I81" s="75"/>
      <c r="M81" s="80">
        <f>(F81+G81)*('Data Kystruten'!$B$3+'Data Kystruten'!$B$4)</f>
        <v>6.1249999999999991</v>
      </c>
      <c r="N81" s="23">
        <f>M81/'Data Kystruten'!$B$43</f>
        <v>16.696537795018962</v>
      </c>
      <c r="O81" s="23">
        <f>N81/'Data Kystruten'!$B$17</f>
        <v>0.50094622847341619</v>
      </c>
      <c r="P81" s="23">
        <f t="shared" si="28"/>
        <v>0.62086642528789582</v>
      </c>
      <c r="Q81" s="23"/>
      <c r="R81" s="80">
        <f t="shared" si="26"/>
        <v>0.62086642528789582</v>
      </c>
      <c r="S81" s="94">
        <f t="shared" si="24"/>
        <v>13.209923942295656</v>
      </c>
      <c r="Y81" s="54">
        <v>0</v>
      </c>
      <c r="AA81">
        <f>(Z81*'Data Kystruten'!$B$43*'Data Kystruten'!$B$17)/'Data Kystruten'!$B$42</f>
        <v>0</v>
      </c>
      <c r="AB81">
        <f>(AA81*3.6)/'Data Kystruten'!$B$10</f>
        <v>0</v>
      </c>
      <c r="AC81" s="23">
        <f t="shared" si="29"/>
        <v>6.6808703098699791</v>
      </c>
      <c r="AD81" s="96">
        <f t="shared" si="25"/>
        <v>100</v>
      </c>
    </row>
    <row r="82" spans="1:30">
      <c r="A82" s="35"/>
      <c r="B82" s="24" t="s">
        <v>131</v>
      </c>
      <c r="C82" s="24"/>
      <c r="D82" s="34">
        <v>0.11458333333333333</v>
      </c>
      <c r="E82" s="34">
        <v>0.125</v>
      </c>
      <c r="F82" s="32">
        <f t="shared" si="27"/>
        <v>0.25000000000000011</v>
      </c>
      <c r="G82" s="32"/>
      <c r="H82" s="90">
        <v>0</v>
      </c>
      <c r="I82" s="75"/>
      <c r="M82" s="80">
        <f>(F82+G82)*('Data Kystruten'!$B$3+'Data Kystruten'!$B$4)</f>
        <v>0.87500000000000044</v>
      </c>
      <c r="N82" s="23">
        <f>M82/'Data Kystruten'!$B$43</f>
        <v>2.3852196850027108</v>
      </c>
      <c r="O82" s="23">
        <f>N82/'Data Kystruten'!$B$17</f>
        <v>7.1563746924773811E-2</v>
      </c>
      <c r="P82" s="23">
        <f t="shared" si="28"/>
        <v>0.54930267836312197</v>
      </c>
      <c r="Q82" s="23"/>
      <c r="R82" s="80">
        <f t="shared" si="26"/>
        <v>0.54930267836312197</v>
      </c>
      <c r="S82" s="94">
        <f t="shared" si="24"/>
        <v>11.687291029002594</v>
      </c>
      <c r="Y82" s="54">
        <v>0</v>
      </c>
      <c r="AA82">
        <f>(Z82*'Data Kystruten'!$B$43*'Data Kystruten'!$B$17)/'Data Kystruten'!$B$42</f>
        <v>0</v>
      </c>
      <c r="AB82">
        <f>(AA82*3.6)/'Data Kystruten'!$B$10</f>
        <v>0</v>
      </c>
      <c r="AC82" s="23">
        <f t="shared" si="29"/>
        <v>6.6808703098699791</v>
      </c>
      <c r="AD82" s="96">
        <f t="shared" si="25"/>
        <v>100</v>
      </c>
    </row>
    <row r="83" spans="1:30">
      <c r="A83" s="35"/>
      <c r="B83" s="24"/>
      <c r="C83" s="24"/>
      <c r="D83" s="24"/>
      <c r="E83" s="24"/>
      <c r="F83" s="32"/>
      <c r="G83" s="32">
        <f t="shared" si="30"/>
        <v>2.5</v>
      </c>
      <c r="H83" s="90"/>
      <c r="I83" s="75"/>
      <c r="M83" s="80">
        <f>(F83+G83)*('Data Kystruten'!$B$3+'Data Kystruten'!$B$4)</f>
        <v>8.75</v>
      </c>
      <c r="N83" s="23">
        <f>M83/'Data Kystruten'!$B$43</f>
        <v>23.852196850027095</v>
      </c>
      <c r="O83" s="23">
        <f>N83/'Data Kystruten'!$B$17</f>
        <v>0.71563746924773763</v>
      </c>
      <c r="P83" s="23">
        <f t="shared" si="28"/>
        <v>-0.16633479088461567</v>
      </c>
      <c r="Q83" s="23"/>
      <c r="R83" s="80">
        <v>0</v>
      </c>
      <c r="S83" s="94">
        <f t="shared" si="24"/>
        <v>0</v>
      </c>
      <c r="Y83" s="80">
        <f>-P83</f>
        <v>0.16633479088461567</v>
      </c>
      <c r="Z83" s="23">
        <f>Y83</f>
        <v>0.16633479088461567</v>
      </c>
      <c r="AA83" s="23">
        <f>(Z83*'Data Kystruten'!$B$43*'Data Kystruten'!$B$17)/'Data Kystruten'!$B$42</f>
        <v>6.1953513633558863</v>
      </c>
      <c r="AB83" s="23">
        <f>(AA83*3.6)/'Data Kystruten'!$B$10</f>
        <v>0.45239888251685995</v>
      </c>
      <c r="AC83" s="23">
        <f>AC82-AB83</f>
        <v>6.228471427353119</v>
      </c>
      <c r="AD83" s="96">
        <f t="shared" si="25"/>
        <v>93.22844387731179</v>
      </c>
    </row>
    <row r="84" spans="1:30">
      <c r="A84" s="38"/>
      <c r="B84" s="39" t="s">
        <v>130</v>
      </c>
      <c r="C84" s="39" t="s">
        <v>98</v>
      </c>
      <c r="D84" s="47">
        <v>0.22916666666666666</v>
      </c>
      <c r="E84" s="47">
        <v>0.23958333333333334</v>
      </c>
      <c r="F84" s="91">
        <f>F20</f>
        <v>3.35</v>
      </c>
      <c r="G84" s="42"/>
      <c r="H84" s="42">
        <f>F84-('Data Kystruten'!$B$51*2)</f>
        <v>2.35</v>
      </c>
      <c r="I84" s="76">
        <f>(E84-D84)*24</f>
        <v>0.25000000000000044</v>
      </c>
      <c r="J84" s="23"/>
      <c r="M84" s="45">
        <f>(F84+G84)*('Data Kystruten'!$B$3+'Data Kystruten'!$B$4)</f>
        <v>11.725</v>
      </c>
      <c r="N84" s="45">
        <f>M84/'Data Kystruten'!$B$43</f>
        <v>31.961943779036304</v>
      </c>
      <c r="O84" s="45">
        <f>N84/'Data Kystruten'!$B$17</f>
        <v>0.95895420879196835</v>
      </c>
      <c r="P84" s="45">
        <f>P72</f>
        <v>4.7</v>
      </c>
      <c r="Q84" s="45">
        <f>P84+O84</f>
        <v>5.6589542087919682</v>
      </c>
      <c r="R84" s="45">
        <f t="shared" si="26"/>
        <v>4.7</v>
      </c>
      <c r="S84" s="94">
        <f t="shared" si="24"/>
        <v>100</v>
      </c>
      <c r="Y84" s="44">
        <v>0</v>
      </c>
      <c r="Z84" s="44"/>
      <c r="AA84" s="44">
        <f>(Z84*'Data Kystruten'!$B$43*'Data Kystruten'!$B$17)/'Data Kystruten'!$B$42</f>
        <v>0</v>
      </c>
      <c r="AB84" s="44">
        <f>(AA84*3.6)/'Data Kystruten'!$B$10</f>
        <v>0</v>
      </c>
      <c r="AC84" s="45">
        <f>AC72</f>
        <v>6.6808703098699791</v>
      </c>
      <c r="AD84" s="95">
        <f t="shared" si="25"/>
        <v>100</v>
      </c>
    </row>
    <row r="85" spans="1:30">
      <c r="A85" s="35"/>
      <c r="B85" s="24"/>
      <c r="C85" s="24"/>
      <c r="D85" s="24"/>
      <c r="E85" s="24"/>
      <c r="F85" s="32"/>
      <c r="G85" s="32">
        <f t="shared" si="30"/>
        <v>2</v>
      </c>
      <c r="H85" s="90"/>
      <c r="I85" s="75"/>
      <c r="M85" s="80">
        <f>(F85+G85)*('Data Kystruten'!$B$3+'Data Kystruten'!$B$4)</f>
        <v>7</v>
      </c>
      <c r="N85" s="23">
        <f>M85/'Data Kystruten'!$B$43</f>
        <v>19.081757480021675</v>
      </c>
      <c r="O85" s="23">
        <f>N85/'Data Kystruten'!$B$17</f>
        <v>0.57250997539819015</v>
      </c>
      <c r="P85" s="23">
        <f>P84-O85</f>
        <v>4.1274900246018102</v>
      </c>
      <c r="Q85" s="23"/>
      <c r="R85" s="80">
        <f t="shared" si="26"/>
        <v>4.1274900246018102</v>
      </c>
      <c r="S85" s="94">
        <f t="shared" si="24"/>
        <v>87.81893669365553</v>
      </c>
      <c r="Y85" s="54">
        <v>0</v>
      </c>
      <c r="AA85">
        <f>(Z85*'Data Kystruten'!$B$43*'Data Kystruten'!$B$17)/'Data Kystruten'!$B$42</f>
        <v>0</v>
      </c>
      <c r="AB85">
        <f>(AA85*3.6)/'Data Kystruten'!$B$10</f>
        <v>0</v>
      </c>
      <c r="AC85" s="23">
        <f>AC84</f>
        <v>6.6808703098699791</v>
      </c>
      <c r="AD85" s="96">
        <f t="shared" si="25"/>
        <v>100</v>
      </c>
    </row>
    <row r="86" spans="1:30">
      <c r="A86" s="35"/>
      <c r="B86" s="24" t="s">
        <v>129</v>
      </c>
      <c r="C86" s="24"/>
      <c r="D86" s="34">
        <v>0.32291666666666669</v>
      </c>
      <c r="E86" s="34">
        <v>0.33333333333333331</v>
      </c>
      <c r="F86" s="32">
        <f t="shared" si="27"/>
        <v>0.24999999999999911</v>
      </c>
      <c r="G86" s="32"/>
      <c r="H86" s="90">
        <v>0</v>
      </c>
      <c r="I86" s="75"/>
      <c r="M86" s="80">
        <f>(F86+G86)*('Data Kystruten'!$B$3+'Data Kystruten'!$B$4)</f>
        <v>0.87499999999999689</v>
      </c>
      <c r="N86" s="23">
        <f>M86/'Data Kystruten'!$B$43</f>
        <v>2.385219685002701</v>
      </c>
      <c r="O86" s="23">
        <f>N86/'Data Kystruten'!$B$17</f>
        <v>7.1563746924773505E-2</v>
      </c>
      <c r="P86" s="23">
        <f t="shared" ref="P86:P93" si="31">P85-O86</f>
        <v>4.0559262776770364</v>
      </c>
      <c r="Q86" s="23"/>
      <c r="R86" s="80">
        <f t="shared" si="26"/>
        <v>4.0559262776770364</v>
      </c>
      <c r="S86" s="94">
        <f t="shared" si="24"/>
        <v>86.296303780362464</v>
      </c>
      <c r="Y86" s="54">
        <v>0</v>
      </c>
      <c r="AA86">
        <f>(Z86*'Data Kystruten'!$B$43*'Data Kystruten'!$B$17)/'Data Kystruten'!$B$42</f>
        <v>0</v>
      </c>
      <c r="AB86">
        <f>(AA86*3.6)/'Data Kystruten'!$B$10</f>
        <v>0</v>
      </c>
      <c r="AC86" s="23">
        <f t="shared" ref="AC86:AC92" si="32">AC85</f>
        <v>6.6808703098699791</v>
      </c>
      <c r="AD86" s="96">
        <f t="shared" si="25"/>
        <v>100</v>
      </c>
    </row>
    <row r="87" spans="1:30">
      <c r="A87" s="35"/>
      <c r="B87" s="24"/>
      <c r="C87" s="24"/>
      <c r="D87" s="24"/>
      <c r="E87" s="24"/>
      <c r="F87" s="32"/>
      <c r="G87" s="32">
        <f t="shared" si="30"/>
        <v>2.7500000000000009</v>
      </c>
      <c r="H87" s="90"/>
      <c r="I87" s="75"/>
      <c r="M87" s="80">
        <f>(F87+G87)*('Data Kystruten'!$B$3+'Data Kystruten'!$B$4)</f>
        <v>9.6250000000000036</v>
      </c>
      <c r="N87" s="23">
        <f>M87/'Data Kystruten'!$B$43</f>
        <v>26.237416535029812</v>
      </c>
      <c r="O87" s="23">
        <f>N87/'Data Kystruten'!$B$17</f>
        <v>0.78720121617251171</v>
      </c>
      <c r="P87" s="23">
        <f t="shared" si="31"/>
        <v>3.2687250615045249</v>
      </c>
      <c r="Q87" s="23"/>
      <c r="R87" s="80">
        <f t="shared" si="26"/>
        <v>3.2687250615045249</v>
      </c>
      <c r="S87" s="94">
        <f t="shared" si="24"/>
        <v>69.547341734138826</v>
      </c>
      <c r="Y87" s="54">
        <v>0</v>
      </c>
      <c r="AA87">
        <f>(Z87*'Data Kystruten'!$B$43*'Data Kystruten'!$B$17)/'Data Kystruten'!$B$42</f>
        <v>0</v>
      </c>
      <c r="AB87">
        <f>(AA87*3.6)/'Data Kystruten'!$B$10</f>
        <v>0</v>
      </c>
      <c r="AC87" s="23">
        <f t="shared" si="32"/>
        <v>6.6808703098699791</v>
      </c>
      <c r="AD87" s="96">
        <f t="shared" si="25"/>
        <v>100</v>
      </c>
    </row>
    <row r="88" spans="1:30">
      <c r="A88" s="35"/>
      <c r="B88" s="24" t="s">
        <v>128</v>
      </c>
      <c r="C88" s="24"/>
      <c r="D88" s="34">
        <v>0.44791666666666669</v>
      </c>
      <c r="E88" s="34">
        <v>0.53125</v>
      </c>
      <c r="F88" s="32">
        <f t="shared" si="27"/>
        <v>1.9999999999999996</v>
      </c>
      <c r="G88" s="32"/>
      <c r="H88" s="90">
        <f>F88-('Data Kystruten'!$B$51*2)</f>
        <v>0.99999999999999956</v>
      </c>
      <c r="I88" s="75"/>
      <c r="M88" s="80">
        <f>(F88+G88)*('Data Kystruten'!$B$3+'Data Kystruten'!$B$4)</f>
        <v>6.9999999999999982</v>
      </c>
      <c r="N88" s="23">
        <f>M88/'Data Kystruten'!$B$43</f>
        <v>19.081757480021672</v>
      </c>
      <c r="O88" s="23">
        <f>N88/'Data Kystruten'!$B$17</f>
        <v>0.57250997539819004</v>
      </c>
      <c r="P88" s="23">
        <f t="shared" si="31"/>
        <v>2.696215086106335</v>
      </c>
      <c r="Q88" s="23"/>
      <c r="R88" s="80">
        <f t="shared" si="26"/>
        <v>2.696215086106335</v>
      </c>
      <c r="S88" s="94">
        <f t="shared" si="24"/>
        <v>57.366278427794356</v>
      </c>
      <c r="Y88" s="54">
        <v>0</v>
      </c>
      <c r="AA88">
        <f>(Z88*'Data Kystruten'!$B$43*'Data Kystruten'!$B$17)/'Data Kystruten'!$B$42</f>
        <v>0</v>
      </c>
      <c r="AB88">
        <f>(AA88*3.6)/'Data Kystruten'!$B$10</f>
        <v>0</v>
      </c>
      <c r="AC88" s="23">
        <f t="shared" si="32"/>
        <v>6.6808703098699791</v>
      </c>
      <c r="AD88" s="96">
        <f t="shared" si="25"/>
        <v>100</v>
      </c>
    </row>
    <row r="89" spans="1:30">
      <c r="A89" s="35"/>
      <c r="B89" s="24"/>
      <c r="C89" s="24"/>
      <c r="D89" s="24"/>
      <c r="E89" s="24"/>
      <c r="F89" s="32"/>
      <c r="G89" s="32">
        <f t="shared" si="30"/>
        <v>2.7500000000000009</v>
      </c>
      <c r="H89" s="90"/>
      <c r="I89" s="75"/>
      <c r="M89" s="80">
        <f>(F89+G89)*('Data Kystruten'!$B$3+'Data Kystruten'!$B$4)</f>
        <v>9.6250000000000036</v>
      </c>
      <c r="N89" s="23">
        <f>M89/'Data Kystruten'!$B$43</f>
        <v>26.237416535029812</v>
      </c>
      <c r="O89" s="23">
        <f>N89/'Data Kystruten'!$B$17</f>
        <v>0.78720121617251171</v>
      </c>
      <c r="P89" s="23">
        <f t="shared" si="31"/>
        <v>1.9090138699338233</v>
      </c>
      <c r="Q89" s="23"/>
      <c r="R89" s="80">
        <f t="shared" si="26"/>
        <v>1.9090138699338233</v>
      </c>
      <c r="S89" s="94">
        <f t="shared" si="24"/>
        <v>40.617316381570703</v>
      </c>
      <c r="Y89" s="54">
        <v>0</v>
      </c>
      <c r="AA89">
        <f>(Z89*'Data Kystruten'!$B$43*'Data Kystruten'!$B$17)/'Data Kystruten'!$B$42</f>
        <v>0</v>
      </c>
      <c r="AB89">
        <f>(AA89*3.6)/'Data Kystruten'!$B$10</f>
        <v>0</v>
      </c>
      <c r="AC89" s="23">
        <f t="shared" si="32"/>
        <v>6.6808703098699791</v>
      </c>
      <c r="AD89" s="96">
        <f t="shared" si="25"/>
        <v>100</v>
      </c>
    </row>
    <row r="90" spans="1:30">
      <c r="A90" s="35"/>
      <c r="B90" s="24" t="s">
        <v>127</v>
      </c>
      <c r="C90" s="24"/>
      <c r="D90" s="34">
        <v>0.64583333333333337</v>
      </c>
      <c r="E90" s="34">
        <v>0.65625</v>
      </c>
      <c r="F90" s="32">
        <f t="shared" si="27"/>
        <v>0.24999999999999911</v>
      </c>
      <c r="G90" s="32"/>
      <c r="H90" s="90">
        <v>0</v>
      </c>
      <c r="I90" s="75"/>
      <c r="M90" s="80">
        <f>(F90+G90)*('Data Kystruten'!$B$3+'Data Kystruten'!$B$4)</f>
        <v>0.87499999999999689</v>
      </c>
      <c r="N90" s="23">
        <f>M90/'Data Kystruten'!$B$43</f>
        <v>2.385219685002701</v>
      </c>
      <c r="O90" s="23">
        <f>N90/'Data Kystruten'!$B$17</f>
        <v>7.1563746924773505E-2</v>
      </c>
      <c r="P90" s="23">
        <f t="shared" si="31"/>
        <v>1.8374501230090499</v>
      </c>
      <c r="Q90" s="23"/>
      <c r="R90" s="80">
        <f t="shared" si="26"/>
        <v>1.8374501230090499</v>
      </c>
      <c r="S90" s="94">
        <f t="shared" si="24"/>
        <v>39.094683468277658</v>
      </c>
      <c r="Y90" s="54">
        <v>0</v>
      </c>
      <c r="AA90">
        <f>(Z90*'Data Kystruten'!$B$43*'Data Kystruten'!$B$17)/'Data Kystruten'!$B$42</f>
        <v>0</v>
      </c>
      <c r="AB90">
        <f>(AA90*3.6)/'Data Kystruten'!$B$10</f>
        <v>0</v>
      </c>
      <c r="AC90" s="23">
        <f t="shared" si="32"/>
        <v>6.6808703098699791</v>
      </c>
      <c r="AD90" s="96">
        <f t="shared" si="25"/>
        <v>100</v>
      </c>
    </row>
    <row r="91" spans="1:30">
      <c r="A91" s="35"/>
      <c r="B91" s="24"/>
      <c r="C91" s="24"/>
      <c r="D91" s="24"/>
      <c r="E91" s="24"/>
      <c r="F91" s="32"/>
      <c r="G91" s="32">
        <f t="shared" si="30"/>
        <v>3.5000000000000009</v>
      </c>
      <c r="H91" s="90"/>
      <c r="I91" s="75"/>
      <c r="M91" s="80">
        <f>(F91+G91)*('Data Kystruten'!$B$3+'Data Kystruten'!$B$4)</f>
        <v>12.250000000000004</v>
      </c>
      <c r="N91" s="23">
        <f>M91/'Data Kystruten'!$B$43</f>
        <v>33.393075590037938</v>
      </c>
      <c r="O91" s="23">
        <f>N91/'Data Kystruten'!$B$17</f>
        <v>1.0018924569468328</v>
      </c>
      <c r="P91" s="23">
        <f t="shared" si="31"/>
        <v>0.83555766606221704</v>
      </c>
      <c r="Q91" s="23"/>
      <c r="R91" s="80">
        <f t="shared" si="26"/>
        <v>0.83555766606221704</v>
      </c>
      <c r="S91" s="94">
        <f t="shared" si="24"/>
        <v>17.777822682174829</v>
      </c>
      <c r="Y91" s="54">
        <v>0</v>
      </c>
      <c r="AA91">
        <f>(Z91*'Data Kystruten'!$B$43*'Data Kystruten'!$B$17)/'Data Kystruten'!$B$42</f>
        <v>0</v>
      </c>
      <c r="AB91">
        <f>(AA91*3.6)/'Data Kystruten'!$B$10</f>
        <v>0</v>
      </c>
      <c r="AC91" s="23">
        <f t="shared" si="32"/>
        <v>6.6808703098699791</v>
      </c>
      <c r="AD91" s="96">
        <f t="shared" si="25"/>
        <v>100</v>
      </c>
    </row>
    <row r="92" spans="1:30">
      <c r="A92" s="35"/>
      <c r="B92" s="24" t="s">
        <v>125</v>
      </c>
      <c r="C92" s="24"/>
      <c r="D92" s="34">
        <v>0.80208333333333337</v>
      </c>
      <c r="E92" s="34">
        <v>0.82291666666666663</v>
      </c>
      <c r="F92" s="32">
        <f t="shared" si="27"/>
        <v>0.49999999999999822</v>
      </c>
      <c r="G92" s="32"/>
      <c r="H92" s="90">
        <v>0</v>
      </c>
      <c r="I92" s="75"/>
      <c r="M92" s="80">
        <f>(F92+G92)*('Data Kystruten'!$B$3+'Data Kystruten'!$B$4)</f>
        <v>1.7499999999999938</v>
      </c>
      <c r="N92" s="23">
        <f>M92/'Data Kystruten'!$B$43</f>
        <v>4.770439370005402</v>
      </c>
      <c r="O92" s="23">
        <f>N92/'Data Kystruten'!$B$17</f>
        <v>0.14312749384954701</v>
      </c>
      <c r="P92" s="23">
        <f t="shared" si="31"/>
        <v>0.69243017221267</v>
      </c>
      <c r="Q92" s="23"/>
      <c r="R92" s="80">
        <f t="shared" si="26"/>
        <v>0.69243017221267</v>
      </c>
      <c r="S92" s="94">
        <f t="shared" si="24"/>
        <v>14.732556855588724</v>
      </c>
      <c r="Y92" s="54">
        <v>0</v>
      </c>
      <c r="AA92">
        <f>(Z92*'Data Kystruten'!$B$43*'Data Kystruten'!$B$17)/'Data Kystruten'!$B$42</f>
        <v>0</v>
      </c>
      <c r="AB92">
        <f>(AA92*3.6)/'Data Kystruten'!$B$10</f>
        <v>0</v>
      </c>
      <c r="AC92" s="23">
        <f t="shared" si="32"/>
        <v>6.6808703098699791</v>
      </c>
      <c r="AD92" s="96">
        <f t="shared" si="25"/>
        <v>100</v>
      </c>
    </row>
    <row r="93" spans="1:30">
      <c r="A93" s="35"/>
      <c r="B93" s="24"/>
      <c r="C93" s="24"/>
      <c r="D93" s="24"/>
      <c r="E93" s="24"/>
      <c r="F93" s="32"/>
      <c r="G93" s="32">
        <f t="shared" si="30"/>
        <v>4.0000000000000018</v>
      </c>
      <c r="H93" s="90"/>
      <c r="I93" s="75"/>
      <c r="M93" s="80">
        <f>(F93+G93)*('Data Kystruten'!$B$3+'Data Kystruten'!$B$4)</f>
        <v>14.000000000000007</v>
      </c>
      <c r="N93" s="23">
        <f>M93/'Data Kystruten'!$B$43</f>
        <v>38.163514960043372</v>
      </c>
      <c r="O93" s="23">
        <f>N93/'Data Kystruten'!$B$17</f>
        <v>1.145019950796381</v>
      </c>
      <c r="P93" s="23">
        <f t="shared" si="31"/>
        <v>-0.45258977858371097</v>
      </c>
      <c r="Q93" s="23"/>
      <c r="R93" s="80">
        <v>0</v>
      </c>
      <c r="S93" s="94">
        <f t="shared" si="24"/>
        <v>0</v>
      </c>
      <c r="Y93" s="80">
        <f>-P93</f>
        <v>0.45258977858371097</v>
      </c>
      <c r="Z93" s="23">
        <f>Y93</f>
        <v>0.45258977858371097</v>
      </c>
      <c r="AA93" s="23">
        <f>(Z93*'Data Kystruten'!$B$43*'Data Kystruten'!$B$17)/'Data Kystruten'!$B$42</f>
        <v>16.857283355318003</v>
      </c>
      <c r="AB93" s="23">
        <f>(AA93*3.6)/'Data Kystruten'!$B$10</f>
        <v>1.2309578109360002</v>
      </c>
      <c r="AC93" s="23">
        <f>AC92-AB93</f>
        <v>5.4499124989339789</v>
      </c>
      <c r="AD93" s="96">
        <f t="shared" si="25"/>
        <v>81.574888392647807</v>
      </c>
    </row>
    <row r="94" spans="1:30">
      <c r="A94" s="38" t="s">
        <v>140</v>
      </c>
      <c r="B94" s="39" t="s">
        <v>124</v>
      </c>
      <c r="C94" s="39" t="s">
        <v>98</v>
      </c>
      <c r="D94" s="47">
        <v>0.98958333333333337</v>
      </c>
      <c r="E94" s="47">
        <v>6.25E-2</v>
      </c>
      <c r="F94" s="91">
        <v>3.35</v>
      </c>
      <c r="G94" s="42"/>
      <c r="H94" s="42">
        <f>F94-('Data Kystruten'!$B$51*2)</f>
        <v>2.35</v>
      </c>
      <c r="I94" s="42">
        <v>1.75</v>
      </c>
      <c r="J94" s="23"/>
      <c r="M94" s="45">
        <f>(F94+G94)*('Data Kystruten'!$B$3+'Data Kystruten'!$B$4)</f>
        <v>11.725</v>
      </c>
      <c r="N94" s="45">
        <f>M94/'Data Kystruten'!$B$43</f>
        <v>31.961943779036304</v>
      </c>
      <c r="O94" s="45">
        <f>N94/'Data Kystruten'!$B$17</f>
        <v>0.95895420879196835</v>
      </c>
      <c r="P94" s="45">
        <f>P84</f>
        <v>4.7</v>
      </c>
      <c r="Q94" s="45">
        <f>P94+O94</f>
        <v>5.6589542087919682</v>
      </c>
      <c r="R94" s="45">
        <f t="shared" si="26"/>
        <v>4.7</v>
      </c>
      <c r="S94" s="94">
        <f t="shared" si="24"/>
        <v>100</v>
      </c>
      <c r="Y94" s="44">
        <v>0</v>
      </c>
      <c r="Z94" s="44"/>
      <c r="AA94" s="44">
        <f>(Z94*'Data Kystruten'!$B$43*'Data Kystruten'!$B$17)/'Data Kystruten'!$B$42</f>
        <v>0</v>
      </c>
      <c r="AB94" s="44">
        <f>(AA94*3.6)/'Data Kystruten'!$B$10</f>
        <v>0</v>
      </c>
      <c r="AC94" s="45">
        <f>AC84</f>
        <v>6.6808703098699791</v>
      </c>
      <c r="AD94" s="95">
        <f t="shared" si="25"/>
        <v>100</v>
      </c>
    </row>
    <row r="95" spans="1:30">
      <c r="A95" s="35"/>
      <c r="B95" s="24"/>
      <c r="C95" s="24"/>
      <c r="D95" s="24"/>
      <c r="E95" s="24"/>
      <c r="F95" s="32"/>
      <c r="G95" s="32">
        <f t="shared" si="30"/>
        <v>2.75</v>
      </c>
      <c r="H95" s="90"/>
      <c r="I95" s="75"/>
      <c r="M95" s="80">
        <f>(F95+G95)*('Data Kystruten'!$B$3+'Data Kystruten'!$B$4)</f>
        <v>9.625</v>
      </c>
      <c r="N95" s="80">
        <f>M95/'Data Kystruten'!$B$43</f>
        <v>26.237416535029805</v>
      </c>
      <c r="O95" s="23">
        <f>N95/'Data Kystruten'!$B$17</f>
        <v>0.78720121617251149</v>
      </c>
      <c r="P95" s="23">
        <f>P94-O95</f>
        <v>3.9127987838274887</v>
      </c>
      <c r="Q95" s="23"/>
      <c r="R95" s="80">
        <f t="shared" si="26"/>
        <v>3.9127987838274887</v>
      </c>
      <c r="S95" s="94">
        <f t="shared" si="24"/>
        <v>83.251037953776347</v>
      </c>
      <c r="Y95" s="54">
        <v>0</v>
      </c>
      <c r="AA95">
        <f>(Z95*'Data Kystruten'!$B$43*'Data Kystruten'!$B$17)/'Data Kystruten'!$B$42</f>
        <v>0</v>
      </c>
      <c r="AB95">
        <f>(AA95*3.6)/'Data Kystruten'!$B$10</f>
        <v>0</v>
      </c>
      <c r="AC95" s="23">
        <f>AC94</f>
        <v>6.6808703098699791</v>
      </c>
      <c r="AD95" s="96">
        <f t="shared" si="25"/>
        <v>100</v>
      </c>
    </row>
    <row r="96" spans="1:30">
      <c r="A96" s="35"/>
      <c r="B96" s="24" t="s">
        <v>123</v>
      </c>
      <c r="C96" s="24"/>
      <c r="D96" s="34">
        <v>0.17708333333333334</v>
      </c>
      <c r="E96" s="34">
        <v>0.19791666666666666</v>
      </c>
      <c r="F96" s="32">
        <f t="shared" si="27"/>
        <v>0.49999999999999956</v>
      </c>
      <c r="G96" s="32"/>
      <c r="H96" s="90">
        <v>0</v>
      </c>
      <c r="I96" s="75"/>
      <c r="M96" s="80">
        <f>(F96+G96)*('Data Kystruten'!$B$3+'Data Kystruten'!$B$4)</f>
        <v>1.7499999999999984</v>
      </c>
      <c r="N96" s="80">
        <f>M96/'Data Kystruten'!$B$43</f>
        <v>4.7704393700054144</v>
      </c>
      <c r="O96" s="23">
        <f>N96/'Data Kystruten'!$B$17</f>
        <v>0.1431274938495474</v>
      </c>
      <c r="P96" s="23">
        <f t="shared" ref="P96:P109" si="33">P95-O96</f>
        <v>3.7696712899779414</v>
      </c>
      <c r="Q96" s="23"/>
      <c r="R96" s="80">
        <f t="shared" si="26"/>
        <v>3.7696712899779414</v>
      </c>
      <c r="S96" s="94">
        <f t="shared" si="24"/>
        <v>80.205772127190244</v>
      </c>
      <c r="Y96" s="54">
        <v>0</v>
      </c>
      <c r="AA96">
        <f>(Z96*'Data Kystruten'!$B$43*'Data Kystruten'!$B$17)/'Data Kystruten'!$B$42</f>
        <v>0</v>
      </c>
      <c r="AB96">
        <f>(AA96*3.6)/'Data Kystruten'!$B$10</f>
        <v>0</v>
      </c>
      <c r="AC96" s="23">
        <f t="shared" ref="AC96:AC104" si="34">AC95</f>
        <v>6.6808703098699791</v>
      </c>
      <c r="AD96" s="96">
        <f t="shared" si="25"/>
        <v>100</v>
      </c>
    </row>
    <row r="97" spans="1:30">
      <c r="A97" s="35"/>
      <c r="B97" s="24"/>
      <c r="C97" s="24"/>
      <c r="D97" s="24"/>
      <c r="E97" s="24"/>
      <c r="F97" s="32"/>
      <c r="G97" s="32">
        <f t="shared" si="30"/>
        <v>3.0833333333333339</v>
      </c>
      <c r="H97" s="90"/>
      <c r="I97" s="75"/>
      <c r="M97" s="80">
        <f>(F97+G97)*('Data Kystruten'!$B$3+'Data Kystruten'!$B$4)</f>
        <v>10.791666666666668</v>
      </c>
      <c r="N97" s="80">
        <f>M97/'Data Kystruten'!$B$43</f>
        <v>29.417709448366754</v>
      </c>
      <c r="O97" s="23">
        <f>N97/'Data Kystruten'!$B$17</f>
        <v>0.88261954540554322</v>
      </c>
      <c r="P97" s="23">
        <f t="shared" si="33"/>
        <v>2.887051744572398</v>
      </c>
      <c r="Q97" s="23"/>
      <c r="R97" s="80">
        <f t="shared" si="26"/>
        <v>2.887051744572398</v>
      </c>
      <c r="S97" s="94">
        <f t="shared" si="24"/>
        <v>61.426632863242503</v>
      </c>
      <c r="Y97" s="54">
        <v>0</v>
      </c>
      <c r="AA97">
        <f>(Z97*'Data Kystruten'!$B$43*'Data Kystruten'!$B$17)/'Data Kystruten'!$B$42</f>
        <v>0</v>
      </c>
      <c r="AB97">
        <f>(AA97*3.6)/'Data Kystruten'!$B$10</f>
        <v>0</v>
      </c>
      <c r="AC97" s="23">
        <f t="shared" si="34"/>
        <v>6.6808703098699791</v>
      </c>
      <c r="AD97" s="96">
        <f t="shared" si="25"/>
        <v>100</v>
      </c>
    </row>
    <row r="98" spans="1:30">
      <c r="A98" s="35"/>
      <c r="B98" s="24" t="s">
        <v>122</v>
      </c>
      <c r="C98" s="24"/>
      <c r="D98" s="34">
        <v>0.3263888888888889</v>
      </c>
      <c r="E98" s="34">
        <v>0.35416666666666669</v>
      </c>
      <c r="F98" s="32">
        <f t="shared" si="27"/>
        <v>0.66666666666666696</v>
      </c>
      <c r="G98" s="32"/>
      <c r="H98" s="90">
        <v>0</v>
      </c>
      <c r="I98" s="75"/>
      <c r="M98" s="80">
        <f>(F98+G98)*('Data Kystruten'!$B$3+'Data Kystruten'!$B$4)</f>
        <v>2.3333333333333344</v>
      </c>
      <c r="N98" s="80">
        <f>M98/'Data Kystruten'!$B$43</f>
        <v>6.3605858266738942</v>
      </c>
      <c r="O98" s="23">
        <f>N98/'Data Kystruten'!$B$17</f>
        <v>0.19083665846606343</v>
      </c>
      <c r="P98" s="23">
        <f t="shared" si="33"/>
        <v>2.6962150861063345</v>
      </c>
      <c r="Q98" s="23"/>
      <c r="R98" s="80">
        <f t="shared" si="26"/>
        <v>2.6962150861063345</v>
      </c>
      <c r="S98" s="94">
        <f t="shared" si="24"/>
        <v>57.366278427794349</v>
      </c>
      <c r="Y98" s="54">
        <v>0</v>
      </c>
      <c r="AA98">
        <f>(Z98*'Data Kystruten'!$B$43*'Data Kystruten'!$B$17)/'Data Kystruten'!$B$42</f>
        <v>0</v>
      </c>
      <c r="AB98">
        <f>(AA98*3.6)/'Data Kystruten'!$B$10</f>
        <v>0</v>
      </c>
      <c r="AC98" s="23">
        <f t="shared" si="34"/>
        <v>6.6808703098699791</v>
      </c>
      <c r="AD98" s="96">
        <f t="shared" si="25"/>
        <v>100</v>
      </c>
    </row>
    <row r="99" spans="1:30">
      <c r="A99" s="35"/>
      <c r="B99" s="24"/>
      <c r="C99" s="24"/>
      <c r="D99" s="24"/>
      <c r="E99" s="24"/>
      <c r="F99" s="32"/>
      <c r="G99" s="32">
        <f t="shared" si="30"/>
        <v>2.25</v>
      </c>
      <c r="H99" s="90"/>
      <c r="I99" s="75"/>
      <c r="M99" s="80">
        <f>(F99+G99)*('Data Kystruten'!$B$3+'Data Kystruten'!$B$4)</f>
        <v>7.875</v>
      </c>
      <c r="N99" s="80">
        <f>M99/'Data Kystruten'!$B$43</f>
        <v>21.466977165024385</v>
      </c>
      <c r="O99" s="23">
        <f>N99/'Data Kystruten'!$B$17</f>
        <v>0.64407372232296389</v>
      </c>
      <c r="P99" s="23">
        <f t="shared" si="33"/>
        <v>2.0521413637833708</v>
      </c>
      <c r="Q99" s="23"/>
      <c r="R99" s="80">
        <f t="shared" si="26"/>
        <v>2.0521413637833708</v>
      </c>
      <c r="S99" s="94">
        <f t="shared" si="24"/>
        <v>43.662582208156827</v>
      </c>
      <c r="Y99" s="54">
        <v>0</v>
      </c>
      <c r="AA99">
        <f>(Z99*'Data Kystruten'!$B$43*'Data Kystruten'!$B$17)/'Data Kystruten'!$B$42</f>
        <v>0</v>
      </c>
      <c r="AB99">
        <f>(AA99*3.6)/'Data Kystruten'!$B$10</f>
        <v>0</v>
      </c>
      <c r="AC99" s="23">
        <f t="shared" si="34"/>
        <v>6.6808703098699791</v>
      </c>
      <c r="AD99" s="96">
        <f t="shared" si="25"/>
        <v>100</v>
      </c>
    </row>
    <row r="100" spans="1:30">
      <c r="A100" s="35"/>
      <c r="B100" s="24" t="s">
        <v>121</v>
      </c>
      <c r="C100" s="24"/>
      <c r="D100" s="34">
        <v>0.44791666666666669</v>
      </c>
      <c r="E100" s="34">
        <v>0.45833333333333331</v>
      </c>
      <c r="F100" s="32">
        <f t="shared" si="27"/>
        <v>0.24999999999999911</v>
      </c>
      <c r="G100" s="32"/>
      <c r="H100" s="90">
        <v>0</v>
      </c>
      <c r="I100" s="75"/>
      <c r="M100" s="80">
        <f>(F100+G100)*('Data Kystruten'!$B$3+'Data Kystruten'!$B$4)</f>
        <v>0.87499999999999689</v>
      </c>
      <c r="N100" s="80">
        <f>M100/'Data Kystruten'!$B$43</f>
        <v>2.385219685002701</v>
      </c>
      <c r="O100" s="23">
        <f>N100/'Data Kystruten'!$B$17</f>
        <v>7.1563746924773505E-2</v>
      </c>
      <c r="P100" s="23">
        <f t="shared" si="33"/>
        <v>1.9805776168585973</v>
      </c>
      <c r="Q100" s="23"/>
      <c r="R100" s="80">
        <f t="shared" si="26"/>
        <v>1.9805776168585973</v>
      </c>
      <c r="S100" s="94">
        <f t="shared" si="24"/>
        <v>42.139949294863769</v>
      </c>
      <c r="Y100" s="54">
        <v>0</v>
      </c>
      <c r="AA100">
        <f>(Z100*'Data Kystruten'!$B$43*'Data Kystruten'!$B$17)/'Data Kystruten'!$B$42</f>
        <v>0</v>
      </c>
      <c r="AB100">
        <f>(AA100*3.6)/'Data Kystruten'!$B$10</f>
        <v>0</v>
      </c>
      <c r="AC100" s="23">
        <f t="shared" si="34"/>
        <v>6.6808703098699791</v>
      </c>
      <c r="AD100" s="96">
        <f t="shared" si="25"/>
        <v>100</v>
      </c>
    </row>
    <row r="101" spans="1:30">
      <c r="A101" s="35"/>
      <c r="B101" s="24"/>
      <c r="C101" s="24"/>
      <c r="D101" s="24"/>
      <c r="E101" s="24"/>
      <c r="F101" s="32"/>
      <c r="G101" s="32">
        <f t="shared" si="30"/>
        <v>1.5000000000000013</v>
      </c>
      <c r="H101" s="90"/>
      <c r="I101" s="75"/>
      <c r="M101" s="80">
        <f>(F101+G101)*('Data Kystruten'!$B$3+'Data Kystruten'!$B$4)</f>
        <v>5.2500000000000044</v>
      </c>
      <c r="N101" s="80">
        <f>M101/'Data Kystruten'!$B$43</f>
        <v>14.311318110016268</v>
      </c>
      <c r="O101" s="23">
        <f>N101/'Data Kystruten'!$B$17</f>
        <v>0.42938248154864295</v>
      </c>
      <c r="P101" s="23">
        <f t="shared" si="33"/>
        <v>1.5511951353099545</v>
      </c>
      <c r="Q101" s="23"/>
      <c r="R101" s="80">
        <f t="shared" si="26"/>
        <v>1.5511951353099545</v>
      </c>
      <c r="S101" s="94">
        <f t="shared" si="24"/>
        <v>33.004151815105416</v>
      </c>
      <c r="Y101" s="54">
        <v>0</v>
      </c>
      <c r="AA101">
        <f>(Z101*'Data Kystruten'!$B$43*'Data Kystruten'!$B$17)/'Data Kystruten'!$B$42</f>
        <v>0</v>
      </c>
      <c r="AB101">
        <f>(AA101*3.6)/'Data Kystruten'!$B$10</f>
        <v>0</v>
      </c>
      <c r="AC101" s="23">
        <f t="shared" si="34"/>
        <v>6.6808703098699791</v>
      </c>
      <c r="AD101" s="96">
        <f t="shared" si="25"/>
        <v>100</v>
      </c>
    </row>
    <row r="102" spans="1:30">
      <c r="A102" s="35"/>
      <c r="B102" s="24" t="s">
        <v>120</v>
      </c>
      <c r="C102" s="24"/>
      <c r="D102" s="34">
        <v>0.52083333333333337</v>
      </c>
      <c r="E102" s="34">
        <v>0.54166666666666663</v>
      </c>
      <c r="F102" s="32">
        <f t="shared" si="27"/>
        <v>0.49999999999999822</v>
      </c>
      <c r="G102" s="32"/>
      <c r="H102" s="90">
        <v>0</v>
      </c>
      <c r="I102" s="75"/>
      <c r="M102" s="80">
        <f>(F102+G102)*('Data Kystruten'!$B$3+'Data Kystruten'!$B$4)</f>
        <v>1.7499999999999938</v>
      </c>
      <c r="N102" s="80">
        <f>M102/'Data Kystruten'!$B$43</f>
        <v>4.770439370005402</v>
      </c>
      <c r="O102" s="23">
        <f>N102/'Data Kystruten'!$B$17</f>
        <v>0.14312749384954701</v>
      </c>
      <c r="P102" s="23">
        <f t="shared" si="33"/>
        <v>1.4080676414604074</v>
      </c>
      <c r="Q102" s="23"/>
      <c r="R102" s="80">
        <f t="shared" si="26"/>
        <v>1.4080676414604074</v>
      </c>
      <c r="S102" s="94">
        <f t="shared" si="24"/>
        <v>29.958885988519306</v>
      </c>
      <c r="Y102" s="54">
        <v>0</v>
      </c>
      <c r="AA102">
        <f>(Z102*'Data Kystruten'!$B$43*'Data Kystruten'!$B$17)/'Data Kystruten'!$B$42</f>
        <v>0</v>
      </c>
      <c r="AB102">
        <f>(AA102*3.6)/'Data Kystruten'!$B$10</f>
        <v>0</v>
      </c>
      <c r="AC102" s="23">
        <f t="shared" si="34"/>
        <v>6.6808703098699791</v>
      </c>
      <c r="AD102" s="96">
        <f t="shared" si="25"/>
        <v>100</v>
      </c>
    </row>
    <row r="103" spans="1:30">
      <c r="A103" s="35"/>
      <c r="B103" s="24"/>
      <c r="C103" s="24"/>
      <c r="D103" s="24"/>
      <c r="E103" s="24"/>
      <c r="F103" s="32"/>
      <c r="G103" s="32">
        <f t="shared" si="30"/>
        <v>1.2500000000000009</v>
      </c>
      <c r="H103" s="90"/>
      <c r="I103" s="75"/>
      <c r="M103" s="80">
        <f>(F103+G103)*('Data Kystruten'!$B$3+'Data Kystruten'!$B$4)</f>
        <v>4.3750000000000036</v>
      </c>
      <c r="N103" s="80">
        <f>M103/'Data Kystruten'!$B$43</f>
        <v>11.926098425013556</v>
      </c>
      <c r="O103" s="23">
        <f>N103/'Data Kystruten'!$B$17</f>
        <v>0.35781873462386909</v>
      </c>
      <c r="P103" s="23">
        <f t="shared" si="33"/>
        <v>1.0502489068365384</v>
      </c>
      <c r="Q103" s="23"/>
      <c r="R103" s="80">
        <f t="shared" si="26"/>
        <v>1.0502489068365384</v>
      </c>
      <c r="S103" s="94">
        <f t="shared" si="24"/>
        <v>22.345721422054009</v>
      </c>
      <c r="Y103" s="54">
        <v>0</v>
      </c>
      <c r="AA103">
        <f>(Z103*'Data Kystruten'!$B$43*'Data Kystruten'!$B$17)/'Data Kystruten'!$B$42</f>
        <v>0</v>
      </c>
      <c r="AB103">
        <f>(AA103*3.6)/'Data Kystruten'!$B$10</f>
        <v>0</v>
      </c>
      <c r="AC103" s="23">
        <f t="shared" si="34"/>
        <v>6.6808703098699791</v>
      </c>
      <c r="AD103" s="96">
        <f t="shared" si="25"/>
        <v>100</v>
      </c>
    </row>
    <row r="104" spans="1:30">
      <c r="A104" s="35"/>
      <c r="B104" s="24" t="s">
        <v>119</v>
      </c>
      <c r="C104" s="24"/>
      <c r="D104" s="34">
        <v>0.59375</v>
      </c>
      <c r="E104" s="34">
        <v>0.63541666666666663</v>
      </c>
      <c r="F104" s="32">
        <f t="shared" si="27"/>
        <v>0.99999999999999911</v>
      </c>
      <c r="G104" s="32"/>
      <c r="H104" s="90">
        <f>F104-('Data Kystruten'!$B$51*2)</f>
        <v>-8.8817841970012523E-16</v>
      </c>
      <c r="I104" s="75"/>
      <c r="M104" s="80">
        <f>(F104+G104)*('Data Kystruten'!$B$3+'Data Kystruten'!$B$4)</f>
        <v>3.4999999999999969</v>
      </c>
      <c r="N104" s="80">
        <f>M104/'Data Kystruten'!$B$43</f>
        <v>9.5408787400108288</v>
      </c>
      <c r="O104" s="23">
        <f>N104/'Data Kystruten'!$B$17</f>
        <v>0.2862549876990948</v>
      </c>
      <c r="P104" s="23">
        <f t="shared" si="33"/>
        <v>0.76399391913744363</v>
      </c>
      <c r="Q104" s="23"/>
      <c r="R104" s="80">
        <f t="shared" si="26"/>
        <v>0.76399391913744363</v>
      </c>
      <c r="S104" s="94">
        <f t="shared" si="24"/>
        <v>16.255189768881777</v>
      </c>
      <c r="Y104" s="54">
        <v>0</v>
      </c>
      <c r="AA104">
        <f>(Z104*'Data Kystruten'!$B$43*'Data Kystruten'!$B$17)/'Data Kystruten'!$B$42</f>
        <v>0</v>
      </c>
      <c r="AB104">
        <f>(AA104*3.6)/'Data Kystruten'!$B$10</f>
        <v>0</v>
      </c>
      <c r="AC104" s="23">
        <f t="shared" si="34"/>
        <v>6.6808703098699791</v>
      </c>
      <c r="AD104" s="96">
        <f t="shared" si="25"/>
        <v>100</v>
      </c>
    </row>
    <row r="105" spans="1:30">
      <c r="A105" s="35"/>
      <c r="B105" s="24"/>
      <c r="C105" s="24"/>
      <c r="D105" s="24"/>
      <c r="E105" s="24"/>
      <c r="F105" s="32"/>
      <c r="G105" s="32">
        <f t="shared" si="30"/>
        <v>3.2500000000000018</v>
      </c>
      <c r="H105" s="90"/>
      <c r="I105" s="75"/>
      <c r="M105" s="80">
        <f>(F105+G105)*('Data Kystruten'!$B$3+'Data Kystruten'!$B$4)</f>
        <v>11.375000000000007</v>
      </c>
      <c r="N105" s="80">
        <f>M105/'Data Kystruten'!$B$43</f>
        <v>31.007855905035242</v>
      </c>
      <c r="O105" s="23">
        <f>N105/'Data Kystruten'!$B$17</f>
        <v>0.93032871002205952</v>
      </c>
      <c r="P105" s="23">
        <f t="shared" si="33"/>
        <v>-0.16633479088461589</v>
      </c>
      <c r="Q105" s="23"/>
      <c r="R105" s="80">
        <v>0</v>
      </c>
      <c r="S105" s="94">
        <f t="shared" si="24"/>
        <v>0</v>
      </c>
      <c r="Y105" s="80">
        <f>-P105</f>
        <v>0.16633479088461589</v>
      </c>
      <c r="Z105" s="23">
        <f>Y105</f>
        <v>0.16633479088461589</v>
      </c>
      <c r="AA105" s="23">
        <f>(Z105*'Data Kystruten'!$B$43*'Data Kystruten'!$B$17)/'Data Kystruten'!$B$42</f>
        <v>6.1953513633558952</v>
      </c>
      <c r="AB105" s="23">
        <f>(AA105*3.6)/'Data Kystruten'!$B$10</f>
        <v>0.45239888251686056</v>
      </c>
      <c r="AC105" s="23">
        <f>AC104-AB105</f>
        <v>6.228471427353119</v>
      </c>
      <c r="AD105" s="96">
        <f t="shared" si="25"/>
        <v>93.22844387731179</v>
      </c>
    </row>
    <row r="106" spans="1:30">
      <c r="A106" s="35"/>
      <c r="B106" s="24" t="s">
        <v>141</v>
      </c>
      <c r="C106" s="24"/>
      <c r="D106" s="34">
        <v>0.77083333333333337</v>
      </c>
      <c r="E106" s="34">
        <v>0.85416666666666663</v>
      </c>
      <c r="F106" s="32">
        <f t="shared" si="27"/>
        <v>1.9999999999999982</v>
      </c>
      <c r="G106" s="32"/>
      <c r="H106" s="90">
        <f>F106-('Data Kystruten'!$B$51*2)</f>
        <v>0.99999999999999822</v>
      </c>
      <c r="I106" s="75"/>
      <c r="M106" s="80">
        <f>(F106+G106)*('Data Kystruten'!$B$3+'Data Kystruten'!$B$4)</f>
        <v>6.9999999999999938</v>
      </c>
      <c r="N106" s="80">
        <f>M106/'Data Kystruten'!$B$43</f>
        <v>19.081757480021658</v>
      </c>
      <c r="O106" s="23">
        <f>N106/'Data Kystruten'!$B$17</f>
        <v>0.5725099753981896</v>
      </c>
      <c r="P106" s="23">
        <f t="shared" si="33"/>
        <v>-0.73884476628280549</v>
      </c>
      <c r="Q106" s="23"/>
      <c r="R106" s="80">
        <v>0</v>
      </c>
      <c r="S106" s="94">
        <f t="shared" si="24"/>
        <v>0</v>
      </c>
      <c r="Y106" s="80">
        <f t="shared" ref="Y106:Y108" si="35">-P106</f>
        <v>0.73884476628280549</v>
      </c>
      <c r="Z106" s="23">
        <f>Y106-Y105</f>
        <v>0.5725099753981896</v>
      </c>
      <c r="AA106" s="23">
        <f>(Z106*'Data Kystruten'!$B$43*'Data Kystruten'!$B$17)/'Data Kystruten'!$B$42</f>
        <v>21.323863983924198</v>
      </c>
      <c r="AB106" s="23">
        <f>(AA106*3.6)/'Data Kystruten'!$B$10</f>
        <v>1.5571178568382782</v>
      </c>
      <c r="AC106" s="23">
        <f t="shared" ref="AC106:AC109" si="36">AC105-AB106</f>
        <v>4.6713535705148406</v>
      </c>
      <c r="AD106" s="96">
        <f t="shared" si="25"/>
        <v>69.921332907983853</v>
      </c>
    </row>
    <row r="107" spans="1:30">
      <c r="A107" s="35"/>
      <c r="B107" s="24"/>
      <c r="C107" s="24"/>
      <c r="D107" s="24"/>
      <c r="E107" s="24"/>
      <c r="F107" s="32"/>
      <c r="G107" s="32">
        <f t="shared" si="30"/>
        <v>1.5</v>
      </c>
      <c r="H107" s="90"/>
      <c r="I107" s="75"/>
      <c r="M107" s="80">
        <f>(F107+G107)*('Data Kystruten'!$B$3+'Data Kystruten'!$B$4)</f>
        <v>5.25</v>
      </c>
      <c r="N107" s="80">
        <f>M107/'Data Kystruten'!$B$43</f>
        <v>14.311318110016256</v>
      </c>
      <c r="O107" s="23">
        <f>N107/'Data Kystruten'!$B$17</f>
        <v>0.42938248154864256</v>
      </c>
      <c r="P107" s="23">
        <f t="shared" si="33"/>
        <v>-1.1682272478314482</v>
      </c>
      <c r="Q107" s="23"/>
      <c r="R107" s="80">
        <v>0</v>
      </c>
      <c r="S107" s="94">
        <f t="shared" si="24"/>
        <v>0</v>
      </c>
      <c r="Y107" s="80">
        <f t="shared" si="35"/>
        <v>1.1682272478314482</v>
      </c>
      <c r="Z107" s="23">
        <f t="shared" ref="Z107:Z109" si="37">Y107-Y106</f>
        <v>0.42938248154864267</v>
      </c>
      <c r="AA107" s="23">
        <f>(Z107*'Data Kystruten'!$B$43*'Data Kystruten'!$B$17)/'Data Kystruten'!$B$42</f>
        <v>15.992897987943168</v>
      </c>
      <c r="AB107" s="23">
        <f>(AA107*3.6)/'Data Kystruten'!$B$10</f>
        <v>1.1678383926287101</v>
      </c>
      <c r="AC107" s="23">
        <f t="shared" si="36"/>
        <v>3.5035151778861304</v>
      </c>
      <c r="AD107" s="96">
        <f t="shared" si="25"/>
        <v>52.440999680987886</v>
      </c>
    </row>
    <row r="108" spans="1:30">
      <c r="A108" s="35"/>
      <c r="B108" s="24" t="s">
        <v>116</v>
      </c>
      <c r="C108" s="24"/>
      <c r="D108" s="34">
        <v>0.91666666666666663</v>
      </c>
      <c r="E108" s="34">
        <v>0.9375</v>
      </c>
      <c r="F108" s="32">
        <f t="shared" si="27"/>
        <v>0.50000000000000089</v>
      </c>
      <c r="G108" s="32"/>
      <c r="H108" s="90">
        <v>0</v>
      </c>
      <c r="I108" s="75"/>
      <c r="M108" s="80">
        <f>(F108+G108)*('Data Kystruten'!$B$3+'Data Kystruten'!$B$4)</f>
        <v>1.7500000000000031</v>
      </c>
      <c r="N108" s="80">
        <f>M108/'Data Kystruten'!$B$43</f>
        <v>4.7704393700054268</v>
      </c>
      <c r="O108" s="23">
        <f>N108/'Data Kystruten'!$B$17</f>
        <v>0.14312749384954776</v>
      </c>
      <c r="P108" s="23">
        <f t="shared" si="33"/>
        <v>-1.3113547416809959</v>
      </c>
      <c r="Q108" s="23"/>
      <c r="R108" s="80">
        <v>0</v>
      </c>
      <c r="S108" s="94">
        <f t="shared" si="24"/>
        <v>0</v>
      </c>
      <c r="Y108" s="80">
        <f t="shared" si="35"/>
        <v>1.3113547416809959</v>
      </c>
      <c r="Z108" s="23">
        <f t="shared" si="37"/>
        <v>0.1431274938495477</v>
      </c>
      <c r="AA108" s="23">
        <f>(Z108*'Data Kystruten'!$B$43*'Data Kystruten'!$B$17)/'Data Kystruten'!$B$42</f>
        <v>5.3309659959810611</v>
      </c>
      <c r="AB108" s="23">
        <f>(AA108*3.6)/'Data Kystruten'!$B$10</f>
        <v>0.38927946420957044</v>
      </c>
      <c r="AC108" s="23">
        <f t="shared" si="36"/>
        <v>3.1142357136765599</v>
      </c>
      <c r="AD108" s="96">
        <f t="shared" si="25"/>
        <v>46.614221938655895</v>
      </c>
    </row>
    <row r="109" spans="1:30">
      <c r="A109" s="35"/>
      <c r="B109" s="24"/>
      <c r="C109" s="24"/>
      <c r="D109" s="24"/>
      <c r="E109" s="24"/>
      <c r="F109" s="32"/>
      <c r="G109" s="32">
        <v>4</v>
      </c>
      <c r="H109" s="90"/>
      <c r="I109" s="75"/>
      <c r="M109" s="80">
        <f>(F109+G109)*('Data Kystruten'!$B$3+'Data Kystruten'!$B$4)</f>
        <v>14</v>
      </c>
      <c r="N109" s="80">
        <f>M109/'Data Kystruten'!$B$43</f>
        <v>38.163514960043351</v>
      </c>
      <c r="O109" s="23">
        <f>N109/'Data Kystruten'!$B$17</f>
        <v>1.1450199507963803</v>
      </c>
      <c r="P109" s="98">
        <f t="shared" si="33"/>
        <v>-2.4563746924773762</v>
      </c>
      <c r="Q109" s="23"/>
      <c r="R109" s="80">
        <v>0</v>
      </c>
      <c r="S109" s="94">
        <f t="shared" si="24"/>
        <v>0</v>
      </c>
      <c r="Y109" s="80">
        <f>-P109</f>
        <v>2.4563746924773762</v>
      </c>
      <c r="Z109" s="23">
        <f t="shared" si="37"/>
        <v>1.1450199507963803</v>
      </c>
      <c r="AA109" s="23">
        <f>(Z109*'Data Kystruten'!$B$43*'Data Kystruten'!$B$17)/'Data Kystruten'!$B$42</f>
        <v>42.647727967848439</v>
      </c>
      <c r="AB109" s="23">
        <f>(AA109*3.6)/'Data Kystruten'!$B$10</f>
        <v>3.1142357136765599</v>
      </c>
      <c r="AC109" s="23">
        <f t="shared" si="36"/>
        <v>0</v>
      </c>
      <c r="AD109" s="96">
        <f t="shared" si="25"/>
        <v>0</v>
      </c>
    </row>
    <row r="110" spans="1:30">
      <c r="A110" s="38" t="s">
        <v>142</v>
      </c>
      <c r="B110" s="39" t="s">
        <v>115</v>
      </c>
      <c r="C110" s="39" t="s">
        <v>98</v>
      </c>
      <c r="D110" s="47">
        <v>0.10416666666666667</v>
      </c>
      <c r="E110" s="47">
        <v>0.15625</v>
      </c>
      <c r="F110" s="91">
        <f>F94</f>
        <v>3.35</v>
      </c>
      <c r="G110" s="42"/>
      <c r="H110" s="42">
        <f>F110-('Data Kystruten'!$B$51*2)</f>
        <v>2.35</v>
      </c>
      <c r="I110" s="76">
        <f>(E110-D110)*24</f>
        <v>1.25</v>
      </c>
      <c r="J110" s="23"/>
      <c r="M110" s="45">
        <f>(F110+G110)*('Data Kystruten'!$B$3+'Data Kystruten'!$B$4)</f>
        <v>11.725</v>
      </c>
      <c r="N110" s="45">
        <f>M110/'Data Kystruten'!$B$43</f>
        <v>31.961943779036304</v>
      </c>
      <c r="O110" s="45">
        <f>N110/'Data Kystruten'!$B$17</f>
        <v>0.95895420879196835</v>
      </c>
      <c r="P110" s="45">
        <f>P94</f>
        <v>4.7</v>
      </c>
      <c r="Q110" s="45">
        <f>P110+O110</f>
        <v>5.6589542087919682</v>
      </c>
      <c r="R110" s="45">
        <f t="shared" si="26"/>
        <v>4.7</v>
      </c>
      <c r="S110" s="94">
        <f t="shared" si="24"/>
        <v>100</v>
      </c>
      <c r="Y110" s="44">
        <v>0</v>
      </c>
      <c r="Z110" s="44"/>
      <c r="AA110" s="44">
        <f>(Z110*'Data Kystruten'!$B$43*'Data Kystruten'!$B$17)/'Data Kystruten'!$B$42</f>
        <v>0</v>
      </c>
      <c r="AB110" s="44">
        <f>(AA110*3.6)/'Data Kystruten'!$B$10</f>
        <v>0</v>
      </c>
      <c r="AC110" s="45">
        <f>AC94</f>
        <v>6.6808703098699791</v>
      </c>
      <c r="AD110" s="95">
        <f t="shared" si="25"/>
        <v>100</v>
      </c>
    </row>
    <row r="111" spans="1:30">
      <c r="A111" s="35"/>
      <c r="B111" s="24"/>
      <c r="C111" s="24"/>
      <c r="D111" s="24"/>
      <c r="E111" s="24"/>
      <c r="F111" s="32"/>
      <c r="G111" s="32">
        <f t="shared" si="30"/>
        <v>2.916666666666667</v>
      </c>
      <c r="H111" s="90"/>
      <c r="I111" s="75"/>
      <c r="M111" s="80">
        <f>(F111+G111)*('Data Kystruten'!$B$3+'Data Kystruten'!$B$4)</f>
        <v>10.208333333333334</v>
      </c>
      <c r="N111" s="23">
        <f>M111/'Data Kystruten'!$B$43</f>
        <v>27.827562991698279</v>
      </c>
      <c r="O111" s="23">
        <f>N111/'Data Kystruten'!$B$17</f>
        <v>0.83491038078902735</v>
      </c>
      <c r="P111" s="23">
        <f>P110-O111</f>
        <v>3.8650896192109729</v>
      </c>
      <c r="Q111" s="23"/>
      <c r="R111" s="80">
        <f t="shared" si="26"/>
        <v>3.8650896192109729</v>
      </c>
      <c r="S111" s="94">
        <f t="shared" si="24"/>
        <v>82.235949344914317</v>
      </c>
      <c r="Y111" s="54">
        <v>0</v>
      </c>
      <c r="AA111">
        <f>(Z111*'Data Kystruten'!$B$43*'Data Kystruten'!$B$17)/'Data Kystruten'!$B$42</f>
        <v>0</v>
      </c>
      <c r="AB111">
        <f>(AA111*3.6)/'Data Kystruten'!$B$10</f>
        <v>0</v>
      </c>
      <c r="AC111" s="23">
        <f>AC110</f>
        <v>6.6808703098699791</v>
      </c>
      <c r="AD111" s="96">
        <f t="shared" si="25"/>
        <v>100</v>
      </c>
    </row>
    <row r="112" spans="1:30">
      <c r="A112" s="35"/>
      <c r="B112" s="24" t="s">
        <v>114</v>
      </c>
      <c r="C112" s="24"/>
      <c r="D112" s="34">
        <v>0.27777777777777779</v>
      </c>
      <c r="E112" s="34">
        <v>0.28472222222222221</v>
      </c>
      <c r="F112" s="32">
        <f t="shared" si="27"/>
        <v>0.16666666666666607</v>
      </c>
      <c r="G112" s="32"/>
      <c r="H112" s="90">
        <v>0</v>
      </c>
      <c r="I112" s="75"/>
      <c r="M112" s="80">
        <f>(F112+G112)*('Data Kystruten'!$B$3+'Data Kystruten'!$B$4)</f>
        <v>0.58333333333333126</v>
      </c>
      <c r="N112" s="23">
        <f>M112/'Data Kystruten'!$B$43</f>
        <v>1.5901464566684673</v>
      </c>
      <c r="O112" s="23">
        <f>N112/'Data Kystruten'!$B$17</f>
        <v>4.7709164616515677E-2</v>
      </c>
      <c r="P112" s="23">
        <f t="shared" ref="P112:P121" si="38">P111-O112</f>
        <v>3.8173804545944572</v>
      </c>
      <c r="Q112" s="23"/>
      <c r="R112" s="80">
        <f t="shared" si="26"/>
        <v>3.8173804545944572</v>
      </c>
      <c r="S112" s="94">
        <f t="shared" si="24"/>
        <v>81.220860736052288</v>
      </c>
      <c r="Y112" s="54">
        <v>0</v>
      </c>
      <c r="AA112">
        <f>(Z112*'Data Kystruten'!$B$43*'Data Kystruten'!$B$17)/'Data Kystruten'!$B$42</f>
        <v>0</v>
      </c>
      <c r="AB112">
        <f>(AA112*3.6)/'Data Kystruten'!$B$10</f>
        <v>0</v>
      </c>
      <c r="AC112" s="23">
        <f t="shared" ref="AC112:AC118" si="39">AC111</f>
        <v>6.6808703098699791</v>
      </c>
      <c r="AD112" s="96">
        <f t="shared" si="25"/>
        <v>100</v>
      </c>
    </row>
    <row r="113" spans="1:30">
      <c r="A113" s="35"/>
      <c r="B113" s="24"/>
      <c r="C113" s="24"/>
      <c r="D113" s="24"/>
      <c r="E113" s="24"/>
      <c r="F113" s="32"/>
      <c r="G113" s="32">
        <f t="shared" si="30"/>
        <v>3.5833333333333326</v>
      </c>
      <c r="H113" s="90"/>
      <c r="I113" s="75"/>
      <c r="M113" s="80">
        <f>(F113+G113)*('Data Kystruten'!$B$3+'Data Kystruten'!$B$4)</f>
        <v>12.541666666666664</v>
      </c>
      <c r="N113" s="23">
        <f>M113/'Data Kystruten'!$B$43</f>
        <v>34.188148818372163</v>
      </c>
      <c r="O113" s="23">
        <f>N113/'Data Kystruten'!$B$17</f>
        <v>1.0257470392550905</v>
      </c>
      <c r="P113" s="23">
        <f t="shared" si="38"/>
        <v>2.7916334153393665</v>
      </c>
      <c r="Q113" s="23"/>
      <c r="R113" s="80">
        <f t="shared" si="26"/>
        <v>2.7916334153393665</v>
      </c>
      <c r="S113" s="94">
        <f t="shared" si="24"/>
        <v>59.396455645518429</v>
      </c>
      <c r="Y113" s="54">
        <v>0</v>
      </c>
      <c r="AA113">
        <f>(Z113*'Data Kystruten'!$B$43*'Data Kystruten'!$B$17)/'Data Kystruten'!$B$42</f>
        <v>0</v>
      </c>
      <c r="AB113">
        <f>(AA113*3.6)/'Data Kystruten'!$B$10</f>
        <v>0</v>
      </c>
      <c r="AC113" s="23">
        <f t="shared" si="39"/>
        <v>6.6808703098699791</v>
      </c>
      <c r="AD113" s="96">
        <f t="shared" si="25"/>
        <v>100</v>
      </c>
    </row>
    <row r="114" spans="1:30">
      <c r="A114" s="35"/>
      <c r="B114" s="24" t="s">
        <v>143</v>
      </c>
      <c r="C114" s="24"/>
      <c r="D114" s="34">
        <v>0.43402777777777773</v>
      </c>
      <c r="E114" s="34">
        <v>0.44097222222222227</v>
      </c>
      <c r="F114" s="32">
        <f t="shared" si="27"/>
        <v>0.16666666666666874</v>
      </c>
      <c r="G114" s="32"/>
      <c r="H114" s="90">
        <v>0</v>
      </c>
      <c r="I114" s="75"/>
      <c r="M114" s="80">
        <f>(F114+G114)*('Data Kystruten'!$B$3+'Data Kystruten'!$B$4)</f>
        <v>0.58333333333334059</v>
      </c>
      <c r="N114" s="23">
        <f>M114/'Data Kystruten'!$B$43</f>
        <v>1.5901464566684926</v>
      </c>
      <c r="O114" s="23">
        <f>N114/'Data Kystruten'!$B$17</f>
        <v>4.7709164616516433E-2</v>
      </c>
      <c r="P114" s="23">
        <f t="shared" si="38"/>
        <v>2.7439242507228498</v>
      </c>
      <c r="Q114" s="23"/>
      <c r="R114" s="80">
        <f t="shared" si="26"/>
        <v>2.7439242507228498</v>
      </c>
      <c r="S114" s="94">
        <f t="shared" si="24"/>
        <v>58.381367036656371</v>
      </c>
      <c r="Y114" s="54">
        <v>0</v>
      </c>
      <c r="AA114">
        <f>(Z114*'Data Kystruten'!$B$43*'Data Kystruten'!$B$17)/'Data Kystruten'!$B$42</f>
        <v>0</v>
      </c>
      <c r="AB114">
        <f>(AA114*3.6)/'Data Kystruten'!$B$10</f>
        <v>0</v>
      </c>
      <c r="AC114" s="23">
        <f t="shared" si="39"/>
        <v>6.6808703098699791</v>
      </c>
      <c r="AD114" s="96">
        <f t="shared" si="25"/>
        <v>100</v>
      </c>
    </row>
    <row r="115" spans="1:30">
      <c r="A115" s="35"/>
      <c r="B115" s="24"/>
      <c r="C115" s="24"/>
      <c r="D115" s="24"/>
      <c r="E115" s="24"/>
      <c r="F115" s="32"/>
      <c r="G115" s="32">
        <f t="shared" si="30"/>
        <v>1.1666666666666652</v>
      </c>
      <c r="H115" s="90"/>
      <c r="I115" s="75"/>
      <c r="M115" s="80">
        <f>(F115+G115)*('Data Kystruten'!$B$3+'Data Kystruten'!$B$4)</f>
        <v>4.0833333333333286</v>
      </c>
      <c r="N115" s="23">
        <f>M115/'Data Kystruten'!$B$43</f>
        <v>11.131025196679298</v>
      </c>
      <c r="O115" s="23">
        <f>N115/'Data Kystruten'!$B$17</f>
        <v>0.3339641523156105</v>
      </c>
      <c r="P115" s="23">
        <f t="shared" si="38"/>
        <v>2.4099600984072396</v>
      </c>
      <c r="Q115" s="23"/>
      <c r="R115" s="80">
        <f t="shared" si="26"/>
        <v>2.4099600984072396</v>
      </c>
      <c r="S115" s="94">
        <f t="shared" si="24"/>
        <v>51.275746774622121</v>
      </c>
      <c r="Y115" s="54">
        <v>0</v>
      </c>
      <c r="AA115">
        <f>(Z115*'Data Kystruten'!$B$43*'Data Kystruten'!$B$17)/'Data Kystruten'!$B$42</f>
        <v>0</v>
      </c>
      <c r="AB115">
        <f>(AA115*3.6)/'Data Kystruten'!$B$10</f>
        <v>0</v>
      </c>
      <c r="AC115" s="23">
        <f t="shared" si="39"/>
        <v>6.6808703098699791</v>
      </c>
      <c r="AD115" s="96">
        <f t="shared" si="25"/>
        <v>100</v>
      </c>
    </row>
    <row r="116" spans="1:30">
      <c r="A116" s="35"/>
      <c r="B116" s="24" t="s">
        <v>111</v>
      </c>
      <c r="C116" s="25" t="s">
        <v>363</v>
      </c>
      <c r="D116" s="34">
        <v>0.48958333333333331</v>
      </c>
      <c r="E116" s="34">
        <v>0.51041666666666663</v>
      </c>
      <c r="F116" s="32">
        <f t="shared" si="27"/>
        <v>0.49999999999999956</v>
      </c>
      <c r="G116" s="32"/>
      <c r="H116" s="90">
        <v>0</v>
      </c>
      <c r="I116" s="75"/>
      <c r="M116" s="80">
        <f>(F116+G116)*('Data Kystruten'!$B$3+'Data Kystruten'!$B$4)</f>
        <v>1.7499999999999984</v>
      </c>
      <c r="N116" s="23">
        <f>M116/'Data Kystruten'!$B$43</f>
        <v>4.7704393700054144</v>
      </c>
      <c r="O116" s="23">
        <f>N116/'Data Kystruten'!$B$17</f>
        <v>0.1431274938495474</v>
      </c>
      <c r="P116" s="23">
        <f t="shared" si="38"/>
        <v>2.2668326045576923</v>
      </c>
      <c r="Q116" s="23"/>
      <c r="R116" s="80">
        <f t="shared" si="26"/>
        <v>2.2668326045576923</v>
      </c>
      <c r="S116" s="94">
        <f t="shared" si="24"/>
        <v>48.230480948036003</v>
      </c>
      <c r="Y116" s="54">
        <v>0</v>
      </c>
      <c r="AA116">
        <f>(Z116*'Data Kystruten'!$B$43*'Data Kystruten'!$B$17)/'Data Kystruten'!$B$42</f>
        <v>0</v>
      </c>
      <c r="AB116">
        <f>(AA116*3.6)/'Data Kystruten'!$B$10</f>
        <v>0</v>
      </c>
      <c r="AC116" s="23">
        <f t="shared" si="39"/>
        <v>6.6808703098699791</v>
      </c>
      <c r="AD116" s="96">
        <f t="shared" si="25"/>
        <v>100</v>
      </c>
    </row>
    <row r="117" spans="1:30">
      <c r="A117" s="35"/>
      <c r="B117" s="24"/>
      <c r="C117" s="24"/>
      <c r="D117" s="24"/>
      <c r="E117" s="24"/>
      <c r="F117" s="32"/>
      <c r="G117" s="32">
        <f t="shared" si="30"/>
        <v>2.7500000000000009</v>
      </c>
      <c r="H117" s="90"/>
      <c r="I117" s="75"/>
      <c r="M117" s="80">
        <f>(F117+G117)*('Data Kystruten'!$B$3+'Data Kystruten'!$B$4)</f>
        <v>9.6250000000000036</v>
      </c>
      <c r="N117" s="23">
        <f>M117/'Data Kystruten'!$B$43</f>
        <v>26.237416535029812</v>
      </c>
      <c r="O117" s="23">
        <f>N117/'Data Kystruten'!$B$17</f>
        <v>0.78720121617251171</v>
      </c>
      <c r="P117" s="23">
        <f t="shared" si="38"/>
        <v>1.4796313883851806</v>
      </c>
      <c r="Q117" s="23"/>
      <c r="R117" s="80">
        <f t="shared" si="26"/>
        <v>1.4796313883851806</v>
      </c>
      <c r="S117" s="94">
        <f t="shared" si="24"/>
        <v>31.48151890181235</v>
      </c>
      <c r="Y117" s="54">
        <v>0</v>
      </c>
      <c r="AA117">
        <f>(Z117*'Data Kystruten'!$B$43*'Data Kystruten'!$B$17)/'Data Kystruten'!$B$42</f>
        <v>0</v>
      </c>
      <c r="AB117">
        <f>(AA117*3.6)/'Data Kystruten'!$B$10</f>
        <v>0</v>
      </c>
      <c r="AC117" s="23">
        <f t="shared" si="39"/>
        <v>6.6808703098699791</v>
      </c>
      <c r="AD117" s="96">
        <f t="shared" si="25"/>
        <v>100</v>
      </c>
    </row>
    <row r="118" spans="1:30">
      <c r="A118" s="35"/>
      <c r="B118" s="24" t="s">
        <v>110</v>
      </c>
      <c r="C118" s="24"/>
      <c r="D118" s="34">
        <v>0.625</v>
      </c>
      <c r="E118" s="34">
        <v>0.72916666666666663</v>
      </c>
      <c r="F118" s="32">
        <f t="shared" si="27"/>
        <v>2.4999999999999991</v>
      </c>
      <c r="G118" s="32"/>
      <c r="H118" s="90">
        <f>F118-('Data Kystruten'!$B$51*2)</f>
        <v>1.4999999999999991</v>
      </c>
      <c r="I118" s="75"/>
      <c r="M118" s="80">
        <f>(F118+G118)*('Data Kystruten'!$B$3+'Data Kystruten'!$B$4)</f>
        <v>8.7499999999999964</v>
      </c>
      <c r="N118" s="23">
        <f>M118/'Data Kystruten'!$B$43</f>
        <v>23.852196850027084</v>
      </c>
      <c r="O118" s="23">
        <f>N118/'Data Kystruten'!$B$17</f>
        <v>0.7156374692477373</v>
      </c>
      <c r="P118" s="23">
        <f t="shared" si="38"/>
        <v>0.7639939191374433</v>
      </c>
      <c r="Q118" s="23"/>
      <c r="R118" s="80">
        <f t="shared" si="26"/>
        <v>0.7639939191374433</v>
      </c>
      <c r="S118" s="94">
        <f t="shared" si="24"/>
        <v>16.255189768881774</v>
      </c>
      <c r="Y118" s="54">
        <v>0</v>
      </c>
      <c r="AA118">
        <f>(Z118*'Data Kystruten'!$B$43*'Data Kystruten'!$B$17)/'Data Kystruten'!$B$42</f>
        <v>0</v>
      </c>
      <c r="AB118">
        <f>(AA118*3.6)/'Data Kystruten'!$B$10</f>
        <v>0</v>
      </c>
      <c r="AC118" s="23">
        <f t="shared" si="39"/>
        <v>6.6808703098699791</v>
      </c>
      <c r="AD118" s="96">
        <f t="shared" si="25"/>
        <v>100</v>
      </c>
    </row>
    <row r="119" spans="1:30">
      <c r="A119" s="35"/>
      <c r="B119" s="24"/>
      <c r="C119" s="24"/>
      <c r="D119" s="24"/>
      <c r="E119" s="24"/>
      <c r="F119" s="32"/>
      <c r="G119" s="32">
        <f t="shared" si="30"/>
        <v>3.5000000000000009</v>
      </c>
      <c r="H119" s="90"/>
      <c r="I119" s="75"/>
      <c r="M119" s="80">
        <f>(F119+G119)*('Data Kystruten'!$B$3+'Data Kystruten'!$B$4)</f>
        <v>12.250000000000004</v>
      </c>
      <c r="N119" s="23">
        <f>M119/'Data Kystruten'!$B$43</f>
        <v>33.393075590037938</v>
      </c>
      <c r="O119" s="23">
        <f>N119/'Data Kystruten'!$B$17</f>
        <v>1.0018924569468328</v>
      </c>
      <c r="P119" s="23">
        <f t="shared" si="38"/>
        <v>-0.23789853780938952</v>
      </c>
      <c r="Q119" s="23"/>
      <c r="R119" s="80">
        <v>0</v>
      </c>
      <c r="S119" s="94">
        <f t="shared" si="24"/>
        <v>0</v>
      </c>
      <c r="Y119" s="80">
        <f>-P119</f>
        <v>0.23789853780938952</v>
      </c>
      <c r="Z119" s="23">
        <f>Y119</f>
        <v>0.23789853780938952</v>
      </c>
      <c r="AA119" s="23">
        <f>(Z119*'Data Kystruten'!$B$43*'Data Kystruten'!$B$17)/'Data Kystruten'!$B$42</f>
        <v>8.8608343613464182</v>
      </c>
      <c r="AB119" s="23">
        <f>(AA119*3.6)/'Data Kystruten'!$B$10</f>
        <v>0.64703861462164525</v>
      </c>
      <c r="AC119" s="23">
        <f>AC118-AB119</f>
        <v>6.0338316952483337</v>
      </c>
      <c r="AD119" s="96">
        <f t="shared" si="25"/>
        <v>90.315055006145784</v>
      </c>
    </row>
    <row r="120" spans="1:30">
      <c r="A120" s="35"/>
      <c r="B120" s="24" t="s">
        <v>108</v>
      </c>
      <c r="C120" s="24"/>
      <c r="D120" s="34">
        <v>0.875</v>
      </c>
      <c r="E120" s="34">
        <v>0.89583333333333337</v>
      </c>
      <c r="F120" s="32">
        <f t="shared" si="27"/>
        <v>0.50000000000000089</v>
      </c>
      <c r="G120" s="32"/>
      <c r="H120" s="90">
        <v>0</v>
      </c>
      <c r="I120" s="75"/>
      <c r="M120" s="80">
        <f>(F120+G120)*('Data Kystruten'!$B$3+'Data Kystruten'!$B$4)</f>
        <v>1.7500000000000031</v>
      </c>
      <c r="N120" s="23">
        <f>M120/'Data Kystruten'!$B$43</f>
        <v>4.7704393700054268</v>
      </c>
      <c r="O120" s="23">
        <f>N120/'Data Kystruten'!$B$17</f>
        <v>0.14312749384954776</v>
      </c>
      <c r="P120" s="23">
        <f t="shared" si="38"/>
        <v>-0.38102603165893728</v>
      </c>
      <c r="Q120" s="23"/>
      <c r="R120" s="80">
        <v>0</v>
      </c>
      <c r="S120" s="94">
        <f t="shared" si="24"/>
        <v>0</v>
      </c>
      <c r="Y120" s="80">
        <f t="shared" ref="Y120:Y121" si="40">-P120</f>
        <v>0.38102603165893728</v>
      </c>
      <c r="Z120" s="23">
        <f>Y120-Y119</f>
        <v>0.14312749384954776</v>
      </c>
      <c r="AA120" s="23">
        <f>(Z120*'Data Kystruten'!$B$43*'Data Kystruten'!$B$17)/'Data Kystruten'!$B$42</f>
        <v>5.3309659959810629</v>
      </c>
      <c r="AB120" s="23">
        <f>(AA120*3.6)/'Data Kystruten'!$B$10</f>
        <v>0.3892794642095706</v>
      </c>
      <c r="AC120" s="23">
        <f t="shared" ref="AC120:AC121" si="41">AC119-AB120</f>
        <v>5.6445522310387632</v>
      </c>
      <c r="AD120" s="96">
        <f t="shared" si="25"/>
        <v>84.488277263813785</v>
      </c>
    </row>
    <row r="121" spans="1:30">
      <c r="A121" s="35"/>
      <c r="B121" s="24"/>
      <c r="C121" s="24"/>
      <c r="D121" s="24"/>
      <c r="E121" s="24"/>
      <c r="F121" s="32"/>
      <c r="G121" s="32">
        <v>7</v>
      </c>
      <c r="H121" s="90"/>
      <c r="I121" s="75"/>
      <c r="M121" s="80">
        <f>(F121+G121)*('Data Kystruten'!$B$3+'Data Kystruten'!$B$4)</f>
        <v>24.5</v>
      </c>
      <c r="N121" s="23">
        <f>M121/'Data Kystruten'!$B$43</f>
        <v>66.786151180075862</v>
      </c>
      <c r="O121" s="23">
        <f>N121/'Data Kystruten'!$B$17</f>
        <v>2.0037849138936652</v>
      </c>
      <c r="P121" s="23">
        <f t="shared" si="38"/>
        <v>-2.3848109455526023</v>
      </c>
      <c r="Q121" s="23"/>
      <c r="R121" s="80">
        <v>0</v>
      </c>
      <c r="S121" s="94">
        <f t="shared" si="24"/>
        <v>0</v>
      </c>
      <c r="Y121" s="80">
        <f t="shared" si="40"/>
        <v>2.3848109455526023</v>
      </c>
      <c r="Z121" s="23">
        <f>Y121-Y120</f>
        <v>2.0037849138936652</v>
      </c>
      <c r="AA121" s="23">
        <f>(Z121*'Data Kystruten'!$B$43*'Data Kystruten'!$B$17)/'Data Kystruten'!$B$42</f>
        <v>74.633523943734758</v>
      </c>
      <c r="AB121" s="23">
        <f>(AA121*3.6)/'Data Kystruten'!$B$10</f>
        <v>5.4499124989339789</v>
      </c>
      <c r="AC121" s="23">
        <f t="shared" si="41"/>
        <v>0.19463973210478436</v>
      </c>
      <c r="AD121" s="96">
        <f t="shared" si="25"/>
        <v>2.9133888711659841</v>
      </c>
    </row>
    <row r="122" spans="1:30">
      <c r="A122" s="38" t="s">
        <v>144</v>
      </c>
      <c r="B122" s="39" t="s">
        <v>107</v>
      </c>
      <c r="C122" s="39" t="s">
        <v>98</v>
      </c>
      <c r="D122" s="47">
        <v>0.27083333333333331</v>
      </c>
      <c r="E122" s="47">
        <v>0.40625</v>
      </c>
      <c r="F122" s="91">
        <f>F110</f>
        <v>3.35</v>
      </c>
      <c r="G122" s="42"/>
      <c r="H122" s="42">
        <f>F122-('Data Kystruten'!$B$51*2)</f>
        <v>2.35</v>
      </c>
      <c r="I122" s="76">
        <f>(E122-D122)*24</f>
        <v>3.2500000000000004</v>
      </c>
      <c r="J122" s="23"/>
      <c r="M122" s="45">
        <f>(F122+G122)*('Data Kystruten'!$B$3+'Data Kystruten'!$B$4)</f>
        <v>11.725</v>
      </c>
      <c r="N122" s="45">
        <f>M122/'Data Kystruten'!$B$43</f>
        <v>31.961943779036304</v>
      </c>
      <c r="O122" s="45">
        <f>N122/'Data Kystruten'!$B$17</f>
        <v>0.95895420879196835</v>
      </c>
      <c r="P122" s="45">
        <f>P110</f>
        <v>4.7</v>
      </c>
      <c r="Q122" s="45">
        <f>P122+O122</f>
        <v>5.6589542087919682</v>
      </c>
      <c r="R122" s="45">
        <f t="shared" si="26"/>
        <v>4.7</v>
      </c>
      <c r="S122" s="94">
        <f t="shared" si="24"/>
        <v>100</v>
      </c>
      <c r="Y122" s="44">
        <v>0</v>
      </c>
      <c r="Z122" s="44"/>
      <c r="AA122" s="44">
        <f>(Z122*'Data Kystruten'!$B$43*'Data Kystruten'!$B$17)/'Data Kystruten'!$B$42</f>
        <v>0</v>
      </c>
      <c r="AB122" s="44">
        <f>(AA122*3.6)/'Data Kystruten'!$B$10</f>
        <v>0</v>
      </c>
      <c r="AC122" s="45">
        <f>AC110</f>
        <v>6.6808703098699791</v>
      </c>
      <c r="AD122" s="95">
        <f t="shared" si="25"/>
        <v>100</v>
      </c>
    </row>
    <row r="123" spans="1:30">
      <c r="A123" s="35"/>
      <c r="B123" s="24"/>
      <c r="C123" s="24"/>
      <c r="D123" s="24"/>
      <c r="E123" s="24"/>
      <c r="F123" s="32"/>
      <c r="G123" s="32">
        <f t="shared" si="30"/>
        <v>6.75</v>
      </c>
      <c r="H123" s="90"/>
      <c r="I123" s="75"/>
      <c r="M123" s="80">
        <f>(F123+G123)*('Data Kystruten'!$B$3+'Data Kystruten'!$B$4)</f>
        <v>23.625</v>
      </c>
      <c r="N123" s="23">
        <f>M123/'Data Kystruten'!$B$43</f>
        <v>64.400931495073152</v>
      </c>
      <c r="O123" s="23">
        <f>N123/'Data Kystruten'!$B$17</f>
        <v>1.9322211669688916</v>
      </c>
      <c r="P123" s="80">
        <f t="shared" ref="P123:P127" si="42">P111</f>
        <v>3.8650896192109729</v>
      </c>
      <c r="Q123" s="23"/>
      <c r="R123" s="80">
        <f t="shared" si="26"/>
        <v>3.8650896192109729</v>
      </c>
      <c r="S123" s="94">
        <f t="shared" si="24"/>
        <v>82.235949344914317</v>
      </c>
      <c r="Y123" s="54">
        <v>0</v>
      </c>
      <c r="AA123">
        <f>(Z123*'Data Kystruten'!$B$43*'Data Kystruten'!$B$17)/'Data Kystruten'!$B$42</f>
        <v>0</v>
      </c>
      <c r="AB123">
        <f>(AA123*3.6)/'Data Kystruten'!$B$10</f>
        <v>0</v>
      </c>
      <c r="AC123" s="23">
        <f>AC122</f>
        <v>6.6808703098699791</v>
      </c>
      <c r="AD123" s="96">
        <f t="shared" si="25"/>
        <v>100</v>
      </c>
    </row>
    <row r="124" spans="1:30">
      <c r="A124" s="35"/>
      <c r="B124" s="24" t="s">
        <v>145</v>
      </c>
      <c r="C124" s="24"/>
      <c r="D124" s="34">
        <v>0.6875</v>
      </c>
      <c r="E124" s="34">
        <v>0.70833333333333337</v>
      </c>
      <c r="F124" s="32">
        <f t="shared" si="27"/>
        <v>0.50000000000000089</v>
      </c>
      <c r="G124" s="32"/>
      <c r="H124" s="90">
        <v>0</v>
      </c>
      <c r="I124" s="75"/>
      <c r="M124" s="80">
        <f>(F124+G124)*('Data Kystruten'!$B$3+'Data Kystruten'!$B$4)</f>
        <v>1.7500000000000031</v>
      </c>
      <c r="N124" s="23">
        <f>M124/'Data Kystruten'!$B$43</f>
        <v>4.7704393700054268</v>
      </c>
      <c r="O124" s="23">
        <f>N124/'Data Kystruten'!$B$17</f>
        <v>0.14312749384954776</v>
      </c>
      <c r="P124" s="80">
        <f t="shared" si="42"/>
        <v>3.8173804545944572</v>
      </c>
      <c r="Q124" s="23"/>
      <c r="R124" s="80">
        <f t="shared" si="26"/>
        <v>3.8173804545944572</v>
      </c>
      <c r="S124" s="94">
        <f t="shared" si="24"/>
        <v>81.220860736052288</v>
      </c>
      <c r="Y124" s="54">
        <v>0</v>
      </c>
      <c r="AA124">
        <f>(Z124*'Data Kystruten'!$B$43*'Data Kystruten'!$B$17)/'Data Kystruten'!$B$42</f>
        <v>0</v>
      </c>
      <c r="AB124">
        <f>(AA124*3.6)/'Data Kystruten'!$B$10</f>
        <v>0</v>
      </c>
      <c r="AC124" s="23">
        <f t="shared" ref="AC124:AC136" si="43">AC123</f>
        <v>6.6808703098699791</v>
      </c>
      <c r="AD124" s="96">
        <f t="shared" si="25"/>
        <v>100</v>
      </c>
    </row>
    <row r="125" spans="1:30">
      <c r="A125" s="35"/>
      <c r="B125" s="24"/>
      <c r="C125" s="24"/>
      <c r="D125" s="24"/>
      <c r="E125" s="24"/>
      <c r="F125" s="32"/>
      <c r="G125" s="32">
        <f t="shared" si="30"/>
        <v>3.9999999999999991</v>
      </c>
      <c r="H125" s="90"/>
      <c r="I125" s="75"/>
      <c r="M125" s="80">
        <f>(F125+G125)*('Data Kystruten'!$B$3+'Data Kystruten'!$B$4)</f>
        <v>13.999999999999996</v>
      </c>
      <c r="N125" s="23">
        <f>M125/'Data Kystruten'!$B$43</f>
        <v>38.163514960043344</v>
      </c>
      <c r="O125" s="23">
        <f>N125/'Data Kystruten'!$B$17</f>
        <v>1.1450199507963801</v>
      </c>
      <c r="P125" s="80">
        <f t="shared" si="42"/>
        <v>2.7916334153393665</v>
      </c>
      <c r="Q125" s="23"/>
      <c r="R125" s="80">
        <f t="shared" si="26"/>
        <v>2.7916334153393665</v>
      </c>
      <c r="S125" s="94">
        <f t="shared" si="24"/>
        <v>59.396455645518429</v>
      </c>
      <c r="Y125" s="54">
        <v>0</v>
      </c>
      <c r="AA125">
        <f>(Z125*'Data Kystruten'!$B$43*'Data Kystruten'!$B$17)/'Data Kystruten'!$B$42</f>
        <v>0</v>
      </c>
      <c r="AB125">
        <f>(AA125*3.6)/'Data Kystruten'!$B$10</f>
        <v>0</v>
      </c>
      <c r="AC125" s="23">
        <f t="shared" si="43"/>
        <v>6.6808703098699791</v>
      </c>
      <c r="AD125" s="96">
        <f t="shared" si="25"/>
        <v>100</v>
      </c>
    </row>
    <row r="126" spans="1:30">
      <c r="A126" s="35"/>
      <c r="B126" s="24" t="s">
        <v>104</v>
      </c>
      <c r="C126" s="24"/>
      <c r="D126" s="34">
        <v>0.875</v>
      </c>
      <c r="E126" s="34">
        <v>0.89583333333333337</v>
      </c>
      <c r="F126" s="32">
        <f t="shared" si="27"/>
        <v>0.50000000000000089</v>
      </c>
      <c r="G126" s="32"/>
      <c r="H126" s="90">
        <v>0</v>
      </c>
      <c r="I126" s="75"/>
      <c r="M126" s="80">
        <f>(F126+G126)*('Data Kystruten'!$B$3+'Data Kystruten'!$B$4)</f>
        <v>1.7500000000000031</v>
      </c>
      <c r="N126" s="23">
        <f>M126/'Data Kystruten'!$B$43</f>
        <v>4.7704393700054268</v>
      </c>
      <c r="O126" s="23">
        <f>N126/'Data Kystruten'!$B$17</f>
        <v>0.14312749384954776</v>
      </c>
      <c r="P126" s="80">
        <f t="shared" si="42"/>
        <v>2.7439242507228498</v>
      </c>
      <c r="Q126" s="23"/>
      <c r="R126" s="80">
        <f t="shared" si="26"/>
        <v>2.7439242507228498</v>
      </c>
      <c r="S126" s="94">
        <f t="shared" si="24"/>
        <v>58.381367036656371</v>
      </c>
      <c r="Y126" s="54">
        <v>0</v>
      </c>
      <c r="AA126">
        <f>(Z126*'Data Kystruten'!$B$43*'Data Kystruten'!$B$17)/'Data Kystruten'!$B$42</f>
        <v>0</v>
      </c>
      <c r="AB126">
        <f>(AA126*3.6)/'Data Kystruten'!$B$10</f>
        <v>0</v>
      </c>
      <c r="AC126" s="23">
        <f t="shared" si="43"/>
        <v>6.6808703098699791</v>
      </c>
      <c r="AD126" s="96">
        <f t="shared" si="25"/>
        <v>100</v>
      </c>
    </row>
    <row r="127" spans="1:30">
      <c r="A127" s="35"/>
      <c r="B127" s="24"/>
      <c r="C127" s="24"/>
      <c r="D127" s="24"/>
      <c r="E127" s="24"/>
      <c r="F127" s="32"/>
      <c r="G127" s="32">
        <v>3</v>
      </c>
      <c r="H127" s="90"/>
      <c r="I127" s="75"/>
      <c r="M127" s="80">
        <f>(F127+G127)*('Data Kystruten'!$B$3+'Data Kystruten'!$B$4)</f>
        <v>10.5</v>
      </c>
      <c r="N127" s="23">
        <f>M127/'Data Kystruten'!$B$43</f>
        <v>28.622636220032511</v>
      </c>
      <c r="O127" s="23">
        <f>N127/'Data Kystruten'!$B$17</f>
        <v>0.85876496309728512</v>
      </c>
      <c r="P127" s="80">
        <f t="shared" si="42"/>
        <v>2.4099600984072396</v>
      </c>
      <c r="Q127" s="23"/>
      <c r="R127" s="80">
        <f t="shared" si="26"/>
        <v>2.4099600984072396</v>
      </c>
      <c r="S127" s="94">
        <f t="shared" si="24"/>
        <v>51.275746774622121</v>
      </c>
      <c r="Y127" s="54">
        <v>0</v>
      </c>
      <c r="AA127">
        <f>(Z127*'Data Kystruten'!$B$43*'Data Kystruten'!$B$17)/'Data Kystruten'!$B$42</f>
        <v>0</v>
      </c>
      <c r="AB127">
        <f>(AA127*3.6)/'Data Kystruten'!$B$10</f>
        <v>0</v>
      </c>
      <c r="AC127" s="23">
        <f t="shared" si="43"/>
        <v>6.6808703098699791</v>
      </c>
      <c r="AD127" s="96">
        <f t="shared" si="25"/>
        <v>100</v>
      </c>
    </row>
    <row r="128" spans="1:30">
      <c r="A128" s="38" t="s">
        <v>146</v>
      </c>
      <c r="B128" s="39" t="s">
        <v>103</v>
      </c>
      <c r="C128" s="39" t="s">
        <v>98</v>
      </c>
      <c r="D128" s="47">
        <v>2.0833333333333332E-2</v>
      </c>
      <c r="E128" s="47">
        <v>4.1666666666666664E-2</v>
      </c>
      <c r="F128" s="91">
        <f>F122</f>
        <v>3.35</v>
      </c>
      <c r="G128" s="42"/>
      <c r="H128" s="42">
        <f>F128-('Data Kystruten'!$B$51*2)</f>
        <v>2.35</v>
      </c>
      <c r="I128" s="76">
        <f>(E128-D128)*24</f>
        <v>0.5</v>
      </c>
      <c r="J128" s="23"/>
      <c r="M128" s="45">
        <f>(F128+G128)*('Data Kystruten'!$B$3+'Data Kystruten'!$B$4)</f>
        <v>11.725</v>
      </c>
      <c r="N128" s="45">
        <f>M128/'Data Kystruten'!$B$43</f>
        <v>31.961943779036304</v>
      </c>
      <c r="O128" s="45">
        <f>N128/'Data Kystruten'!$B$17</f>
        <v>0.95895420879196835</v>
      </c>
      <c r="P128" s="45">
        <f>P122</f>
        <v>4.7</v>
      </c>
      <c r="Q128" s="45">
        <f>P128+O128-P127</f>
        <v>3.2489941103847286</v>
      </c>
      <c r="R128" s="45">
        <f t="shared" si="26"/>
        <v>4.7</v>
      </c>
      <c r="S128" s="94">
        <f t="shared" si="24"/>
        <v>100</v>
      </c>
      <c r="Y128" s="44">
        <v>0</v>
      </c>
      <c r="Z128" s="44"/>
      <c r="AA128" s="44">
        <f>(Z128*'Data Kystruten'!$B$43*'Data Kystruten'!$B$17)/'Data Kystruten'!$B$42</f>
        <v>0</v>
      </c>
      <c r="AB128" s="44">
        <f>(AA128*3.6)/'Data Kystruten'!$B$10</f>
        <v>0</v>
      </c>
      <c r="AC128" s="45">
        <f t="shared" si="43"/>
        <v>6.6808703098699791</v>
      </c>
      <c r="AD128" s="95">
        <f t="shared" si="25"/>
        <v>100</v>
      </c>
    </row>
    <row r="129" spans="1:30">
      <c r="A129" s="35"/>
      <c r="B129" s="24"/>
      <c r="C129" s="24"/>
      <c r="D129" s="24"/>
      <c r="E129" s="24"/>
      <c r="F129" s="32"/>
      <c r="G129" s="32">
        <f t="shared" si="30"/>
        <v>1.25</v>
      </c>
      <c r="H129" s="90"/>
      <c r="I129" s="75"/>
      <c r="M129" s="80">
        <f>(F129+G129)*('Data Kystruten'!$B$3+'Data Kystruten'!$B$4)</f>
        <v>4.375</v>
      </c>
      <c r="N129" s="23">
        <f>M129/'Data Kystruten'!$B$43</f>
        <v>11.926098425013548</v>
      </c>
      <c r="O129" s="23">
        <f>N129/'Data Kystruten'!$B$17</f>
        <v>0.35781873462386882</v>
      </c>
      <c r="P129" s="80">
        <f>P128-O129</f>
        <v>4.3421812653761318</v>
      </c>
      <c r="Q129" s="23"/>
      <c r="R129" s="80">
        <f t="shared" si="26"/>
        <v>4.3421812653761318</v>
      </c>
      <c r="S129" s="94">
        <f t="shared" si="24"/>
        <v>92.386835433534714</v>
      </c>
      <c r="Y129" s="54">
        <v>0</v>
      </c>
      <c r="AA129">
        <f>(Z129*'Data Kystruten'!$B$43*'Data Kystruten'!$B$17)/'Data Kystruten'!$B$42</f>
        <v>0</v>
      </c>
      <c r="AB129">
        <f>(AA129*3.6)/'Data Kystruten'!$B$10</f>
        <v>0</v>
      </c>
      <c r="AC129" s="23">
        <f t="shared" si="43"/>
        <v>6.6808703098699791</v>
      </c>
      <c r="AD129" s="96">
        <f t="shared" si="25"/>
        <v>100</v>
      </c>
    </row>
    <row r="130" spans="1:30">
      <c r="A130" s="35"/>
      <c r="B130" s="24" t="s">
        <v>102</v>
      </c>
      <c r="C130" s="24"/>
      <c r="D130" s="34">
        <v>9.375E-2</v>
      </c>
      <c r="E130" s="34">
        <v>0.10416666666666667</v>
      </c>
      <c r="F130" s="32">
        <f t="shared" si="27"/>
        <v>0.25000000000000011</v>
      </c>
      <c r="G130" s="32"/>
      <c r="H130" s="90">
        <v>0</v>
      </c>
      <c r="I130" s="75"/>
      <c r="M130" s="80">
        <f>(F130+G130)*('Data Kystruten'!$B$3+'Data Kystruten'!$B$4)</f>
        <v>0.87500000000000044</v>
      </c>
      <c r="N130" s="23">
        <f>M130/'Data Kystruten'!$B$43</f>
        <v>2.3852196850027108</v>
      </c>
      <c r="O130" s="23">
        <f>N130/'Data Kystruten'!$B$17</f>
        <v>7.1563746924773811E-2</v>
      </c>
      <c r="P130" s="80">
        <f t="shared" ref="P130:P135" si="44">P129-O130</f>
        <v>4.270617518451358</v>
      </c>
      <c r="Q130" s="23"/>
      <c r="R130" s="80">
        <f t="shared" si="26"/>
        <v>4.270617518451358</v>
      </c>
      <c r="S130" s="94">
        <f t="shared" si="24"/>
        <v>90.864202520241662</v>
      </c>
      <c r="Y130" s="54">
        <v>0</v>
      </c>
      <c r="AA130">
        <f>(Z130*'Data Kystruten'!$B$43*'Data Kystruten'!$B$17)/'Data Kystruten'!$B$42</f>
        <v>0</v>
      </c>
      <c r="AB130">
        <f>(AA130*3.6)/'Data Kystruten'!$B$10</f>
        <v>0</v>
      </c>
      <c r="AC130" s="23">
        <f t="shared" si="43"/>
        <v>6.6808703098699791</v>
      </c>
      <c r="AD130" s="96">
        <f t="shared" si="25"/>
        <v>100</v>
      </c>
    </row>
    <row r="131" spans="1:30">
      <c r="A131" s="35"/>
      <c r="B131" s="24"/>
      <c r="C131" s="24"/>
      <c r="D131" s="24"/>
      <c r="E131" s="24"/>
      <c r="F131" s="32"/>
      <c r="G131" s="32">
        <f t="shared" si="30"/>
        <v>2.75</v>
      </c>
      <c r="H131" s="90"/>
      <c r="I131" s="75"/>
      <c r="M131" s="80">
        <f>(F131+G131)*('Data Kystruten'!$B$3+'Data Kystruten'!$B$4)</f>
        <v>9.625</v>
      </c>
      <c r="N131" s="23">
        <f>M131/'Data Kystruten'!$B$43</f>
        <v>26.237416535029805</v>
      </c>
      <c r="O131" s="23">
        <f>N131/'Data Kystruten'!$B$17</f>
        <v>0.78720121617251149</v>
      </c>
      <c r="P131" s="80">
        <f t="shared" si="44"/>
        <v>3.4834163022788465</v>
      </c>
      <c r="Q131" s="23"/>
      <c r="R131" s="80">
        <f t="shared" si="26"/>
        <v>3.4834163022788465</v>
      </c>
      <c r="S131" s="94">
        <f t="shared" si="24"/>
        <v>74.115240474018009</v>
      </c>
      <c r="Y131" s="54">
        <v>0</v>
      </c>
      <c r="AA131">
        <f>(Z131*'Data Kystruten'!$B$43*'Data Kystruten'!$B$17)/'Data Kystruten'!$B$42</f>
        <v>0</v>
      </c>
      <c r="AB131">
        <f>(AA131*3.6)/'Data Kystruten'!$B$10</f>
        <v>0</v>
      </c>
      <c r="AC131" s="23">
        <f t="shared" si="43"/>
        <v>6.6808703098699791</v>
      </c>
      <c r="AD131" s="96">
        <f t="shared" si="25"/>
        <v>100</v>
      </c>
    </row>
    <row r="132" spans="1:30">
      <c r="A132" s="35"/>
      <c r="B132" s="24" t="s">
        <v>101</v>
      </c>
      <c r="C132" s="24"/>
      <c r="D132" s="34">
        <v>0.21875</v>
      </c>
      <c r="E132" s="34">
        <v>0.23263888888888887</v>
      </c>
      <c r="F132" s="32">
        <f t="shared" si="27"/>
        <v>0.33333333333333282</v>
      </c>
      <c r="G132" s="32"/>
      <c r="H132" s="90">
        <v>0</v>
      </c>
      <c r="I132" s="75"/>
      <c r="M132" s="80">
        <f>(F132+G132)*('Data Kystruten'!$B$3+'Data Kystruten'!$B$4)</f>
        <v>1.1666666666666647</v>
      </c>
      <c r="N132" s="23">
        <f>M132/'Data Kystruten'!$B$43</f>
        <v>3.1802929133369404</v>
      </c>
      <c r="O132" s="23">
        <f>N132/'Data Kystruten'!$B$17</f>
        <v>9.5418329233031521E-2</v>
      </c>
      <c r="P132" s="80">
        <f t="shared" si="44"/>
        <v>3.387997973045815</v>
      </c>
      <c r="Q132" s="23"/>
      <c r="R132" s="80">
        <f t="shared" si="26"/>
        <v>3.387997973045815</v>
      </c>
      <c r="S132" s="94">
        <f t="shared" si="24"/>
        <v>72.085063256293935</v>
      </c>
      <c r="Y132" s="54">
        <v>0</v>
      </c>
      <c r="AA132">
        <f>(Z132*'Data Kystruten'!$B$43*'Data Kystruten'!$B$17)/'Data Kystruten'!$B$42</f>
        <v>0</v>
      </c>
      <c r="AB132">
        <f>(AA132*3.6)/'Data Kystruten'!$B$10</f>
        <v>0</v>
      </c>
      <c r="AC132" s="23">
        <f t="shared" si="43"/>
        <v>6.6808703098699791</v>
      </c>
      <c r="AD132" s="96">
        <f t="shared" si="25"/>
        <v>100</v>
      </c>
    </row>
    <row r="133" spans="1:30">
      <c r="A133" s="35"/>
      <c r="B133" s="24"/>
      <c r="C133" s="24"/>
      <c r="D133" s="24"/>
      <c r="E133" s="24"/>
      <c r="F133" s="32"/>
      <c r="G133" s="32">
        <f t="shared" si="30"/>
        <v>2.1666666666666679</v>
      </c>
      <c r="H133" s="90"/>
      <c r="I133" s="75"/>
      <c r="M133" s="80">
        <f>(F133+G133)*('Data Kystruten'!$B$3+'Data Kystruten'!$B$4)</f>
        <v>7.5833333333333375</v>
      </c>
      <c r="N133" s="23">
        <f>M133/'Data Kystruten'!$B$43</f>
        <v>20.67190393669016</v>
      </c>
      <c r="O133" s="23">
        <f>N133/'Data Kystruten'!$B$17</f>
        <v>0.62021914001470635</v>
      </c>
      <c r="P133" s="80">
        <f t="shared" si="44"/>
        <v>2.7677788330311088</v>
      </c>
      <c r="Q133" s="23"/>
      <c r="R133" s="80">
        <f t="shared" si="26"/>
        <v>2.7677788330311088</v>
      </c>
      <c r="S133" s="94">
        <f t="shared" si="24"/>
        <v>58.888911341087422</v>
      </c>
      <c r="Y133" s="54">
        <v>0</v>
      </c>
      <c r="AA133">
        <f>(Z133*'Data Kystruten'!$B$43*'Data Kystruten'!$B$17)/'Data Kystruten'!$B$42</f>
        <v>0</v>
      </c>
      <c r="AB133">
        <f>(AA133*3.6)/'Data Kystruten'!$B$10</f>
        <v>0</v>
      </c>
      <c r="AC133" s="23">
        <f t="shared" si="43"/>
        <v>6.6808703098699791</v>
      </c>
      <c r="AD133" s="96">
        <f t="shared" si="25"/>
        <v>100</v>
      </c>
    </row>
    <row r="134" spans="1:30">
      <c r="A134" s="35"/>
      <c r="B134" s="24" t="s">
        <v>100</v>
      </c>
      <c r="C134" s="24"/>
      <c r="D134" s="34">
        <v>0.32291666666666669</v>
      </c>
      <c r="E134" s="34">
        <v>0.34375</v>
      </c>
      <c r="F134" s="32">
        <f t="shared" si="27"/>
        <v>0.49999999999999956</v>
      </c>
      <c r="G134" s="32"/>
      <c r="H134" s="90">
        <v>0</v>
      </c>
      <c r="I134" s="75"/>
      <c r="M134" s="80">
        <f>(F134+G134)*('Data Kystruten'!$B$3+'Data Kystruten'!$B$4)</f>
        <v>1.7499999999999984</v>
      </c>
      <c r="N134" s="23">
        <f>M134/'Data Kystruten'!$B$43</f>
        <v>4.7704393700054144</v>
      </c>
      <c r="O134" s="23">
        <f>N134/'Data Kystruten'!$B$17</f>
        <v>0.1431274938495474</v>
      </c>
      <c r="P134" s="80">
        <f t="shared" si="44"/>
        <v>2.6246513391815616</v>
      </c>
      <c r="Q134" s="23"/>
      <c r="R134" s="80">
        <f t="shared" si="26"/>
        <v>2.6246513391815616</v>
      </c>
      <c r="S134" s="94">
        <f t="shared" si="24"/>
        <v>55.843645514501304</v>
      </c>
      <c r="Y134" s="54">
        <v>0</v>
      </c>
      <c r="AA134">
        <f>(Z134*'Data Kystruten'!$B$43*'Data Kystruten'!$B$17)/'Data Kystruten'!$B$42</f>
        <v>0</v>
      </c>
      <c r="AB134">
        <f>(AA134*3.6)/'Data Kystruten'!$B$10</f>
        <v>0</v>
      </c>
      <c r="AC134" s="23">
        <f t="shared" si="43"/>
        <v>6.6808703098699791</v>
      </c>
      <c r="AD134" s="96">
        <f t="shared" si="25"/>
        <v>100</v>
      </c>
    </row>
    <row r="135" spans="1:30">
      <c r="A135" s="35"/>
      <c r="B135" s="24"/>
      <c r="C135" s="24"/>
      <c r="D135" s="24"/>
      <c r="E135" s="24"/>
      <c r="F135" s="32"/>
      <c r="G135" s="32">
        <f t="shared" si="30"/>
        <v>6.2499999999999991</v>
      </c>
      <c r="H135" s="90"/>
      <c r="I135" s="75"/>
      <c r="M135" s="80">
        <f>(F135+G135)*('Data Kystruten'!$B$3+'Data Kystruten'!$B$4)</f>
        <v>21.874999999999996</v>
      </c>
      <c r="N135" s="23">
        <f>M135/'Data Kystruten'!$B$43</f>
        <v>59.630492125067725</v>
      </c>
      <c r="O135" s="23">
        <f>N135/'Data Kystruten'!$B$17</f>
        <v>1.7890936731193439</v>
      </c>
      <c r="P135" s="80">
        <f t="shared" si="44"/>
        <v>0.83555766606221771</v>
      </c>
      <c r="Q135" s="23"/>
      <c r="R135" s="80">
        <f t="shared" si="26"/>
        <v>0.83555766606221771</v>
      </c>
      <c r="S135" s="94">
        <f t="shared" ref="S135:S136" si="45">(R135/$P$5)*100</f>
        <v>17.777822682174843</v>
      </c>
      <c r="Y135" s="54">
        <v>0</v>
      </c>
      <c r="AA135">
        <f>(Z135*'Data Kystruten'!$B$43*'Data Kystruten'!$B$17)/'Data Kystruten'!$B$42</f>
        <v>0</v>
      </c>
      <c r="AB135">
        <f>(AA135*3.6)/'Data Kystruten'!$B$10</f>
        <v>0</v>
      </c>
      <c r="AC135" s="23">
        <f t="shared" si="43"/>
        <v>6.6808703098699791</v>
      </c>
      <c r="AD135" s="96">
        <f t="shared" ref="AD135:AD136" si="46">(AC135/$W$5)*100</f>
        <v>100</v>
      </c>
    </row>
    <row r="136" spans="1:30">
      <c r="A136" s="48"/>
      <c r="B136" s="49" t="s">
        <v>97</v>
      </c>
      <c r="C136" s="49" t="s">
        <v>98</v>
      </c>
      <c r="D136" s="47">
        <v>0.60416666666666663</v>
      </c>
      <c r="E136" s="47"/>
      <c r="F136" s="42"/>
      <c r="G136" s="42"/>
      <c r="H136" s="42"/>
      <c r="I136" s="77">
        <f>I128+I110+I122+I94+I84+I32+I20</f>
        <v>12.583333333333332</v>
      </c>
      <c r="M136" s="45">
        <f>SUM(M6:M135)</f>
        <v>951.53333333333353</v>
      </c>
      <c r="N136" s="45">
        <f>M136/'Data Kystruten'!$B$43</f>
        <v>2593.8469001176136</v>
      </c>
      <c r="O136" s="45">
        <f>N136/'Data Kystruten'!$B$17</f>
        <v>77.823189322460664</v>
      </c>
      <c r="P136" s="45"/>
      <c r="Q136" s="97">
        <f>Q128+Q122+Q110+Q94+Q84+Q72+Q58+Q48+Q32+Q20+Q14+Q6-P135</f>
        <v>64.971395025768331</v>
      </c>
      <c r="R136" s="45"/>
      <c r="S136" s="94">
        <f t="shared" si="45"/>
        <v>0</v>
      </c>
      <c r="Y136" s="44">
        <f t="shared" ref="Y136" si="47">P136</f>
        <v>0</v>
      </c>
      <c r="Z136" s="44"/>
      <c r="AA136" s="44">
        <f>(Z136*'Data Kystruten'!$B$43*'Data Kystruten'!$B$17)/'Data Kystruten'!$B$42</f>
        <v>0</v>
      </c>
      <c r="AB136" s="44">
        <f>(AA136*3.6)/'Data Kystruten'!$B$10</f>
        <v>0</v>
      </c>
      <c r="AC136" s="45">
        <f t="shared" si="43"/>
        <v>6.6808703098699791</v>
      </c>
      <c r="AD136" s="95">
        <f t="shared" si="46"/>
        <v>100</v>
      </c>
    </row>
    <row r="137" spans="1:30">
      <c r="D137" s="24"/>
      <c r="E137" s="24"/>
      <c r="F137" s="24"/>
      <c r="G137" s="24"/>
      <c r="H137" s="24"/>
      <c r="I137" s="24"/>
      <c r="AB137" s="97">
        <f>SUM(AB6:AB135)</f>
        <v>29.699154669781759</v>
      </c>
    </row>
    <row r="138" spans="1:30">
      <c r="D138" s="24"/>
      <c r="E138" s="24"/>
      <c r="F138" s="24"/>
      <c r="G138" s="24"/>
      <c r="H138" s="24"/>
      <c r="I138" s="24"/>
    </row>
    <row r="139" spans="1:30">
      <c r="D139" s="24"/>
      <c r="E139" s="24"/>
      <c r="F139" s="24"/>
      <c r="G139" s="24"/>
      <c r="H139" s="24"/>
      <c r="I139" s="24"/>
    </row>
    <row r="140" spans="1:30">
      <c r="D140" s="24"/>
      <c r="E140" s="24"/>
      <c r="F140" s="24"/>
      <c r="G140" s="24"/>
      <c r="H140" s="24"/>
      <c r="I140" s="24"/>
    </row>
    <row r="141" spans="1:30">
      <c r="D141" s="24"/>
      <c r="E141" s="24"/>
      <c r="F141" s="24"/>
      <c r="G141" s="24"/>
      <c r="H141" s="24"/>
      <c r="I141" s="24"/>
    </row>
    <row r="142" spans="1:30">
      <c r="D142" s="24"/>
      <c r="E142" s="24"/>
      <c r="F142" s="24"/>
      <c r="G142" s="24"/>
      <c r="H142" s="24"/>
      <c r="I142" s="24"/>
    </row>
    <row r="143" spans="1:30">
      <c r="D143" s="24"/>
      <c r="E143" s="24"/>
      <c r="F143" s="24"/>
      <c r="G143" s="24"/>
      <c r="H143" s="24"/>
      <c r="I143" s="24"/>
    </row>
    <row r="144" spans="1:30">
      <c r="D144" s="24"/>
      <c r="E144" s="24"/>
      <c r="F144" s="24"/>
      <c r="G144" s="24"/>
      <c r="H144" s="24"/>
      <c r="I144" s="24"/>
    </row>
    <row r="145" spans="4:9">
      <c r="D145" s="24"/>
      <c r="E145" s="24"/>
      <c r="F145" s="24"/>
      <c r="G145" s="24"/>
      <c r="H145" s="24"/>
      <c r="I145" s="24"/>
    </row>
    <row r="146" spans="4:9">
      <c r="D146" s="24"/>
      <c r="E146" s="24"/>
      <c r="F146" s="24"/>
      <c r="G146" s="24"/>
      <c r="H146" s="24"/>
      <c r="I146" s="24"/>
    </row>
    <row r="147" spans="4:9">
      <c r="D147" s="24"/>
      <c r="E147" s="24"/>
      <c r="F147" s="24"/>
      <c r="G147" s="24"/>
      <c r="H147" s="24"/>
      <c r="I147" s="24"/>
    </row>
    <row r="148" spans="4:9">
      <c r="D148" s="24"/>
      <c r="E148" s="24"/>
      <c r="F148" s="24"/>
      <c r="G148" s="24"/>
      <c r="H148" s="24"/>
      <c r="I148" s="24"/>
    </row>
    <row r="149" spans="4:9">
      <c r="D149" s="24"/>
      <c r="E149" s="24"/>
      <c r="F149" s="24"/>
      <c r="G149" s="24"/>
      <c r="H149" s="24"/>
      <c r="I149" s="24"/>
    </row>
    <row r="150" spans="4:9">
      <c r="D150" s="24"/>
      <c r="E150" s="24"/>
      <c r="F150" s="24"/>
      <c r="G150" s="24"/>
      <c r="H150" s="24"/>
      <c r="I150" s="24"/>
    </row>
    <row r="151" spans="4:9">
      <c r="D151" s="24"/>
      <c r="E151" s="24"/>
      <c r="F151" s="24"/>
      <c r="G151" s="24"/>
      <c r="H151" s="24"/>
      <c r="I151" s="24"/>
    </row>
    <row r="152" spans="4:9">
      <c r="D152" s="24"/>
      <c r="E152" s="24"/>
      <c r="F152" s="24"/>
      <c r="G152" s="24"/>
      <c r="H152" s="24"/>
      <c r="I152" s="24"/>
    </row>
    <row r="153" spans="4:9">
      <c r="D153" s="24"/>
      <c r="E153" s="24"/>
      <c r="F153" s="24"/>
      <c r="G153" s="24"/>
      <c r="H153" s="24"/>
      <c r="I153" s="24"/>
    </row>
    <row r="154" spans="4:9">
      <c r="D154" s="24"/>
      <c r="E154" s="24"/>
      <c r="F154" s="24"/>
      <c r="G154" s="24"/>
      <c r="H154" s="24"/>
      <c r="I154" s="24"/>
    </row>
    <row r="155" spans="4:9">
      <c r="D155" s="24"/>
      <c r="E155" s="24"/>
      <c r="F155" s="24"/>
      <c r="G155" s="24"/>
      <c r="H155" s="24"/>
      <c r="I155" s="24"/>
    </row>
    <row r="156" spans="4:9">
      <c r="D156" s="24"/>
      <c r="E156" s="24"/>
      <c r="F156" s="24"/>
      <c r="G156" s="24"/>
      <c r="H156" s="24"/>
      <c r="I156" s="24"/>
    </row>
    <row r="157" spans="4:9">
      <c r="D157" s="24"/>
      <c r="E157" s="24"/>
      <c r="F157" s="24"/>
      <c r="G157" s="24"/>
      <c r="H157" s="24"/>
      <c r="I157" s="24"/>
    </row>
    <row r="158" spans="4:9">
      <c r="D158" s="24"/>
      <c r="E158" s="24"/>
      <c r="F158" s="24"/>
      <c r="G158" s="24"/>
      <c r="H158" s="24"/>
      <c r="I158" s="24"/>
    </row>
    <row r="159" spans="4:9">
      <c r="D159" s="24"/>
      <c r="E159" s="24"/>
      <c r="F159" s="24"/>
      <c r="G159" s="24"/>
      <c r="H159" s="24"/>
      <c r="I159" s="24"/>
    </row>
    <row r="160" spans="4:9">
      <c r="D160" s="24"/>
      <c r="E160" s="24"/>
      <c r="F160" s="24"/>
      <c r="G160" s="24"/>
      <c r="H160" s="24"/>
      <c r="I160" s="24"/>
    </row>
    <row r="161" spans="4:9">
      <c r="D161" s="24"/>
      <c r="E161" s="24"/>
      <c r="F161" s="24"/>
      <c r="G161" s="24"/>
      <c r="H161" s="24"/>
      <c r="I161" s="24"/>
    </row>
    <row r="162" spans="4:9">
      <c r="D162" s="24"/>
      <c r="E162" s="24"/>
      <c r="F162" s="24"/>
      <c r="G162" s="24"/>
      <c r="H162" s="24"/>
      <c r="I162" s="24"/>
    </row>
    <row r="163" spans="4:9">
      <c r="D163" s="24"/>
      <c r="E163" s="24"/>
      <c r="F163" s="24"/>
      <c r="G163" s="24"/>
      <c r="H163" s="24"/>
      <c r="I163" s="24"/>
    </row>
    <row r="164" spans="4:9">
      <c r="D164" s="24"/>
      <c r="E164" s="24"/>
      <c r="F164" s="24"/>
      <c r="G164" s="24"/>
      <c r="H164" s="24"/>
      <c r="I164" s="24"/>
    </row>
    <row r="165" spans="4:9">
      <c r="D165" s="24"/>
      <c r="E165" s="24"/>
      <c r="F165" s="24"/>
      <c r="G165" s="24"/>
      <c r="H165" s="24"/>
      <c r="I165" s="24"/>
    </row>
    <row r="166" spans="4:9">
      <c r="D166" s="24"/>
      <c r="E166" s="24"/>
      <c r="F166" s="24"/>
      <c r="G166" s="24"/>
      <c r="H166" s="24"/>
      <c r="I166" s="24"/>
    </row>
    <row r="167" spans="4:9">
      <c r="D167" s="24"/>
      <c r="E167" s="24"/>
      <c r="F167" s="24"/>
      <c r="G167" s="24"/>
      <c r="H167" s="24"/>
      <c r="I167" s="24"/>
    </row>
    <row r="168" spans="4:9">
      <c r="D168" s="24"/>
      <c r="E168" s="24"/>
      <c r="F168" s="24"/>
      <c r="G168" s="24"/>
      <c r="H168" s="24"/>
      <c r="I168" s="24"/>
    </row>
    <row r="169" spans="4:9">
      <c r="D169" s="24"/>
      <c r="E169" s="24"/>
      <c r="F169" s="24"/>
      <c r="G169" s="24"/>
      <c r="H169" s="24"/>
      <c r="I169" s="24"/>
    </row>
    <row r="170" spans="4:9">
      <c r="D170" s="24"/>
      <c r="E170" s="24"/>
      <c r="F170" s="24"/>
      <c r="G170" s="24"/>
      <c r="H170" s="24"/>
      <c r="I170" s="24"/>
    </row>
    <row r="171" spans="4:9">
      <c r="D171" s="24"/>
      <c r="E171" s="24"/>
      <c r="F171" s="24"/>
      <c r="G171" s="24"/>
      <c r="H171" s="24"/>
      <c r="I171" s="24"/>
    </row>
    <row r="172" spans="4:9">
      <c r="D172" s="24"/>
      <c r="E172" s="24"/>
      <c r="F172" s="24"/>
      <c r="G172" s="24"/>
      <c r="H172" s="24"/>
      <c r="I172" s="24"/>
    </row>
    <row r="173" spans="4:9">
      <c r="D173" s="24"/>
      <c r="E173" s="24"/>
      <c r="F173" s="24"/>
      <c r="G173" s="24"/>
      <c r="H173" s="24"/>
      <c r="I173" s="24"/>
    </row>
    <row r="174" spans="4:9">
      <c r="D174" s="24"/>
      <c r="E174" s="24"/>
      <c r="F174" s="24"/>
      <c r="G174" s="24"/>
      <c r="H174" s="24"/>
      <c r="I174" s="24"/>
    </row>
    <row r="175" spans="4:9">
      <c r="D175" s="24"/>
      <c r="E175" s="24"/>
      <c r="F175" s="24"/>
      <c r="G175" s="24"/>
      <c r="H175" s="24"/>
      <c r="I175" s="24"/>
    </row>
    <row r="176" spans="4:9">
      <c r="D176" s="24"/>
      <c r="E176" s="24"/>
      <c r="F176" s="24"/>
      <c r="G176" s="24"/>
      <c r="H176" s="24"/>
      <c r="I176" s="24"/>
    </row>
    <row r="177" spans="4:9">
      <c r="D177" s="24"/>
      <c r="E177" s="24"/>
      <c r="F177" s="24"/>
      <c r="G177" s="24"/>
      <c r="H177" s="24"/>
      <c r="I177" s="24"/>
    </row>
    <row r="178" spans="4:9">
      <c r="D178" s="24"/>
      <c r="E178" s="24"/>
      <c r="F178" s="24"/>
      <c r="G178" s="24"/>
      <c r="H178" s="24"/>
      <c r="I178" s="24"/>
    </row>
    <row r="179" spans="4:9">
      <c r="D179" s="24"/>
      <c r="E179" s="24"/>
      <c r="F179" s="24"/>
      <c r="G179" s="24"/>
      <c r="H179" s="24"/>
      <c r="I179" s="24"/>
    </row>
    <row r="180" spans="4:9">
      <c r="D180" s="24"/>
      <c r="E180" s="24"/>
      <c r="F180" s="24"/>
      <c r="G180" s="24"/>
      <c r="H180" s="24"/>
      <c r="I180" s="24"/>
    </row>
    <row r="181" spans="4:9">
      <c r="D181" s="24"/>
      <c r="E181" s="24"/>
      <c r="F181" s="24"/>
      <c r="G181" s="24"/>
      <c r="H181" s="24"/>
      <c r="I181" s="24"/>
    </row>
    <row r="182" spans="4:9">
      <c r="D182" s="24"/>
      <c r="E182" s="24"/>
      <c r="F182" s="24"/>
      <c r="G182" s="24"/>
      <c r="H182" s="24"/>
      <c r="I182" s="24"/>
    </row>
    <row r="183" spans="4:9">
      <c r="D183" s="24"/>
      <c r="E183" s="24"/>
      <c r="F183" s="24"/>
      <c r="G183" s="24"/>
      <c r="H183" s="24"/>
      <c r="I183" s="24"/>
    </row>
    <row r="184" spans="4:9">
      <c r="D184" s="24"/>
      <c r="E184" s="24"/>
      <c r="F184" s="24"/>
      <c r="G184" s="24"/>
      <c r="H184" s="24"/>
      <c r="I184" s="24"/>
    </row>
    <row r="185" spans="4:9">
      <c r="D185" s="24"/>
      <c r="E185" s="24"/>
      <c r="F185" s="24"/>
      <c r="G185" s="24"/>
      <c r="H185" s="24"/>
      <c r="I185" s="24"/>
    </row>
    <row r="186" spans="4:9">
      <c r="D186" s="24"/>
      <c r="E186" s="24"/>
      <c r="F186" s="24"/>
      <c r="G186" s="24"/>
      <c r="H186" s="24"/>
      <c r="I186" s="24"/>
    </row>
    <row r="187" spans="4:9">
      <c r="D187" s="24"/>
      <c r="E187" s="24"/>
      <c r="F187" s="24"/>
      <c r="G187" s="24"/>
      <c r="H187" s="24"/>
      <c r="I187" s="24"/>
    </row>
    <row r="188" spans="4:9">
      <c r="D188" s="24"/>
      <c r="E188" s="24"/>
      <c r="F188" s="24"/>
      <c r="G188" s="24"/>
      <c r="H188" s="24"/>
      <c r="I188" s="24"/>
    </row>
    <row r="189" spans="4:9">
      <c r="D189" s="24"/>
      <c r="E189" s="24"/>
      <c r="F189" s="24"/>
      <c r="G189" s="24"/>
      <c r="H189" s="24"/>
      <c r="I189" s="24"/>
    </row>
    <row r="190" spans="4:9">
      <c r="D190" s="24"/>
      <c r="E190" s="24"/>
      <c r="F190" s="24"/>
      <c r="G190" s="24"/>
      <c r="H190" s="24"/>
      <c r="I190" s="24"/>
    </row>
    <row r="191" spans="4:9">
      <c r="D191" s="24"/>
      <c r="E191" s="24"/>
      <c r="F191" s="24"/>
      <c r="G191" s="24"/>
      <c r="H191" s="24"/>
      <c r="I191" s="24"/>
    </row>
    <row r="192" spans="4:9">
      <c r="D192" s="24"/>
      <c r="E192" s="24"/>
      <c r="F192" s="24"/>
      <c r="G192" s="24"/>
      <c r="H192" s="24"/>
      <c r="I192" s="24"/>
    </row>
    <row r="193" spans="4:9">
      <c r="D193" s="24"/>
      <c r="E193" s="24"/>
      <c r="F193" s="24"/>
      <c r="G193" s="24"/>
      <c r="H193" s="24"/>
      <c r="I193" s="24"/>
    </row>
    <row r="194" spans="4:9">
      <c r="D194" s="24"/>
      <c r="E194" s="24"/>
      <c r="F194" s="24"/>
      <c r="G194" s="24"/>
      <c r="H194" s="24"/>
      <c r="I194" s="24"/>
    </row>
    <row r="195" spans="4:9">
      <c r="D195" s="24"/>
      <c r="E195" s="24"/>
      <c r="F195" s="24"/>
      <c r="G195" s="24"/>
      <c r="H195" s="24"/>
      <c r="I195" s="24"/>
    </row>
    <row r="196" spans="4:9">
      <c r="D196" s="24"/>
      <c r="E196" s="24"/>
      <c r="F196" s="24"/>
      <c r="G196" s="24"/>
      <c r="H196" s="24"/>
      <c r="I196" s="24"/>
    </row>
    <row r="197" spans="4:9">
      <c r="D197" s="24"/>
      <c r="E197" s="24"/>
      <c r="F197" s="24"/>
      <c r="G197" s="24"/>
      <c r="H197" s="24"/>
      <c r="I197" s="24"/>
    </row>
    <row r="198" spans="4:9">
      <c r="D198" s="24"/>
      <c r="E198" s="24"/>
      <c r="F198" s="24"/>
      <c r="G198" s="24"/>
      <c r="H198" s="24"/>
      <c r="I198" s="24"/>
    </row>
    <row r="199" spans="4:9">
      <c r="D199" s="24"/>
      <c r="E199" s="24"/>
      <c r="F199" s="24"/>
      <c r="G199" s="24"/>
      <c r="H199" s="24"/>
      <c r="I199" s="24"/>
    </row>
    <row r="200" spans="4:9">
      <c r="D200" s="24"/>
      <c r="E200" s="24"/>
      <c r="F200" s="24"/>
      <c r="G200" s="24"/>
      <c r="H200" s="24"/>
      <c r="I200" s="24"/>
    </row>
    <row r="201" spans="4:9">
      <c r="D201" s="24"/>
      <c r="E201" s="24"/>
      <c r="F201" s="24"/>
      <c r="G201" s="24"/>
      <c r="H201" s="24"/>
      <c r="I201" s="24"/>
    </row>
    <row r="202" spans="4:9">
      <c r="D202" s="24"/>
      <c r="E202" s="24"/>
      <c r="F202" s="24"/>
      <c r="G202" s="24"/>
      <c r="H202" s="24"/>
      <c r="I202" s="24"/>
    </row>
    <row r="203" spans="4:9">
      <c r="D203" s="24"/>
      <c r="E203" s="24"/>
      <c r="F203" s="24"/>
      <c r="G203" s="24"/>
      <c r="H203" s="24"/>
      <c r="I203" s="24"/>
    </row>
    <row r="204" spans="4:9">
      <c r="D204" s="24"/>
      <c r="E204" s="24"/>
      <c r="F204" s="24"/>
      <c r="G204" s="24"/>
      <c r="H204" s="24"/>
      <c r="I204" s="24"/>
    </row>
    <row r="205" spans="4:9">
      <c r="D205" s="24"/>
      <c r="E205" s="24"/>
      <c r="F205" s="24"/>
      <c r="G205" s="24"/>
      <c r="H205" s="24"/>
      <c r="I205" s="24"/>
    </row>
    <row r="206" spans="4:9">
      <c r="D206" s="24"/>
      <c r="E206" s="24"/>
      <c r="F206" s="24"/>
      <c r="G206" s="24"/>
      <c r="H206" s="24"/>
      <c r="I206" s="24"/>
    </row>
    <row r="207" spans="4:9">
      <c r="D207" s="24"/>
      <c r="E207" s="24"/>
      <c r="F207" s="24"/>
      <c r="G207" s="24"/>
      <c r="H207" s="24"/>
      <c r="I207" s="24"/>
    </row>
    <row r="208" spans="4:9">
      <c r="D208" s="24"/>
      <c r="E208" s="24"/>
      <c r="F208" s="24"/>
      <c r="G208" s="24"/>
      <c r="H208" s="24"/>
      <c r="I208" s="24"/>
    </row>
    <row r="209" spans="4:9">
      <c r="D209" s="24"/>
      <c r="E209" s="24"/>
      <c r="F209" s="24"/>
      <c r="G209" s="24"/>
      <c r="H209" s="24"/>
      <c r="I209" s="24"/>
    </row>
    <row r="210" spans="4:9">
      <c r="D210" s="24"/>
      <c r="E210" s="24"/>
      <c r="F210" s="24"/>
      <c r="G210" s="24"/>
      <c r="H210" s="24"/>
      <c r="I210" s="24"/>
    </row>
    <row r="211" spans="4:9">
      <c r="D211" s="24"/>
      <c r="E211" s="24"/>
      <c r="F211" s="24"/>
      <c r="G211" s="24"/>
      <c r="H211" s="24"/>
      <c r="I211" s="24"/>
    </row>
    <row r="212" spans="4:9">
      <c r="D212" s="24"/>
      <c r="E212" s="24"/>
      <c r="F212" s="24"/>
      <c r="G212" s="24"/>
      <c r="H212" s="24"/>
      <c r="I212" s="24"/>
    </row>
    <row r="213" spans="4:9">
      <c r="D213" s="24"/>
      <c r="E213" s="24"/>
      <c r="F213" s="24"/>
      <c r="G213" s="24"/>
      <c r="H213" s="24"/>
      <c r="I213" s="24"/>
    </row>
    <row r="214" spans="4:9">
      <c r="D214" s="24"/>
      <c r="E214" s="24"/>
      <c r="F214" s="24"/>
      <c r="G214" s="24"/>
      <c r="H214" s="24"/>
      <c r="I214" s="24"/>
    </row>
    <row r="215" spans="4:9">
      <c r="D215" s="24"/>
      <c r="E215" s="24"/>
      <c r="F215" s="24"/>
      <c r="G215" s="24"/>
      <c r="H215" s="24"/>
      <c r="I215" s="24"/>
    </row>
    <row r="216" spans="4:9">
      <c r="D216" s="24"/>
      <c r="E216" s="24"/>
      <c r="F216" s="24"/>
      <c r="G216" s="24"/>
      <c r="H216" s="24"/>
      <c r="I216" s="24"/>
    </row>
    <row r="217" spans="4:9">
      <c r="D217" s="24"/>
      <c r="E217" s="24"/>
      <c r="F217" s="24"/>
      <c r="G217" s="24"/>
      <c r="H217" s="24"/>
      <c r="I217" s="24"/>
    </row>
    <row r="218" spans="4:9">
      <c r="D218" s="24"/>
      <c r="E218" s="24"/>
      <c r="F218" s="24"/>
      <c r="G218" s="24"/>
      <c r="H218" s="24"/>
      <c r="I218" s="24"/>
    </row>
    <row r="219" spans="4:9">
      <c r="D219" s="24"/>
      <c r="E219" s="24"/>
      <c r="F219" s="24"/>
      <c r="G219" s="24"/>
      <c r="H219" s="24"/>
      <c r="I219" s="24"/>
    </row>
    <row r="220" spans="4:9">
      <c r="D220" s="24"/>
      <c r="E220" s="24"/>
      <c r="F220" s="24"/>
      <c r="G220" s="24"/>
      <c r="H220" s="24"/>
      <c r="I220" s="24"/>
    </row>
    <row r="221" spans="4:9">
      <c r="D221" s="24"/>
      <c r="E221" s="24"/>
      <c r="F221" s="24"/>
      <c r="G221" s="24"/>
      <c r="H221" s="24"/>
      <c r="I221" s="24"/>
    </row>
    <row r="222" spans="4:9">
      <c r="D222" s="24"/>
      <c r="E222" s="24"/>
      <c r="F222" s="24"/>
      <c r="G222" s="24"/>
      <c r="H222" s="24"/>
      <c r="I222" s="24"/>
    </row>
    <row r="223" spans="4:9">
      <c r="D223" s="24"/>
      <c r="E223" s="24"/>
      <c r="F223" s="24"/>
      <c r="G223" s="24"/>
      <c r="H223" s="24"/>
      <c r="I223" s="24"/>
    </row>
    <row r="224" spans="4:9">
      <c r="D224" s="24"/>
      <c r="E224" s="24"/>
      <c r="F224" s="24"/>
      <c r="G224" s="24"/>
      <c r="H224" s="24"/>
      <c r="I224" s="24"/>
    </row>
    <row r="225" spans="4:9">
      <c r="D225" s="24"/>
      <c r="E225" s="24"/>
      <c r="F225" s="24"/>
      <c r="G225" s="24"/>
      <c r="H225" s="24"/>
      <c r="I225" s="24"/>
    </row>
    <row r="226" spans="4:9">
      <c r="D226" s="24"/>
      <c r="E226" s="24"/>
      <c r="F226" s="24"/>
      <c r="G226" s="24"/>
      <c r="H226" s="24"/>
      <c r="I226" s="24"/>
    </row>
    <row r="227" spans="4:9">
      <c r="D227" s="24"/>
      <c r="E227" s="24"/>
      <c r="F227" s="24"/>
      <c r="G227" s="24"/>
      <c r="H227" s="24"/>
      <c r="I227" s="24"/>
    </row>
    <row r="228" spans="4:9">
      <c r="D228" s="24"/>
      <c r="E228" s="24"/>
      <c r="F228" s="24"/>
      <c r="G228" s="24"/>
      <c r="H228" s="24"/>
      <c r="I228" s="24"/>
    </row>
    <row r="229" spans="4:9">
      <c r="D229" s="24"/>
      <c r="E229" s="24"/>
      <c r="F229" s="24"/>
      <c r="G229" s="24"/>
      <c r="H229" s="24"/>
      <c r="I229" s="24"/>
    </row>
    <row r="230" spans="4:9">
      <c r="D230" s="24"/>
      <c r="E230" s="24"/>
      <c r="F230" s="24"/>
      <c r="G230" s="24"/>
      <c r="H230" s="24"/>
      <c r="I230" s="24"/>
    </row>
    <row r="231" spans="4:9">
      <c r="D231" s="24"/>
      <c r="E231" s="24"/>
      <c r="F231" s="24"/>
      <c r="G231" s="24"/>
      <c r="H231" s="24"/>
      <c r="I231" s="24"/>
    </row>
    <row r="232" spans="4:9">
      <c r="D232" s="24"/>
      <c r="E232" s="24"/>
      <c r="F232" s="24"/>
      <c r="G232" s="24"/>
      <c r="H232" s="24"/>
      <c r="I232" s="24"/>
    </row>
    <row r="233" spans="4:9">
      <c r="D233" s="24"/>
      <c r="E233" s="24"/>
      <c r="F233" s="24"/>
      <c r="G233" s="24"/>
      <c r="H233" s="24"/>
      <c r="I233" s="24"/>
    </row>
    <row r="234" spans="4:9">
      <c r="D234" s="24"/>
      <c r="E234" s="24"/>
      <c r="F234" s="24"/>
      <c r="G234" s="24"/>
      <c r="H234" s="24"/>
      <c r="I234" s="24"/>
    </row>
    <row r="235" spans="4:9">
      <c r="D235" s="24"/>
      <c r="E235" s="24"/>
      <c r="F235" s="24"/>
      <c r="G235" s="24"/>
      <c r="H235" s="24"/>
      <c r="I235" s="24"/>
    </row>
    <row r="236" spans="4:9">
      <c r="D236" s="24"/>
      <c r="E236" s="24"/>
      <c r="F236" s="24"/>
      <c r="G236" s="24"/>
      <c r="H236" s="24"/>
      <c r="I236" s="24"/>
    </row>
    <row r="237" spans="4:9">
      <c r="D237" s="24"/>
      <c r="E237" s="24"/>
      <c r="F237" s="24"/>
      <c r="G237" s="24"/>
      <c r="H237" s="24"/>
      <c r="I237" s="24"/>
    </row>
    <row r="238" spans="4:9">
      <c r="D238" s="24"/>
      <c r="E238" s="24"/>
      <c r="F238" s="24"/>
      <c r="G238" s="24"/>
      <c r="H238" s="24"/>
      <c r="I238" s="24"/>
    </row>
    <row r="239" spans="4:9">
      <c r="D239" s="24"/>
      <c r="E239" s="24"/>
      <c r="F239" s="24"/>
      <c r="G239" s="24"/>
      <c r="H239" s="24"/>
      <c r="I239" s="24"/>
    </row>
    <row r="240" spans="4:9">
      <c r="D240" s="24"/>
      <c r="E240" s="24"/>
      <c r="F240" s="24"/>
      <c r="G240" s="24"/>
      <c r="H240" s="24"/>
      <c r="I240" s="24"/>
    </row>
    <row r="241" spans="4:9">
      <c r="D241" s="24"/>
      <c r="E241" s="24"/>
      <c r="F241" s="24"/>
      <c r="G241" s="24"/>
      <c r="H241" s="24"/>
      <c r="I241" s="24"/>
    </row>
    <row r="242" spans="4:9">
      <c r="D242" s="24"/>
      <c r="E242" s="24"/>
      <c r="F242" s="24"/>
      <c r="G242" s="24"/>
      <c r="H242" s="24"/>
      <c r="I242" s="24"/>
    </row>
    <row r="243" spans="4:9">
      <c r="D243" s="24"/>
      <c r="E243" s="24"/>
      <c r="F243" s="24"/>
      <c r="G243" s="24"/>
      <c r="H243" s="24"/>
      <c r="I243" s="24"/>
    </row>
    <row r="244" spans="4:9">
      <c r="D244" s="24"/>
      <c r="E244" s="24"/>
      <c r="F244" s="24"/>
      <c r="G244" s="24"/>
      <c r="H244" s="24"/>
      <c r="I244" s="24"/>
    </row>
    <row r="245" spans="4:9">
      <c r="D245" s="24"/>
      <c r="E245" s="24"/>
      <c r="F245" s="24"/>
      <c r="G245" s="24"/>
      <c r="H245" s="24"/>
      <c r="I245" s="24"/>
    </row>
    <row r="246" spans="4:9">
      <c r="D246" s="24"/>
      <c r="E246" s="24"/>
      <c r="F246" s="24"/>
      <c r="G246" s="24"/>
      <c r="H246" s="24"/>
      <c r="I246" s="24"/>
    </row>
    <row r="247" spans="4:9">
      <c r="D247" s="24"/>
      <c r="E247" s="24"/>
      <c r="F247" s="24"/>
      <c r="G247" s="24"/>
      <c r="H247" s="24"/>
      <c r="I247" s="24"/>
    </row>
    <row r="248" spans="4:9">
      <c r="D248" s="24"/>
      <c r="E248" s="24"/>
      <c r="F248" s="24"/>
      <c r="G248" s="24"/>
      <c r="H248" s="24"/>
      <c r="I248" s="24"/>
    </row>
    <row r="249" spans="4:9">
      <c r="D249" s="24"/>
      <c r="E249" s="24"/>
      <c r="F249" s="24"/>
      <c r="G249" s="24"/>
      <c r="H249" s="24"/>
      <c r="I249" s="24"/>
    </row>
    <row r="250" spans="4:9">
      <c r="D250" s="24"/>
      <c r="E250" s="24"/>
      <c r="F250" s="24"/>
      <c r="G250" s="24"/>
      <c r="H250" s="24"/>
      <c r="I250" s="24"/>
    </row>
    <row r="251" spans="4:9">
      <c r="D251" s="24"/>
      <c r="E251" s="24"/>
      <c r="F251" s="24"/>
      <c r="G251" s="24"/>
      <c r="H251" s="24"/>
      <c r="I251" s="24"/>
    </row>
    <row r="252" spans="4:9">
      <c r="D252" s="24"/>
      <c r="E252" s="24"/>
      <c r="F252" s="24"/>
      <c r="G252" s="24"/>
      <c r="H252" s="24"/>
      <c r="I252" s="24"/>
    </row>
    <row r="253" spans="4:9">
      <c r="D253" s="24"/>
      <c r="E253" s="24"/>
      <c r="F253" s="24"/>
      <c r="G253" s="24"/>
      <c r="H253" s="24"/>
      <c r="I253" s="24"/>
    </row>
    <row r="254" spans="4:9">
      <c r="D254" s="24"/>
      <c r="E254" s="24"/>
      <c r="F254" s="24"/>
      <c r="G254" s="24"/>
      <c r="H254" s="24"/>
      <c r="I254" s="24"/>
    </row>
    <row r="255" spans="4:9">
      <c r="D255" s="24"/>
      <c r="E255" s="24"/>
      <c r="F255" s="24"/>
      <c r="G255" s="24"/>
      <c r="H255" s="24"/>
      <c r="I255" s="24"/>
    </row>
    <row r="256" spans="4:9">
      <c r="D256" s="24"/>
      <c r="E256" s="24"/>
      <c r="F256" s="24"/>
      <c r="G256" s="24"/>
      <c r="H256" s="24"/>
      <c r="I256" s="24"/>
    </row>
    <row r="257" spans="4:9">
      <c r="D257" s="24"/>
      <c r="E257" s="24"/>
      <c r="F257" s="24"/>
      <c r="G257" s="24"/>
      <c r="H257" s="24"/>
      <c r="I257" s="24"/>
    </row>
    <row r="258" spans="4:9">
      <c r="D258" s="24"/>
      <c r="E258" s="24"/>
      <c r="F258" s="24"/>
      <c r="G258" s="24"/>
      <c r="H258" s="24"/>
      <c r="I258" s="24"/>
    </row>
    <row r="259" spans="4:9">
      <c r="D259" s="24"/>
      <c r="E259" s="24"/>
      <c r="F259" s="24"/>
      <c r="G259" s="24"/>
      <c r="H259" s="24"/>
      <c r="I259" s="24"/>
    </row>
    <row r="260" spans="4:9">
      <c r="D260" s="24"/>
      <c r="E260" s="24"/>
      <c r="F260" s="24"/>
      <c r="G260" s="24"/>
      <c r="H260" s="24"/>
      <c r="I260" s="24"/>
    </row>
    <row r="261" spans="4:9">
      <c r="D261" s="24"/>
      <c r="E261" s="24"/>
      <c r="F261" s="24"/>
      <c r="G261" s="24"/>
      <c r="H261" s="24"/>
      <c r="I261" s="24"/>
    </row>
    <row r="262" spans="4:9">
      <c r="D262" s="24"/>
      <c r="E262" s="24"/>
      <c r="F262" s="24"/>
      <c r="G262" s="24"/>
      <c r="H262" s="24"/>
      <c r="I262" s="24"/>
    </row>
    <row r="263" spans="4:9">
      <c r="D263" s="24"/>
      <c r="E263" s="24"/>
      <c r="F263" s="24"/>
      <c r="G263" s="24"/>
      <c r="H263" s="24"/>
      <c r="I263" s="24"/>
    </row>
    <row r="264" spans="4:9">
      <c r="D264" s="24"/>
      <c r="E264" s="24"/>
      <c r="F264" s="24"/>
      <c r="G264" s="24"/>
      <c r="H264" s="24"/>
      <c r="I264" s="24"/>
    </row>
    <row r="265" spans="4:9">
      <c r="D265" s="24"/>
      <c r="E265" s="24"/>
      <c r="F265" s="24"/>
      <c r="G265" s="24"/>
      <c r="H265" s="24"/>
      <c r="I265" s="24"/>
    </row>
    <row r="266" spans="4:9">
      <c r="D266" s="24"/>
      <c r="E266" s="24"/>
      <c r="F266" s="24"/>
      <c r="G266" s="24"/>
      <c r="H266" s="24"/>
      <c r="I266" s="24"/>
    </row>
    <row r="267" spans="4:9">
      <c r="D267" s="24"/>
      <c r="E267" s="24"/>
      <c r="F267" s="24"/>
      <c r="G267" s="24"/>
      <c r="H267" s="24"/>
      <c r="I267" s="24"/>
    </row>
    <row r="268" spans="4:9">
      <c r="D268" s="24"/>
      <c r="E268" s="24"/>
      <c r="F268" s="24"/>
      <c r="G268" s="24"/>
      <c r="H268" s="24"/>
      <c r="I268" s="24"/>
    </row>
    <row r="269" spans="4:9">
      <c r="D269" s="24"/>
      <c r="E269" s="24"/>
      <c r="F269" s="24"/>
      <c r="G269" s="24"/>
      <c r="H269" s="24"/>
      <c r="I269" s="24"/>
    </row>
    <row r="270" spans="4:9">
      <c r="D270" s="24"/>
      <c r="E270" s="24"/>
      <c r="F270" s="24"/>
      <c r="G270" s="24"/>
      <c r="H270" s="24"/>
      <c r="I270" s="24"/>
    </row>
    <row r="271" spans="4:9">
      <c r="D271" s="24"/>
      <c r="E271" s="24"/>
      <c r="F271" s="24"/>
      <c r="G271" s="24"/>
      <c r="H271" s="24"/>
      <c r="I271" s="24"/>
    </row>
    <row r="272" spans="4:9">
      <c r="D272" s="24"/>
      <c r="E272" s="24"/>
      <c r="F272" s="24"/>
      <c r="G272" s="24"/>
      <c r="H272" s="24"/>
      <c r="I272" s="24"/>
    </row>
    <row r="273" spans="4:9">
      <c r="D273" s="24"/>
      <c r="E273" s="24"/>
      <c r="F273" s="24"/>
      <c r="G273" s="24"/>
      <c r="H273" s="24"/>
      <c r="I273" s="24"/>
    </row>
    <row r="274" spans="4:9">
      <c r="D274" s="24"/>
      <c r="E274" s="24"/>
      <c r="F274" s="24"/>
      <c r="G274" s="24"/>
      <c r="H274" s="24"/>
      <c r="I274" s="24"/>
    </row>
    <row r="275" spans="4:9">
      <c r="D275" s="24"/>
      <c r="E275" s="24"/>
      <c r="F275" s="24"/>
      <c r="G275" s="24"/>
      <c r="H275" s="24"/>
      <c r="I275" s="24"/>
    </row>
    <row r="276" spans="4:9">
      <c r="D276" s="24"/>
      <c r="E276" s="24"/>
      <c r="F276" s="24"/>
      <c r="G276" s="24"/>
      <c r="H276" s="24"/>
      <c r="I276" s="24"/>
    </row>
    <row r="277" spans="4:9">
      <c r="D277" s="24"/>
      <c r="E277" s="24"/>
      <c r="F277" s="24"/>
      <c r="G277" s="24"/>
      <c r="H277" s="24"/>
      <c r="I277" s="24"/>
    </row>
    <row r="278" spans="4:9">
      <c r="D278" s="24"/>
      <c r="E278" s="24"/>
      <c r="F278" s="24"/>
      <c r="G278" s="24"/>
      <c r="H278" s="24"/>
      <c r="I278" s="24"/>
    </row>
    <row r="279" spans="4:9">
      <c r="D279" s="24"/>
      <c r="E279" s="24"/>
      <c r="F279" s="24"/>
      <c r="G279" s="24"/>
      <c r="H279" s="24"/>
      <c r="I279" s="24"/>
    </row>
    <row r="280" spans="4:9">
      <c r="D280" s="24"/>
      <c r="E280" s="24"/>
      <c r="F280" s="24"/>
      <c r="G280" s="24"/>
      <c r="H280" s="24"/>
      <c r="I280" s="24"/>
    </row>
    <row r="281" spans="4:9">
      <c r="D281" s="24"/>
      <c r="E281" s="24"/>
      <c r="F281" s="24"/>
      <c r="G281" s="24"/>
      <c r="H281" s="24"/>
      <c r="I281" s="24"/>
    </row>
    <row r="282" spans="4:9">
      <c r="D282" s="24"/>
      <c r="E282" s="24"/>
      <c r="F282" s="24"/>
      <c r="G282" s="24"/>
      <c r="H282" s="24"/>
      <c r="I282" s="24"/>
    </row>
    <row r="283" spans="4:9">
      <c r="D283" s="24"/>
      <c r="E283" s="24"/>
      <c r="F283" s="24"/>
      <c r="G283" s="24"/>
      <c r="H283" s="24"/>
      <c r="I283" s="24"/>
    </row>
    <row r="284" spans="4:9">
      <c r="D284" s="24"/>
      <c r="E284" s="24"/>
      <c r="F284" s="24"/>
      <c r="G284" s="24"/>
      <c r="H284" s="24"/>
      <c r="I284" s="24"/>
    </row>
    <row r="285" spans="4:9">
      <c r="D285" s="24"/>
      <c r="E285" s="24"/>
      <c r="F285" s="24"/>
      <c r="G285" s="24"/>
      <c r="H285" s="24"/>
      <c r="I285" s="24"/>
    </row>
    <row r="286" spans="4:9">
      <c r="D286" s="24"/>
      <c r="E286" s="24"/>
      <c r="F286" s="24"/>
      <c r="G286" s="24"/>
      <c r="H286" s="24"/>
      <c r="I286" s="24"/>
    </row>
    <row r="287" spans="4:9">
      <c r="D287" s="24"/>
      <c r="E287" s="24"/>
      <c r="F287" s="24"/>
      <c r="G287" s="24"/>
      <c r="H287" s="24"/>
      <c r="I287" s="24"/>
    </row>
    <row r="288" spans="4:9">
      <c r="D288" s="24"/>
      <c r="E288" s="24"/>
      <c r="F288" s="24"/>
      <c r="G288" s="24"/>
      <c r="H288" s="24"/>
      <c r="I288" s="24"/>
    </row>
    <row r="289" spans="4:9">
      <c r="D289" s="24"/>
      <c r="E289" s="24"/>
      <c r="F289" s="24"/>
      <c r="G289" s="24"/>
      <c r="H289" s="24"/>
      <c r="I289" s="24"/>
    </row>
    <row r="290" spans="4:9">
      <c r="D290" s="24"/>
      <c r="E290" s="24"/>
      <c r="F290" s="24"/>
      <c r="G290" s="24"/>
      <c r="H290" s="24"/>
      <c r="I290" s="24"/>
    </row>
    <row r="291" spans="4:9">
      <c r="D291" s="24"/>
      <c r="E291" s="24"/>
      <c r="F291" s="24"/>
      <c r="G291" s="24"/>
      <c r="H291" s="24"/>
      <c r="I291" s="24"/>
    </row>
    <row r="292" spans="4:9">
      <c r="D292" s="24"/>
      <c r="E292" s="24"/>
      <c r="F292" s="24"/>
      <c r="G292" s="24"/>
      <c r="H292" s="24"/>
      <c r="I292" s="24"/>
    </row>
    <row r="293" spans="4:9">
      <c r="D293" s="24"/>
      <c r="E293" s="24"/>
      <c r="F293" s="24"/>
      <c r="G293" s="24"/>
      <c r="H293" s="24"/>
      <c r="I293" s="24"/>
    </row>
    <row r="294" spans="4:9">
      <c r="D294" s="24"/>
      <c r="E294" s="24"/>
      <c r="F294" s="24"/>
      <c r="G294" s="24"/>
      <c r="H294" s="24"/>
      <c r="I294" s="24"/>
    </row>
    <row r="295" spans="4:9">
      <c r="D295" s="24"/>
      <c r="E295" s="24"/>
      <c r="F295" s="24"/>
      <c r="G295" s="24"/>
      <c r="H295" s="24"/>
      <c r="I295" s="24"/>
    </row>
    <row r="296" spans="4:9">
      <c r="D296" s="24"/>
      <c r="E296" s="24"/>
      <c r="F296" s="24"/>
      <c r="G296" s="24"/>
      <c r="H296" s="24"/>
      <c r="I296" s="24"/>
    </row>
    <row r="297" spans="4:9">
      <c r="D297" s="24"/>
      <c r="E297" s="24"/>
      <c r="F297" s="24"/>
      <c r="G297" s="24"/>
      <c r="H297" s="24"/>
      <c r="I297" s="24"/>
    </row>
    <row r="298" spans="4:9">
      <c r="D298" s="24"/>
      <c r="E298" s="24"/>
      <c r="F298" s="24"/>
      <c r="G298" s="24"/>
      <c r="H298" s="24"/>
      <c r="I298" s="24"/>
    </row>
    <row r="299" spans="4:9">
      <c r="D299" s="24"/>
      <c r="E299" s="24"/>
      <c r="F299" s="24"/>
      <c r="G299" s="24"/>
      <c r="H299" s="24"/>
      <c r="I299" s="24"/>
    </row>
    <row r="300" spans="4:9">
      <c r="D300" s="24"/>
      <c r="E300" s="24"/>
      <c r="F300" s="24"/>
      <c r="G300" s="24"/>
      <c r="H300" s="24"/>
      <c r="I300" s="24"/>
    </row>
    <row r="301" spans="4:9">
      <c r="D301" s="24"/>
      <c r="E301" s="24"/>
      <c r="F301" s="24"/>
      <c r="G301" s="24"/>
      <c r="H301" s="24"/>
      <c r="I301" s="24"/>
    </row>
    <row r="307" spans="9:9">
      <c r="I307" s="24"/>
    </row>
    <row r="308" spans="9:9">
      <c r="I308" s="24"/>
    </row>
    <row r="309" spans="9:9">
      <c r="I309" s="24"/>
    </row>
  </sheetData>
  <mergeCells count="3">
    <mergeCell ref="A1:K1"/>
    <mergeCell ref="M1:S1"/>
    <mergeCell ref="V1:AD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49E2B-A682-42B9-91AC-123B12EBD1CE}">
  <dimension ref="A1:G135"/>
  <sheetViews>
    <sheetView zoomScale="125" workbookViewId="0">
      <selection activeCell="F52" sqref="F52"/>
    </sheetView>
  </sheetViews>
  <sheetFormatPr baseColWidth="10" defaultColWidth="8.83203125" defaultRowHeight="15"/>
  <cols>
    <col min="2" max="2" width="16.1640625" customWidth="1"/>
    <col min="3" max="3" width="20.83203125" customWidth="1"/>
    <col min="5" max="5" width="15.33203125" customWidth="1"/>
  </cols>
  <sheetData>
    <row r="1" spans="1:7">
      <c r="A1" s="35" t="s">
        <v>150</v>
      </c>
      <c r="B1" s="24" t="s">
        <v>68</v>
      </c>
      <c r="C1" s="24" t="s">
        <v>69</v>
      </c>
      <c r="D1" s="26" t="s">
        <v>70</v>
      </c>
      <c r="E1" s="27" t="s">
        <v>71</v>
      </c>
      <c r="F1" s="27" t="s">
        <v>72</v>
      </c>
      <c r="G1" s="27" t="s">
        <v>73</v>
      </c>
    </row>
    <row r="2" spans="1:7">
      <c r="A2" s="35"/>
      <c r="B2" s="24"/>
      <c r="C2" s="24"/>
      <c r="D2" s="28" t="s">
        <v>151</v>
      </c>
      <c r="E2" s="24" t="s">
        <v>151</v>
      </c>
      <c r="F2" s="24" t="s">
        <v>85</v>
      </c>
      <c r="G2" s="24" t="s">
        <v>362</v>
      </c>
    </row>
    <row r="3" spans="1:7">
      <c r="A3" s="38" t="s">
        <v>96</v>
      </c>
      <c r="B3" s="39" t="s">
        <v>97</v>
      </c>
      <c r="C3" s="39" t="s">
        <v>98</v>
      </c>
      <c r="D3" s="40">
        <v>0.60416666666666663</v>
      </c>
      <c r="E3" s="41">
        <v>0.89583333333333337</v>
      </c>
      <c r="F3" s="42">
        <f t="shared" ref="F3:F8" si="0">(E3-D3)*24</f>
        <v>7.0000000000000018</v>
      </c>
      <c r="G3" s="82">
        <v>6</v>
      </c>
    </row>
    <row r="4" spans="1:7">
      <c r="A4" s="35" t="s">
        <v>99</v>
      </c>
      <c r="B4" s="24" t="s">
        <v>100</v>
      </c>
      <c r="C4" s="24"/>
      <c r="D4" s="30">
        <v>0.14583333333333334</v>
      </c>
      <c r="E4" s="31">
        <v>0.15277777777777776</v>
      </c>
      <c r="F4" s="32">
        <f t="shared" si="0"/>
        <v>0.16666666666666607</v>
      </c>
      <c r="G4" s="32">
        <f t="shared" ref="G4:G10" si="1">(D5-E4)*24</f>
        <v>2.0000000000000009</v>
      </c>
    </row>
    <row r="5" spans="1:7">
      <c r="A5" s="35"/>
      <c r="B5" s="24" t="s">
        <v>101</v>
      </c>
      <c r="C5" s="24"/>
      <c r="D5" s="30">
        <v>0.23611111111111113</v>
      </c>
      <c r="E5" s="31">
        <v>0.24305555555555555</v>
      </c>
      <c r="F5" s="32">
        <f t="shared" si="0"/>
        <v>0.16666666666666607</v>
      </c>
      <c r="G5" s="32">
        <v>2.4</v>
      </c>
    </row>
    <row r="6" spans="1:7">
      <c r="A6" s="35"/>
      <c r="B6" s="24" t="s">
        <v>102</v>
      </c>
      <c r="C6" s="24"/>
      <c r="D6" s="30">
        <v>0.35416666666666669</v>
      </c>
      <c r="E6" s="31">
        <v>0.3611111111111111</v>
      </c>
      <c r="F6" s="32">
        <f t="shared" si="0"/>
        <v>0.16666666666666607</v>
      </c>
      <c r="G6" s="32">
        <v>1.05</v>
      </c>
    </row>
    <row r="7" spans="1:7">
      <c r="A7" s="38"/>
      <c r="B7" s="39" t="s">
        <v>103</v>
      </c>
      <c r="C7" s="39" t="s">
        <v>98</v>
      </c>
      <c r="D7" s="40">
        <v>0.40625</v>
      </c>
      <c r="E7" s="41">
        <v>0.5625</v>
      </c>
      <c r="F7" s="42">
        <f t="shared" si="0"/>
        <v>3.75</v>
      </c>
      <c r="G7" s="32">
        <v>2.4500000000000002</v>
      </c>
    </row>
    <row r="8" spans="1:7">
      <c r="B8" s="24" t="s">
        <v>104</v>
      </c>
      <c r="C8" s="24"/>
      <c r="D8" s="30">
        <v>0.67708333333333337</v>
      </c>
      <c r="E8" s="31">
        <v>0.79166666666666663</v>
      </c>
      <c r="F8" s="32">
        <f t="shared" si="0"/>
        <v>2.7499999999999982</v>
      </c>
      <c r="G8" s="32">
        <f t="shared" si="1"/>
        <v>3.5000000000000009</v>
      </c>
    </row>
    <row r="9" spans="1:7">
      <c r="A9" s="35" t="s">
        <v>105</v>
      </c>
      <c r="B9" s="24" t="s">
        <v>106</v>
      </c>
      <c r="C9" s="24"/>
      <c r="D9" s="30">
        <v>0.9375</v>
      </c>
      <c r="E9" s="31">
        <v>6.25E-2</v>
      </c>
      <c r="F9" s="32">
        <v>3</v>
      </c>
      <c r="G9" s="32">
        <v>8.3000000000000007</v>
      </c>
    </row>
    <row r="10" spans="1:7">
      <c r="A10" s="38"/>
      <c r="B10" s="39" t="s">
        <v>107</v>
      </c>
      <c r="C10" s="39" t="s">
        <v>98</v>
      </c>
      <c r="D10" s="40">
        <v>0.41666666666666669</v>
      </c>
      <c r="E10" s="41">
        <v>0.55208333333333337</v>
      </c>
      <c r="F10" s="69">
        <f>'Data Kystruten'!B54</f>
        <v>3.35</v>
      </c>
      <c r="G10" s="82">
        <f t="shared" si="1"/>
        <v>9</v>
      </c>
    </row>
    <row r="11" spans="1:7">
      <c r="A11" s="35"/>
      <c r="B11" s="24" t="s">
        <v>108</v>
      </c>
      <c r="C11" s="24"/>
      <c r="D11" s="30">
        <v>0.92708333333333337</v>
      </c>
      <c r="E11" s="31">
        <v>0.9375</v>
      </c>
      <c r="F11">
        <f>(E11-D11)*24</f>
        <v>0.24999999999999911</v>
      </c>
      <c r="G11" s="32">
        <v>2.15</v>
      </c>
    </row>
    <row r="12" spans="1:7">
      <c r="A12" s="35" t="s">
        <v>109</v>
      </c>
      <c r="B12" s="24" t="s">
        <v>110</v>
      </c>
      <c r="C12" s="24"/>
      <c r="D12" s="30">
        <v>7.2916666666666671E-2</v>
      </c>
      <c r="E12" s="31">
        <v>7.9861111111111105E-2</v>
      </c>
      <c r="F12" s="32">
        <f>(E12-D12)*24</f>
        <v>0.16666666666666641</v>
      </c>
      <c r="G12" s="32">
        <v>2.4</v>
      </c>
    </row>
    <row r="13" spans="1:7">
      <c r="A13" s="35"/>
      <c r="B13" s="24" t="s">
        <v>111</v>
      </c>
      <c r="C13" s="81"/>
      <c r="D13" s="30">
        <v>0.19097222222222221</v>
      </c>
      <c r="E13" s="31">
        <v>0.19791666666666666</v>
      </c>
      <c r="F13" s="32">
        <f>(E13-D13)*24</f>
        <v>0.16666666666666674</v>
      </c>
      <c r="G13" s="32">
        <f t="shared" ref="G13:G17" si="2">(D14-E13)*24</f>
        <v>1.1666666666666672</v>
      </c>
    </row>
    <row r="14" spans="1:7">
      <c r="A14" s="35"/>
      <c r="B14" s="24" t="s">
        <v>113</v>
      </c>
      <c r="C14" s="24"/>
      <c r="D14" s="30">
        <v>0.24652777777777779</v>
      </c>
      <c r="E14" s="31">
        <v>0.25347222222222221</v>
      </c>
      <c r="F14" s="32">
        <f>(E14-D14)*24</f>
        <v>0.16666666666666607</v>
      </c>
      <c r="G14" s="32">
        <f t="shared" si="2"/>
        <v>3.666666666666667</v>
      </c>
    </row>
    <row r="15" spans="1:7">
      <c r="A15" s="35"/>
      <c r="B15" s="24" t="s">
        <v>114</v>
      </c>
      <c r="C15" s="24"/>
      <c r="D15" s="30">
        <v>0.40625</v>
      </c>
      <c r="E15" s="31">
        <v>0.41319444444444442</v>
      </c>
      <c r="F15" s="32">
        <f>(E15-D15)*24</f>
        <v>0.16666666666666607</v>
      </c>
      <c r="G15" s="32">
        <f t="shared" si="2"/>
        <v>2.7500000000000009</v>
      </c>
    </row>
    <row r="16" spans="1:7">
      <c r="A16" s="38"/>
      <c r="B16" s="39" t="s">
        <v>115</v>
      </c>
      <c r="C16" s="39" t="s">
        <v>98</v>
      </c>
      <c r="D16" s="40">
        <v>0.52777777777777779</v>
      </c>
      <c r="E16" s="41">
        <v>0.625</v>
      </c>
      <c r="F16" s="79">
        <f>F10</f>
        <v>3.35</v>
      </c>
      <c r="G16" s="82">
        <f t="shared" si="2"/>
        <v>3.9999999999999991</v>
      </c>
    </row>
    <row r="17" spans="1:7">
      <c r="A17" s="35"/>
      <c r="B17" s="24" t="s">
        <v>116</v>
      </c>
      <c r="C17" s="24"/>
      <c r="D17" s="30">
        <v>0.79166666666666663</v>
      </c>
      <c r="E17" s="31">
        <v>0.8125</v>
      </c>
      <c r="F17" s="32">
        <f t="shared" ref="F17:F41" si="3">(E17-D17)*24</f>
        <v>0.50000000000000089</v>
      </c>
      <c r="G17" s="32">
        <f t="shared" si="2"/>
        <v>1.5</v>
      </c>
    </row>
    <row r="18" spans="1:7">
      <c r="A18" s="35"/>
      <c r="B18" s="24" t="s">
        <v>117</v>
      </c>
      <c r="C18" s="24"/>
      <c r="D18" s="30">
        <v>0.875</v>
      </c>
      <c r="E18" s="31">
        <v>0.91666666666666663</v>
      </c>
      <c r="F18" s="32">
        <f t="shared" si="3"/>
        <v>0.99999999999999911</v>
      </c>
      <c r="G18" s="32">
        <v>3</v>
      </c>
    </row>
    <row r="19" spans="1:7">
      <c r="A19" s="35" t="s">
        <v>118</v>
      </c>
      <c r="B19" s="24" t="s">
        <v>119</v>
      </c>
      <c r="C19" s="24"/>
      <c r="D19" s="30">
        <v>4.1666666666666664E-2</v>
      </c>
      <c r="E19" s="31">
        <v>5.2083333333333336E-2</v>
      </c>
      <c r="F19" s="32">
        <f t="shared" si="3"/>
        <v>0.25000000000000011</v>
      </c>
      <c r="G19" s="32">
        <f t="shared" ref="G19:G24" si="4">(D20-E19)*24</f>
        <v>1.4999999999999998</v>
      </c>
    </row>
    <row r="20" spans="1:7">
      <c r="A20" s="35"/>
      <c r="B20" s="24" t="s">
        <v>120</v>
      </c>
      <c r="C20" s="24"/>
      <c r="D20" s="30">
        <v>0.11458333333333333</v>
      </c>
      <c r="E20" s="31">
        <v>0.125</v>
      </c>
      <c r="F20" s="32">
        <f t="shared" si="3"/>
        <v>0.25000000000000011</v>
      </c>
      <c r="G20" s="32">
        <f t="shared" si="4"/>
        <v>1.2500000000000002</v>
      </c>
    </row>
    <row r="21" spans="1:7">
      <c r="A21" s="35"/>
      <c r="B21" s="24" t="s">
        <v>121</v>
      </c>
      <c r="C21" s="24"/>
      <c r="D21" s="30">
        <v>0.17708333333333334</v>
      </c>
      <c r="E21" s="31">
        <v>0.1875</v>
      </c>
      <c r="F21" s="32">
        <f t="shared" si="3"/>
        <v>0.24999999999999978</v>
      </c>
      <c r="G21" s="32">
        <f t="shared" si="4"/>
        <v>2.25</v>
      </c>
    </row>
    <row r="22" spans="1:7">
      <c r="A22" s="35"/>
      <c r="B22" s="24" t="s">
        <v>122</v>
      </c>
      <c r="C22" s="24"/>
      <c r="D22" s="30">
        <v>0.28125</v>
      </c>
      <c r="E22" s="31">
        <v>0.32291666666666669</v>
      </c>
      <c r="F22" s="32">
        <f t="shared" si="3"/>
        <v>1.0000000000000004</v>
      </c>
      <c r="G22" s="32">
        <f t="shared" si="4"/>
        <v>3.2499999999999991</v>
      </c>
    </row>
    <row r="23" spans="1:7">
      <c r="A23" s="35"/>
      <c r="B23" s="24" t="s">
        <v>123</v>
      </c>
      <c r="C23" s="24"/>
      <c r="D23" s="30">
        <v>0.45833333333333331</v>
      </c>
      <c r="E23" s="31">
        <v>0.47916666666666669</v>
      </c>
      <c r="F23" s="32">
        <f t="shared" si="3"/>
        <v>0.50000000000000089</v>
      </c>
      <c r="G23" s="32">
        <f t="shared" si="4"/>
        <v>2.7499999999999996</v>
      </c>
    </row>
    <row r="24" spans="1:7">
      <c r="A24" s="38"/>
      <c r="B24" s="39" t="s">
        <v>124</v>
      </c>
      <c r="C24" s="39" t="s">
        <v>98</v>
      </c>
      <c r="D24" s="40">
        <v>0.59375</v>
      </c>
      <c r="E24" s="41">
        <v>0.77083333333333337</v>
      </c>
      <c r="F24" s="42">
        <f t="shared" si="3"/>
        <v>4.2500000000000009</v>
      </c>
      <c r="G24" s="32">
        <f t="shared" si="4"/>
        <v>3.9999999999999991</v>
      </c>
    </row>
    <row r="25" spans="1:7">
      <c r="A25" s="35"/>
      <c r="B25" s="24" t="s">
        <v>125</v>
      </c>
      <c r="C25" s="24"/>
      <c r="D25" s="30">
        <v>0.9375</v>
      </c>
      <c r="E25" s="31">
        <v>0.94791666666666663</v>
      </c>
      <c r="F25" s="32">
        <f t="shared" si="3"/>
        <v>0.24999999999999911</v>
      </c>
      <c r="G25" s="32">
        <v>3.25</v>
      </c>
    </row>
    <row r="26" spans="1:7">
      <c r="A26" s="35" t="s">
        <v>126</v>
      </c>
      <c r="B26" s="24" t="s">
        <v>127</v>
      </c>
      <c r="C26" s="24"/>
      <c r="D26" s="30">
        <v>8.3333333333333329E-2</v>
      </c>
      <c r="E26" s="31">
        <v>9.375E-2</v>
      </c>
      <c r="F26" s="32">
        <f t="shared" si="3"/>
        <v>0.25000000000000011</v>
      </c>
      <c r="G26" s="32">
        <f t="shared" ref="G26:G31" si="5">(D27-E26)*24</f>
        <v>3</v>
      </c>
    </row>
    <row r="27" spans="1:7">
      <c r="A27" s="35"/>
      <c r="B27" s="24" t="s">
        <v>128</v>
      </c>
      <c r="C27" s="24"/>
      <c r="D27" s="30">
        <v>0.21875</v>
      </c>
      <c r="E27" s="31">
        <v>0.25</v>
      </c>
      <c r="F27" s="32">
        <f t="shared" si="3"/>
        <v>0.75</v>
      </c>
      <c r="G27" s="32">
        <f t="shared" si="5"/>
        <v>2.7499999999999996</v>
      </c>
    </row>
    <row r="28" spans="1:7">
      <c r="A28" s="35"/>
      <c r="B28" s="24" t="s">
        <v>129</v>
      </c>
      <c r="C28" s="24"/>
      <c r="D28" s="30">
        <v>0.36458333333333331</v>
      </c>
      <c r="E28" s="31">
        <v>0.38541666666666669</v>
      </c>
      <c r="F28" s="32">
        <f t="shared" si="3"/>
        <v>0.50000000000000089</v>
      </c>
      <c r="G28" s="32">
        <f t="shared" si="5"/>
        <v>1.9999999999999996</v>
      </c>
    </row>
    <row r="29" spans="1:7">
      <c r="A29" s="38"/>
      <c r="B29" s="39" t="s">
        <v>130</v>
      </c>
      <c r="C29" s="39" t="s">
        <v>98</v>
      </c>
      <c r="D29" s="40">
        <v>0.46875</v>
      </c>
      <c r="E29" s="41">
        <v>0.61458333333333337</v>
      </c>
      <c r="F29" s="42">
        <f t="shared" si="3"/>
        <v>3.5000000000000009</v>
      </c>
      <c r="G29" s="32">
        <f t="shared" si="5"/>
        <v>2.25</v>
      </c>
    </row>
    <row r="30" spans="1:7">
      <c r="A30" s="35"/>
      <c r="B30" s="24" t="s">
        <v>131</v>
      </c>
      <c r="C30" s="24"/>
      <c r="D30" s="30">
        <v>0.70833333333333337</v>
      </c>
      <c r="E30" s="31">
        <v>0.71875</v>
      </c>
      <c r="F30" s="32">
        <f t="shared" si="3"/>
        <v>0.24999999999999911</v>
      </c>
      <c r="G30" s="32">
        <f t="shared" si="5"/>
        <v>2.0000000000000009</v>
      </c>
    </row>
    <row r="31" spans="1:7">
      <c r="A31" s="35"/>
      <c r="B31" s="24" t="s">
        <v>132</v>
      </c>
      <c r="C31" s="24"/>
      <c r="D31" s="30">
        <v>0.80208333333333337</v>
      </c>
      <c r="E31" s="31">
        <v>0.8125</v>
      </c>
      <c r="F31" s="32">
        <f t="shared" si="3"/>
        <v>0.24999999999999911</v>
      </c>
      <c r="G31" s="32">
        <f t="shared" si="5"/>
        <v>2.4999999999999991</v>
      </c>
    </row>
    <row r="32" spans="1:7">
      <c r="A32" s="35"/>
      <c r="B32" s="24" t="s">
        <v>133</v>
      </c>
      <c r="C32" s="24"/>
      <c r="D32" s="30">
        <v>0.91666666666666663</v>
      </c>
      <c r="E32" s="31">
        <v>0.92708333333333337</v>
      </c>
      <c r="F32" s="32">
        <f t="shared" si="3"/>
        <v>0.25000000000000178</v>
      </c>
      <c r="G32" s="32">
        <v>1.75</v>
      </c>
    </row>
    <row r="33" spans="1:7">
      <c r="A33" s="35" t="s">
        <v>134</v>
      </c>
      <c r="B33" s="24" t="s">
        <v>135</v>
      </c>
      <c r="C33" s="24"/>
      <c r="D33" s="30">
        <v>0</v>
      </c>
      <c r="E33" s="31">
        <v>1.0416666666666666E-2</v>
      </c>
      <c r="F33" s="32">
        <f t="shared" si="3"/>
        <v>0.25</v>
      </c>
      <c r="G33" s="32">
        <f>(D34-E33)*24</f>
        <v>2.9999999999999996</v>
      </c>
    </row>
    <row r="34" spans="1:7">
      <c r="A34" s="35"/>
      <c r="B34" s="24" t="s">
        <v>136</v>
      </c>
      <c r="C34" s="24"/>
      <c r="D34" s="30">
        <v>0.13541666666666666</v>
      </c>
      <c r="E34" s="31">
        <v>0.14583333333333334</v>
      </c>
      <c r="F34" s="32">
        <f t="shared" si="3"/>
        <v>0.25000000000000044</v>
      </c>
      <c r="G34" s="32">
        <f>(D35-E34)*24</f>
        <v>3.25</v>
      </c>
    </row>
    <row r="35" spans="1:7">
      <c r="A35" s="35"/>
      <c r="B35" s="24" t="s">
        <v>137</v>
      </c>
      <c r="C35" s="24"/>
      <c r="D35" s="30">
        <v>0.28125</v>
      </c>
      <c r="E35" s="31">
        <v>0.30208333333333331</v>
      </c>
      <c r="F35" s="32">
        <f t="shared" si="3"/>
        <v>0.49999999999999956</v>
      </c>
      <c r="G35" s="32">
        <f>(D36-E35)*24</f>
        <v>1.7500000000000004</v>
      </c>
    </row>
    <row r="36" spans="1:7">
      <c r="A36" s="38"/>
      <c r="B36" s="39" t="s">
        <v>138</v>
      </c>
      <c r="C36" s="39" t="s">
        <v>98</v>
      </c>
      <c r="D36" s="40">
        <v>0.375</v>
      </c>
      <c r="E36" s="41">
        <v>0.52083333333333337</v>
      </c>
      <c r="F36" s="42">
        <f t="shared" si="3"/>
        <v>3.5000000000000009</v>
      </c>
      <c r="G36" s="24">
        <v>3.25</v>
      </c>
    </row>
    <row r="37" spans="1:7">
      <c r="A37" s="35"/>
      <c r="B37" s="24" t="s">
        <v>136</v>
      </c>
      <c r="C37" s="24"/>
      <c r="D37" s="33">
        <v>0.65625</v>
      </c>
      <c r="E37" s="34">
        <v>0.69791666666666663</v>
      </c>
      <c r="F37" s="32">
        <f t="shared" si="3"/>
        <v>0.99999999999999911</v>
      </c>
      <c r="G37" s="32">
        <f>(D38-E37)*24</f>
        <v>3</v>
      </c>
    </row>
    <row r="38" spans="1:7">
      <c r="A38" s="35"/>
      <c r="B38" s="24" t="s">
        <v>135</v>
      </c>
      <c r="C38" s="24"/>
      <c r="D38" s="33">
        <v>0.82291666666666663</v>
      </c>
      <c r="E38" s="34">
        <v>0.84375</v>
      </c>
      <c r="F38" s="32">
        <f t="shared" si="3"/>
        <v>0.50000000000000089</v>
      </c>
      <c r="G38" s="32">
        <f>(D39-E38)*24</f>
        <v>1.5</v>
      </c>
    </row>
    <row r="39" spans="1:7">
      <c r="B39" s="24" t="s">
        <v>133</v>
      </c>
      <c r="C39" s="24"/>
      <c r="D39" s="33">
        <v>0.90625</v>
      </c>
      <c r="E39" s="34">
        <v>0.91666666666666663</v>
      </c>
      <c r="F39" s="32">
        <f t="shared" si="3"/>
        <v>0.24999999999999911</v>
      </c>
      <c r="G39" s="32">
        <v>2.75</v>
      </c>
    </row>
    <row r="40" spans="1:7">
      <c r="A40" s="35" t="s">
        <v>139</v>
      </c>
      <c r="B40" s="24" t="s">
        <v>132</v>
      </c>
      <c r="C40" s="24"/>
      <c r="D40" s="33">
        <v>3.125E-2</v>
      </c>
      <c r="E40" s="34">
        <v>4.1666666666666664E-2</v>
      </c>
      <c r="F40" s="32">
        <f t="shared" si="3"/>
        <v>0.24999999999999994</v>
      </c>
      <c r="G40" s="32">
        <f t="shared" ref="G40:G53" si="6">(D41-E40)*24</f>
        <v>1.7499999999999998</v>
      </c>
    </row>
    <row r="41" spans="1:7">
      <c r="B41" s="24" t="s">
        <v>131</v>
      </c>
      <c r="C41" s="24"/>
      <c r="D41" s="33">
        <v>0.11458333333333333</v>
      </c>
      <c r="E41" s="34">
        <v>0.125</v>
      </c>
      <c r="F41" s="32">
        <f t="shared" si="3"/>
        <v>0.25000000000000011</v>
      </c>
      <c r="G41" s="32">
        <f t="shared" si="6"/>
        <v>2.5</v>
      </c>
    </row>
    <row r="42" spans="1:7">
      <c r="A42" s="38"/>
      <c r="B42" s="39" t="s">
        <v>130</v>
      </c>
      <c r="C42" s="39" t="s">
        <v>98</v>
      </c>
      <c r="D42" s="46">
        <v>0.22916666666666666</v>
      </c>
      <c r="E42" s="47">
        <v>0.23958333333333334</v>
      </c>
      <c r="F42" s="79">
        <f>F10</f>
        <v>3.35</v>
      </c>
      <c r="G42" s="82">
        <f t="shared" si="6"/>
        <v>2</v>
      </c>
    </row>
    <row r="43" spans="1:7">
      <c r="A43" s="35"/>
      <c r="B43" s="24" t="s">
        <v>129</v>
      </c>
      <c r="C43" s="24"/>
      <c r="D43" s="33">
        <v>0.32291666666666669</v>
      </c>
      <c r="E43" s="34">
        <v>0.33333333333333331</v>
      </c>
      <c r="F43" s="32">
        <f>(E43-D43)*24</f>
        <v>0.24999999999999911</v>
      </c>
      <c r="G43" s="32">
        <f t="shared" si="6"/>
        <v>2.7500000000000009</v>
      </c>
    </row>
    <row r="44" spans="1:7">
      <c r="A44" s="35"/>
      <c r="B44" s="24" t="s">
        <v>128</v>
      </c>
      <c r="C44" s="24"/>
      <c r="D44" s="33">
        <v>0.44791666666666669</v>
      </c>
      <c r="E44" s="34">
        <v>0.53125</v>
      </c>
      <c r="F44" s="32">
        <f>(E44-D44)*24</f>
        <v>1.9999999999999996</v>
      </c>
      <c r="G44" s="32">
        <f t="shared" si="6"/>
        <v>2.7500000000000009</v>
      </c>
    </row>
    <row r="45" spans="1:7">
      <c r="B45" s="24" t="s">
        <v>127</v>
      </c>
      <c r="C45" s="24"/>
      <c r="D45" s="33">
        <v>0.64583333333333337</v>
      </c>
      <c r="E45" s="34">
        <v>0.65625</v>
      </c>
      <c r="F45" s="32">
        <f>(E45-D45)*24</f>
        <v>0.24999999999999911</v>
      </c>
      <c r="G45" s="32">
        <f t="shared" si="6"/>
        <v>3.5000000000000009</v>
      </c>
    </row>
    <row r="46" spans="1:7">
      <c r="A46" s="35"/>
      <c r="B46" s="24" t="s">
        <v>125</v>
      </c>
      <c r="C46" s="24"/>
      <c r="D46" s="33">
        <v>0.80208333333333337</v>
      </c>
      <c r="E46" s="34">
        <v>0.82291666666666663</v>
      </c>
      <c r="F46" s="32">
        <f>(E46-D46)*24</f>
        <v>0.49999999999999822</v>
      </c>
      <c r="G46" s="32">
        <f t="shared" si="6"/>
        <v>4.0000000000000018</v>
      </c>
    </row>
    <row r="47" spans="1:7">
      <c r="A47" s="38" t="s">
        <v>140</v>
      </c>
      <c r="B47" s="39" t="s">
        <v>124</v>
      </c>
      <c r="C47" s="39" t="s">
        <v>98</v>
      </c>
      <c r="D47" s="46">
        <v>0.98958333333333337</v>
      </c>
      <c r="E47" s="47">
        <v>6.25E-2</v>
      </c>
      <c r="F47" s="79">
        <v>3.35</v>
      </c>
      <c r="G47" s="82">
        <f t="shared" si="6"/>
        <v>2.75</v>
      </c>
    </row>
    <row r="48" spans="1:7">
      <c r="A48" s="35"/>
      <c r="B48" s="24" t="s">
        <v>123</v>
      </c>
      <c r="C48" s="24" t="s">
        <v>152</v>
      </c>
      <c r="D48" s="33">
        <v>0.17708333333333334</v>
      </c>
      <c r="E48" s="34">
        <v>0.19791666666666666</v>
      </c>
      <c r="F48" s="32">
        <f t="shared" ref="F48:F54" si="7">(E48-D48)*24</f>
        <v>0.49999999999999956</v>
      </c>
      <c r="G48" s="32">
        <f t="shared" si="6"/>
        <v>3.0833333333333339</v>
      </c>
    </row>
    <row r="49" spans="1:7">
      <c r="B49" s="24" t="s">
        <v>122</v>
      </c>
      <c r="C49" s="24"/>
      <c r="D49" s="33">
        <v>0.3263888888888889</v>
      </c>
      <c r="E49" s="34">
        <v>0.35416666666666669</v>
      </c>
      <c r="F49" s="32">
        <f t="shared" si="7"/>
        <v>0.66666666666666696</v>
      </c>
      <c r="G49" s="32">
        <f t="shared" si="6"/>
        <v>2.25</v>
      </c>
    </row>
    <row r="50" spans="1:7">
      <c r="A50" s="35"/>
      <c r="B50" s="24" t="s">
        <v>121</v>
      </c>
      <c r="C50" s="24"/>
      <c r="D50" s="33">
        <v>0.44791666666666669</v>
      </c>
      <c r="E50" s="34">
        <v>0.45833333333333331</v>
      </c>
      <c r="F50" s="32">
        <f t="shared" si="7"/>
        <v>0.24999999999999911</v>
      </c>
      <c r="G50" s="32">
        <f t="shared" si="6"/>
        <v>1.5000000000000013</v>
      </c>
    </row>
    <row r="51" spans="1:7">
      <c r="B51" s="24" t="s">
        <v>120</v>
      </c>
      <c r="C51" s="24"/>
      <c r="D51" s="33">
        <v>0.52083333333333337</v>
      </c>
      <c r="E51" s="34">
        <v>0.54166666666666663</v>
      </c>
      <c r="F51" s="32">
        <f t="shared" si="7"/>
        <v>0.49999999999999822</v>
      </c>
      <c r="G51" s="32">
        <f t="shared" si="6"/>
        <v>1.2500000000000009</v>
      </c>
    </row>
    <row r="52" spans="1:7">
      <c r="A52" s="35"/>
      <c r="B52" s="24" t="s">
        <v>119</v>
      </c>
      <c r="C52" s="24"/>
      <c r="D52" s="33">
        <v>0.59375</v>
      </c>
      <c r="E52" s="34">
        <v>0.63541666666666663</v>
      </c>
      <c r="F52" s="32">
        <f t="shared" si="7"/>
        <v>0.99999999999999911</v>
      </c>
      <c r="G52" s="32">
        <f t="shared" si="6"/>
        <v>3.2500000000000018</v>
      </c>
    </row>
    <row r="53" spans="1:7">
      <c r="B53" s="24" t="s">
        <v>141</v>
      </c>
      <c r="C53" s="24"/>
      <c r="D53" s="33">
        <v>0.77083333333333337</v>
      </c>
      <c r="E53" s="34">
        <v>0.85416666666666663</v>
      </c>
      <c r="F53" s="32">
        <f t="shared" si="7"/>
        <v>1.9999999999999982</v>
      </c>
      <c r="G53" s="32">
        <f t="shared" si="6"/>
        <v>1.5</v>
      </c>
    </row>
    <row r="54" spans="1:7">
      <c r="A54" s="35"/>
      <c r="B54" s="24" t="s">
        <v>116</v>
      </c>
      <c r="C54" s="24"/>
      <c r="D54" s="33">
        <v>0.91666666666666663</v>
      </c>
      <c r="E54" s="34">
        <v>0.9375</v>
      </c>
      <c r="F54" s="32">
        <f t="shared" si="7"/>
        <v>0.50000000000000089</v>
      </c>
      <c r="G54" s="32">
        <v>4</v>
      </c>
    </row>
    <row r="55" spans="1:7">
      <c r="A55" s="38" t="s">
        <v>142</v>
      </c>
      <c r="B55" s="39" t="s">
        <v>115</v>
      </c>
      <c r="C55" s="39" t="s">
        <v>98</v>
      </c>
      <c r="D55" s="46">
        <v>0.10416666666666667</v>
      </c>
      <c r="E55" s="47">
        <v>0.15625</v>
      </c>
      <c r="F55" s="79">
        <f>F47</f>
        <v>3.35</v>
      </c>
      <c r="G55" s="82">
        <f>(D56-E55)*24</f>
        <v>2.916666666666667</v>
      </c>
    </row>
    <row r="56" spans="1:7">
      <c r="A56" s="35"/>
      <c r="B56" s="24" t="s">
        <v>114</v>
      </c>
      <c r="C56" s="24"/>
      <c r="D56" s="33">
        <v>0.27777777777777779</v>
      </c>
      <c r="E56" s="34">
        <v>0.28472222222222221</v>
      </c>
      <c r="F56" s="32">
        <f>(E56-D56)*24</f>
        <v>0.16666666666666607</v>
      </c>
      <c r="G56" s="32">
        <f>(D57-E56)*24</f>
        <v>3.5833333333333326</v>
      </c>
    </row>
    <row r="57" spans="1:7">
      <c r="B57" s="24" t="s">
        <v>143</v>
      </c>
      <c r="C57" s="24"/>
      <c r="D57" s="33">
        <v>0.43402777777777773</v>
      </c>
      <c r="E57" s="34">
        <v>0.44097222222222227</v>
      </c>
      <c r="F57" s="32">
        <f>(E57-D57)*24</f>
        <v>0.16666666666666874</v>
      </c>
      <c r="G57" s="32">
        <f>(D58-E57)*24</f>
        <v>1.1666666666666652</v>
      </c>
    </row>
    <row r="58" spans="1:7">
      <c r="A58" s="35"/>
      <c r="B58" s="24" t="s">
        <v>111</v>
      </c>
      <c r="C58" s="81"/>
      <c r="D58" s="33">
        <v>0.48958333333333331</v>
      </c>
      <c r="E58" s="34">
        <v>0.51041666666666663</v>
      </c>
      <c r="F58" s="32">
        <f>(E58-D58)*24</f>
        <v>0.49999999999999956</v>
      </c>
      <c r="G58" s="32">
        <f>(D59-E58)*24</f>
        <v>2.7500000000000009</v>
      </c>
    </row>
    <row r="59" spans="1:7">
      <c r="B59" s="24" t="s">
        <v>110</v>
      </c>
      <c r="C59" s="24"/>
      <c r="D59" s="33">
        <v>0.625</v>
      </c>
      <c r="E59" s="34">
        <v>0.72916666666666663</v>
      </c>
      <c r="F59" s="32">
        <f>(E59-D59)*24</f>
        <v>2.4999999999999991</v>
      </c>
      <c r="G59" s="32">
        <f>(D60-E59)*24</f>
        <v>3.5000000000000009</v>
      </c>
    </row>
    <row r="60" spans="1:7">
      <c r="A60" s="35"/>
      <c r="B60" s="24" t="s">
        <v>108</v>
      </c>
      <c r="C60" s="24"/>
      <c r="D60" s="33">
        <v>0.875</v>
      </c>
      <c r="E60" s="34">
        <v>0.89583333333333337</v>
      </c>
      <c r="F60" s="32">
        <f>(E60-D60)*24</f>
        <v>0.50000000000000089</v>
      </c>
      <c r="G60" s="32">
        <v>7</v>
      </c>
    </row>
    <row r="61" spans="1:7">
      <c r="A61" s="38" t="s">
        <v>144</v>
      </c>
      <c r="B61" s="39" t="s">
        <v>107</v>
      </c>
      <c r="C61" s="39" t="s">
        <v>98</v>
      </c>
      <c r="D61" s="46">
        <v>0.27083333333333331</v>
      </c>
      <c r="E61" s="47">
        <v>0.40625</v>
      </c>
      <c r="F61" s="79">
        <f>F55</f>
        <v>3.35</v>
      </c>
      <c r="G61" s="82">
        <f>(D62-E61)*24</f>
        <v>6.75</v>
      </c>
    </row>
    <row r="62" spans="1:7">
      <c r="A62" s="35"/>
      <c r="B62" s="24" t="s">
        <v>145</v>
      </c>
      <c r="C62" s="24"/>
      <c r="D62" s="33">
        <v>0.6875</v>
      </c>
      <c r="E62" s="34">
        <v>0.70833333333333337</v>
      </c>
      <c r="F62" s="32">
        <f>(E62-D62)*24</f>
        <v>0.50000000000000089</v>
      </c>
      <c r="G62" s="32">
        <f>(D63-E62)*24</f>
        <v>3.9999999999999991</v>
      </c>
    </row>
    <row r="63" spans="1:7">
      <c r="B63" s="24" t="s">
        <v>104</v>
      </c>
      <c r="C63" s="24"/>
      <c r="D63" s="33">
        <v>0.875</v>
      </c>
      <c r="E63" s="34">
        <v>0.89583333333333337</v>
      </c>
      <c r="F63" s="32">
        <f>(E63-D63)*24</f>
        <v>0.50000000000000089</v>
      </c>
      <c r="G63" s="32">
        <v>3</v>
      </c>
    </row>
    <row r="64" spans="1:7">
      <c r="A64" s="38" t="s">
        <v>146</v>
      </c>
      <c r="B64" s="39" t="s">
        <v>103</v>
      </c>
      <c r="C64" s="39" t="s">
        <v>98</v>
      </c>
      <c r="D64" s="46">
        <v>2.0833333333333332E-2</v>
      </c>
      <c r="E64" s="47">
        <v>4.1666666666666664E-2</v>
      </c>
      <c r="F64" s="79">
        <f>F61</f>
        <v>3.35</v>
      </c>
      <c r="G64" s="82">
        <f>(D65-E64)*24</f>
        <v>1.25</v>
      </c>
    </row>
    <row r="65" spans="1:7">
      <c r="B65" s="24" t="s">
        <v>102</v>
      </c>
      <c r="C65" s="24"/>
      <c r="D65" s="33">
        <v>9.375E-2</v>
      </c>
      <c r="E65" s="34">
        <v>0.10416666666666667</v>
      </c>
      <c r="F65" s="32">
        <f>(E65-D65)*24</f>
        <v>0.25000000000000011</v>
      </c>
      <c r="G65" s="32">
        <f>(D66-E65)*24</f>
        <v>2.75</v>
      </c>
    </row>
    <row r="66" spans="1:7">
      <c r="A66" s="35"/>
      <c r="B66" s="24" t="s">
        <v>101</v>
      </c>
      <c r="C66" s="24"/>
      <c r="D66" s="33">
        <v>0.21875</v>
      </c>
      <c r="E66" s="34">
        <v>0.23263888888888887</v>
      </c>
      <c r="F66" s="32">
        <f>(E66-D66)*24</f>
        <v>0.33333333333333282</v>
      </c>
      <c r="G66" s="32">
        <f>(D67-E66)*24</f>
        <v>2.1666666666666679</v>
      </c>
    </row>
    <row r="67" spans="1:7">
      <c r="B67" s="24" t="s">
        <v>100</v>
      </c>
      <c r="C67" s="24"/>
      <c r="D67" s="33">
        <v>0.32291666666666669</v>
      </c>
      <c r="E67" s="34">
        <v>0.34375</v>
      </c>
      <c r="F67" s="32">
        <f>(E67-D67)*24</f>
        <v>0.49999999999999956</v>
      </c>
      <c r="G67" s="32">
        <f>(D68-E67)*24</f>
        <v>6.2499999999999991</v>
      </c>
    </row>
    <row r="68" spans="1:7">
      <c r="A68" s="35"/>
      <c r="B68" s="49" t="s">
        <v>97</v>
      </c>
      <c r="C68" s="49" t="s">
        <v>98</v>
      </c>
      <c r="D68" s="50">
        <v>0.60416666666666663</v>
      </c>
      <c r="E68" s="51"/>
      <c r="F68" s="52"/>
      <c r="G68" s="52"/>
    </row>
    <row r="72" spans="1:7">
      <c r="A72" s="35"/>
      <c r="B72" s="24"/>
      <c r="C72" s="24"/>
      <c r="D72" s="28"/>
      <c r="E72" s="24"/>
      <c r="F72" s="24"/>
    </row>
    <row r="74" spans="1:7">
      <c r="A74" s="35"/>
      <c r="B74" s="24"/>
      <c r="C74" s="24"/>
      <c r="D74" s="28"/>
      <c r="E74" s="24"/>
      <c r="F74" s="32"/>
    </row>
    <row r="76" spans="1:7">
      <c r="A76" s="35"/>
      <c r="B76" s="24"/>
      <c r="C76" s="24"/>
      <c r="D76" s="28"/>
      <c r="E76" s="24"/>
      <c r="F76" s="32"/>
    </row>
    <row r="77" spans="1:7">
      <c r="A77" s="35"/>
      <c r="G77" s="32"/>
    </row>
    <row r="78" spans="1:7">
      <c r="A78" s="35"/>
      <c r="B78" s="24"/>
      <c r="C78" s="24"/>
      <c r="D78" s="28"/>
      <c r="E78" s="24"/>
      <c r="F78" s="32"/>
    </row>
    <row r="79" spans="1:7">
      <c r="G79" s="32"/>
    </row>
    <row r="80" spans="1:7">
      <c r="A80" s="35"/>
      <c r="B80" s="24"/>
      <c r="C80" s="24"/>
      <c r="D80" s="28"/>
      <c r="E80" s="24"/>
      <c r="F80" s="32"/>
    </row>
    <row r="81" spans="1:7">
      <c r="A81" s="35"/>
      <c r="G81" s="32"/>
    </row>
    <row r="82" spans="1:7">
      <c r="A82" s="35"/>
      <c r="B82" s="24"/>
      <c r="C82" s="24"/>
      <c r="D82" s="28"/>
      <c r="E82" s="24"/>
      <c r="F82" s="32"/>
    </row>
    <row r="84" spans="1:7">
      <c r="A84" s="35"/>
      <c r="B84" s="24"/>
      <c r="C84" s="24"/>
      <c r="D84" s="28"/>
      <c r="E84" s="24"/>
      <c r="F84" s="32"/>
    </row>
    <row r="85" spans="1:7">
      <c r="G85" s="32"/>
    </row>
    <row r="86" spans="1:7">
      <c r="A86" s="35"/>
      <c r="B86" s="24"/>
      <c r="C86" s="24"/>
      <c r="D86" s="28"/>
      <c r="E86" s="24"/>
      <c r="F86" s="32"/>
    </row>
    <row r="87" spans="1:7">
      <c r="A87" s="35"/>
      <c r="G87" s="32"/>
    </row>
    <row r="88" spans="1:7">
      <c r="A88" s="35"/>
      <c r="B88" s="24"/>
      <c r="C88" s="24"/>
      <c r="D88" s="28"/>
      <c r="E88" s="24"/>
      <c r="F88" s="32"/>
    </row>
    <row r="89" spans="1:7">
      <c r="A89" s="35"/>
      <c r="G89" s="32"/>
    </row>
    <row r="90" spans="1:7">
      <c r="A90" s="35"/>
      <c r="B90" s="24"/>
      <c r="C90" s="24"/>
      <c r="D90" s="28"/>
      <c r="E90" s="24"/>
      <c r="F90" s="32"/>
    </row>
    <row r="91" spans="1:7">
      <c r="A91" s="35"/>
      <c r="G91" s="32"/>
    </row>
    <row r="92" spans="1:7">
      <c r="A92" s="35"/>
      <c r="B92" s="24"/>
      <c r="C92" s="24"/>
      <c r="D92" s="28"/>
      <c r="E92" s="24"/>
      <c r="F92" s="32"/>
    </row>
    <row r="94" spans="1:7">
      <c r="A94" s="35"/>
      <c r="B94" s="24"/>
      <c r="C94" s="24"/>
      <c r="D94" s="28"/>
      <c r="E94" s="24"/>
      <c r="F94" s="32"/>
    </row>
    <row r="95" spans="1:7">
      <c r="A95" s="35"/>
      <c r="G95" s="32"/>
    </row>
    <row r="96" spans="1:7">
      <c r="A96" s="35"/>
      <c r="B96" s="24"/>
      <c r="C96" s="24"/>
      <c r="D96" s="28"/>
      <c r="E96" s="24"/>
      <c r="F96" s="32"/>
    </row>
    <row r="97" spans="1:7">
      <c r="A97" s="35"/>
      <c r="G97" s="32"/>
    </row>
    <row r="98" spans="1:7">
      <c r="A98" s="35"/>
      <c r="B98" s="24"/>
      <c r="C98" s="24"/>
      <c r="D98" s="28"/>
      <c r="E98" s="24"/>
      <c r="F98" s="32"/>
    </row>
    <row r="99" spans="1:7">
      <c r="A99" s="35"/>
      <c r="G99" s="32"/>
    </row>
    <row r="100" spans="1:7">
      <c r="A100" s="35"/>
      <c r="B100" s="24"/>
      <c r="C100" s="24"/>
      <c r="D100" s="28"/>
      <c r="E100" s="24"/>
      <c r="F100" s="32"/>
    </row>
    <row r="101" spans="1:7">
      <c r="A101" s="35"/>
      <c r="G101" s="32"/>
    </row>
    <row r="102" spans="1:7">
      <c r="A102" s="35"/>
      <c r="B102" s="24"/>
      <c r="C102" s="24"/>
      <c r="D102" s="28"/>
      <c r="E102" s="24"/>
      <c r="F102" s="32"/>
    </row>
    <row r="103" spans="1:7">
      <c r="A103" s="35"/>
      <c r="G103" s="32"/>
    </row>
    <row r="104" spans="1:7">
      <c r="A104" s="35"/>
      <c r="B104" s="24"/>
      <c r="C104" s="24"/>
      <c r="D104" s="28"/>
      <c r="E104" s="24"/>
      <c r="F104" s="32"/>
    </row>
    <row r="105" spans="1:7">
      <c r="A105" s="35"/>
      <c r="G105" s="32"/>
    </row>
    <row r="106" spans="1:7">
      <c r="A106" s="35"/>
      <c r="B106" s="24"/>
      <c r="C106" s="24"/>
      <c r="D106" s="28"/>
      <c r="E106" s="24"/>
      <c r="F106" s="32"/>
    </row>
    <row r="107" spans="1:7">
      <c r="A107" s="35"/>
      <c r="G107" s="32"/>
    </row>
    <row r="108" spans="1:7">
      <c r="A108" s="35"/>
      <c r="B108" s="24"/>
      <c r="C108" s="24"/>
      <c r="D108" s="28"/>
      <c r="E108" s="24"/>
      <c r="F108" s="32"/>
    </row>
    <row r="109" spans="1:7">
      <c r="G109" s="42"/>
    </row>
    <row r="110" spans="1:7">
      <c r="A110" s="35"/>
      <c r="B110" s="24"/>
      <c r="C110" s="24"/>
      <c r="D110" s="28"/>
      <c r="E110" s="24"/>
      <c r="F110" s="32"/>
    </row>
    <row r="111" spans="1:7">
      <c r="A111" s="35"/>
      <c r="G111" s="32"/>
    </row>
    <row r="112" spans="1:7">
      <c r="A112" s="35"/>
      <c r="B112" s="24"/>
      <c r="C112" s="24"/>
      <c r="D112" s="28"/>
      <c r="E112" s="24"/>
      <c r="F112" s="32"/>
    </row>
    <row r="113" spans="1:7">
      <c r="A113" s="35"/>
      <c r="G113" s="32"/>
    </row>
    <row r="114" spans="1:7">
      <c r="A114" s="35"/>
      <c r="B114" s="24"/>
      <c r="C114" s="24"/>
      <c r="D114" s="28"/>
      <c r="E114" s="24"/>
      <c r="F114" s="32"/>
    </row>
    <row r="115" spans="1:7">
      <c r="A115" s="35"/>
      <c r="G115" s="32"/>
    </row>
    <row r="116" spans="1:7">
      <c r="A116" s="35"/>
      <c r="B116" s="24"/>
      <c r="C116" s="24"/>
      <c r="D116" s="28"/>
      <c r="E116" s="24"/>
      <c r="F116" s="32"/>
    </row>
    <row r="117" spans="1:7">
      <c r="A117" s="35"/>
      <c r="G117" s="32"/>
    </row>
    <row r="118" spans="1:7">
      <c r="A118" s="35"/>
      <c r="B118" s="24"/>
      <c r="C118" s="24"/>
      <c r="D118" s="28"/>
      <c r="E118" s="24"/>
      <c r="F118" s="32"/>
    </row>
    <row r="119" spans="1:7">
      <c r="A119" s="35"/>
      <c r="G119" s="32"/>
    </row>
    <row r="120" spans="1:7">
      <c r="A120" s="35"/>
      <c r="B120" s="24"/>
      <c r="C120" s="24"/>
      <c r="D120" s="28"/>
      <c r="E120" s="24"/>
      <c r="F120" s="32"/>
    </row>
    <row r="121" spans="1:7">
      <c r="G121" s="42"/>
    </row>
    <row r="122" spans="1:7">
      <c r="A122" s="35"/>
      <c r="B122" s="24"/>
      <c r="C122" s="24"/>
      <c r="D122" s="28"/>
      <c r="E122" s="24"/>
      <c r="F122" s="32"/>
    </row>
    <row r="123" spans="1:7">
      <c r="A123" s="35"/>
      <c r="G123" s="32"/>
    </row>
    <row r="124" spans="1:7">
      <c r="A124" s="35"/>
      <c r="B124" s="24"/>
      <c r="C124" s="24"/>
      <c r="D124" s="28"/>
      <c r="E124" s="24"/>
      <c r="F124" s="32"/>
    </row>
    <row r="125" spans="1:7">
      <c r="A125" s="35"/>
      <c r="G125" s="32"/>
    </row>
    <row r="126" spans="1:7">
      <c r="A126" s="35"/>
      <c r="B126" s="24"/>
      <c r="C126" s="24"/>
      <c r="D126" s="28"/>
      <c r="E126" s="24"/>
      <c r="F126" s="32"/>
    </row>
    <row r="127" spans="1:7">
      <c r="G127" s="42"/>
    </row>
    <row r="128" spans="1:7">
      <c r="A128" s="35"/>
      <c r="B128" s="24"/>
      <c r="C128" s="24"/>
      <c r="D128" s="28"/>
      <c r="E128" s="24"/>
      <c r="F128" s="32"/>
    </row>
    <row r="129" spans="1:7">
      <c r="A129" s="35"/>
      <c r="G129" s="32"/>
    </row>
    <row r="130" spans="1:7">
      <c r="A130" s="35"/>
      <c r="B130" s="24"/>
      <c r="C130" s="24"/>
      <c r="D130" s="28"/>
      <c r="E130" s="24"/>
      <c r="F130" s="32"/>
    </row>
    <row r="131" spans="1:7">
      <c r="A131" s="35"/>
      <c r="G131" s="32"/>
    </row>
    <row r="132" spans="1:7">
      <c r="A132" s="35"/>
      <c r="B132" s="24"/>
      <c r="C132" s="24"/>
      <c r="D132" s="28"/>
      <c r="E132" s="24"/>
      <c r="F132" s="32"/>
    </row>
    <row r="133" spans="1:7">
      <c r="A133" s="35"/>
      <c r="G133" s="32"/>
    </row>
    <row r="134" spans="1:7">
      <c r="A134" s="35"/>
      <c r="B134" s="24"/>
      <c r="C134" s="24"/>
      <c r="D134" s="28"/>
      <c r="E134" s="24"/>
      <c r="F134" s="32"/>
    </row>
    <row r="135" spans="1:7">
      <c r="A135" s="4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2C739-9411-4C8B-9EFF-5888937CC4F0}">
  <dimension ref="A34:B39"/>
  <sheetViews>
    <sheetView zoomScale="83" workbookViewId="0">
      <selection activeCell="A35" sqref="A35"/>
    </sheetView>
  </sheetViews>
  <sheetFormatPr baseColWidth="10" defaultColWidth="8.83203125" defaultRowHeight="15"/>
  <cols>
    <col min="1" max="1" width="33.5" customWidth="1"/>
  </cols>
  <sheetData>
    <row r="34" spans="1:2">
      <c r="A34" t="s">
        <v>250</v>
      </c>
      <c r="B34">
        <v>4700</v>
      </c>
    </row>
    <row r="35" spans="1:2">
      <c r="A35" t="s">
        <v>251</v>
      </c>
      <c r="B35">
        <f>B34*'Data Kystruten'!B17</f>
        <v>156651</v>
      </c>
    </row>
    <row r="36" spans="1:2">
      <c r="A36" t="s">
        <v>252</v>
      </c>
      <c r="B36">
        <f>B35/2343</f>
        <v>66.859154929577471</v>
      </c>
    </row>
    <row r="37" spans="1:2">
      <c r="A37" t="s">
        <v>253</v>
      </c>
      <c r="B37">
        <f>B35/594</f>
        <v>263.72222222222223</v>
      </c>
    </row>
    <row r="38" spans="1:2">
      <c r="A38" t="s">
        <v>287</v>
      </c>
      <c r="B38">
        <v>24.8</v>
      </c>
    </row>
    <row r="39" spans="1:2">
      <c r="A39" t="s">
        <v>371</v>
      </c>
      <c r="B39">
        <f>B38*B34/1000</f>
        <v>116.56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D63B7-431A-46C1-8F95-BBA1C60677ED}">
  <dimension ref="A1:C20"/>
  <sheetViews>
    <sheetView workbookViewId="0">
      <selection activeCell="B9" sqref="B9"/>
    </sheetView>
  </sheetViews>
  <sheetFormatPr baseColWidth="10" defaultColWidth="8.83203125" defaultRowHeight="15"/>
  <cols>
    <col min="1" max="1" width="59.5" customWidth="1"/>
  </cols>
  <sheetData>
    <row r="1" spans="1:3" ht="21" thickTop="1" thickBot="1">
      <c r="A1" s="70" t="s">
        <v>153</v>
      </c>
    </row>
    <row r="2" spans="1:3" ht="16" thickTop="1"/>
    <row r="3" spans="1:3">
      <c r="A3" t="s">
        <v>154</v>
      </c>
      <c r="B3">
        <v>9</v>
      </c>
    </row>
    <row r="4" spans="1:3">
      <c r="A4" t="s">
        <v>356</v>
      </c>
      <c r="B4" s="23">
        <f>'Route and energy requirements 2'!Q136</f>
        <v>64.971395025768331</v>
      </c>
    </row>
    <row r="5" spans="1:3">
      <c r="A5" t="s">
        <v>155</v>
      </c>
      <c r="B5">
        <v>0.5</v>
      </c>
      <c r="C5" t="s">
        <v>22</v>
      </c>
    </row>
    <row r="6" spans="1:3">
      <c r="A6" t="s">
        <v>156</v>
      </c>
      <c r="B6">
        <f>B3+B5</f>
        <v>9.5</v>
      </c>
    </row>
    <row r="7" spans="1:3">
      <c r="A7" t="s">
        <v>275</v>
      </c>
      <c r="B7">
        <f>B6*B4</f>
        <v>617.22825274479919</v>
      </c>
    </row>
    <row r="9" spans="1:3">
      <c r="A9" t="s">
        <v>276</v>
      </c>
      <c r="B9">
        <f>'Route and energy requirements 2'!N136/'Data Kystruten'!B17</f>
        <v>77.823189322460664</v>
      </c>
    </row>
    <row r="10" spans="1:3">
      <c r="A10" t="s">
        <v>357</v>
      </c>
      <c r="B10">
        <f>B9*B6</f>
        <v>739.32029856337635</v>
      </c>
    </row>
    <row r="16" spans="1:3" ht="19">
      <c r="A16" s="71" t="s">
        <v>157</v>
      </c>
    </row>
    <row r="17" spans="1:2">
      <c r="A17" s="72" t="s">
        <v>158</v>
      </c>
      <c r="B17">
        <v>0.9</v>
      </c>
    </row>
    <row r="18" spans="1:2">
      <c r="A18" s="72" t="s">
        <v>354</v>
      </c>
      <c r="B18">
        <f>B5*B4</f>
        <v>32.485697512884165</v>
      </c>
    </row>
    <row r="19" spans="1:2">
      <c r="A19" s="72" t="s">
        <v>355</v>
      </c>
      <c r="B19">
        <f>B4*B3*(1-B17)</f>
        <v>58.474255523191481</v>
      </c>
    </row>
    <row r="20" spans="1:2">
      <c r="A20" s="72" t="s">
        <v>353</v>
      </c>
      <c r="B20">
        <f>B18+B19</f>
        <v>90.959953036075646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D5D02-C7A1-46EE-8C70-99611CE57588}">
  <dimension ref="A1:H35"/>
  <sheetViews>
    <sheetView tabSelected="1" zoomScaleNormal="100" workbookViewId="0">
      <selection activeCell="B33" sqref="B33"/>
    </sheetView>
  </sheetViews>
  <sheetFormatPr baseColWidth="10" defaultColWidth="8.83203125" defaultRowHeight="15"/>
  <cols>
    <col min="1" max="1" width="41.33203125" customWidth="1"/>
    <col min="6" max="6" width="29.5" customWidth="1"/>
  </cols>
  <sheetData>
    <row r="1" spans="1:8" ht="19">
      <c r="A1" s="55" t="s">
        <v>159</v>
      </c>
      <c r="F1" s="55" t="s">
        <v>160</v>
      </c>
    </row>
    <row r="3" spans="1:8">
      <c r="A3" t="s">
        <v>278</v>
      </c>
      <c r="B3">
        <f>'Route and energy requirements 2'!Q136</f>
        <v>64.971395025768331</v>
      </c>
      <c r="F3" t="s">
        <v>162</v>
      </c>
      <c r="G3" s="37">
        <f>100-((B8+B13)/B18)*100</f>
        <v>75.533902597296333</v>
      </c>
      <c r="H3">
        <f>B8+B13</f>
        <v>175.67783375621758</v>
      </c>
    </row>
    <row r="4" spans="1:8">
      <c r="A4" t="s">
        <v>163</v>
      </c>
      <c r="B4">
        <f>B3*'Data Kystruten'!B17</f>
        <v>2165.4965962088581</v>
      </c>
      <c r="F4" t="s">
        <v>164</v>
      </c>
      <c r="G4" s="73">
        <f>100-((B25+B13)/B18)*100</f>
        <v>-1.0197565854737292</v>
      </c>
      <c r="H4">
        <f>B25+B13</f>
        <v>725.36832137173064</v>
      </c>
    </row>
    <row r="5" spans="1:8">
      <c r="A5" t="s">
        <v>165</v>
      </c>
      <c r="B5">
        <f>B3*Assumptions!B9</f>
        <v>3573.4267264172581</v>
      </c>
      <c r="F5" t="s">
        <v>166</v>
      </c>
      <c r="G5" s="73">
        <f>100-((B35+B13)/B18)*100</f>
        <v>72.271968416646416</v>
      </c>
      <c r="H5">
        <f>B35+B13</f>
        <v>199.10002166300706</v>
      </c>
    </row>
    <row r="6" spans="1:8">
      <c r="A6" t="s">
        <v>167</v>
      </c>
      <c r="B6">
        <f>B3*Assumptions!B10</f>
        <v>701.69106627829797</v>
      </c>
    </row>
    <row r="7" spans="1:8">
      <c r="A7" t="s">
        <v>168</v>
      </c>
      <c r="B7">
        <f>B6+B5</f>
        <v>4275.1177926955561</v>
      </c>
    </row>
    <row r="8" spans="1:8">
      <c r="A8" t="s">
        <v>277</v>
      </c>
      <c r="B8">
        <f>B7*('Data Kystruten'!B21/1000)</f>
        <v>80.799726281946008</v>
      </c>
    </row>
    <row r="10" spans="1:8" ht="19">
      <c r="A10" s="55" t="s">
        <v>8</v>
      </c>
    </row>
    <row r="11" spans="1:8">
      <c r="A11" t="s">
        <v>278</v>
      </c>
      <c r="B11">
        <f>'Route and energy requirements 2'!AB137</f>
        <v>29.699154669781759</v>
      </c>
    </row>
    <row r="12" spans="1:8">
      <c r="A12" t="s">
        <v>170</v>
      </c>
      <c r="B12">
        <f>(B11*'Data Kystruten'!B10)/1000</f>
        <v>1.4641683252202407</v>
      </c>
    </row>
    <row r="13" spans="1:8">
      <c r="A13" t="s">
        <v>171</v>
      </c>
      <c r="B13">
        <f>B12*('Data Kystruten'!B11+'Data Kystruten'!B12)</f>
        <v>94.878107474271587</v>
      </c>
    </row>
    <row r="15" spans="1:8" ht="19">
      <c r="A15" s="55" t="s">
        <v>9</v>
      </c>
    </row>
    <row r="16" spans="1:8">
      <c r="A16" t="s">
        <v>278</v>
      </c>
      <c r="B16">
        <v>200</v>
      </c>
    </row>
    <row r="17" spans="1:2">
      <c r="A17" t="s">
        <v>170</v>
      </c>
      <c r="B17">
        <f>(B16*'Data Kystruten'!C10)/1000</f>
        <v>8.6199999999999992</v>
      </c>
    </row>
    <row r="18" spans="1:2">
      <c r="A18" t="s">
        <v>279</v>
      </c>
      <c r="B18">
        <f>B17*('Data Kystruten'!C11+'Data Kystruten'!C12)</f>
        <v>718.04599999999994</v>
      </c>
    </row>
    <row r="22" spans="1:2" ht="19">
      <c r="A22" s="55" t="s">
        <v>153</v>
      </c>
    </row>
    <row r="23" spans="1:2">
      <c r="A23" t="s">
        <v>280</v>
      </c>
      <c r="B23">
        <f>SMR!B7</f>
        <v>617.22825274479919</v>
      </c>
    </row>
    <row r="24" spans="1:2">
      <c r="A24" t="s">
        <v>369</v>
      </c>
      <c r="B24">
        <f>B6*'Data Kystruten'!B21/1000</f>
        <v>13.261961152659831</v>
      </c>
    </row>
    <row r="25" spans="1:2">
      <c r="A25" t="s">
        <v>370</v>
      </c>
      <c r="B25">
        <f>B24+B23</f>
        <v>630.49021389745906</v>
      </c>
    </row>
    <row r="26" spans="1:2">
      <c r="A26" t="s">
        <v>246</v>
      </c>
      <c r="B26">
        <f>SMR!B10</f>
        <v>739.32029856337635</v>
      </c>
    </row>
    <row r="27" spans="1:2">
      <c r="A27" t="s">
        <v>247</v>
      </c>
      <c r="B27">
        <f>SMR!B9*Assumptions!B10</f>
        <v>840.49044468257523</v>
      </c>
    </row>
    <row r="28" spans="1:2">
      <c r="A28" t="s">
        <v>248</v>
      </c>
      <c r="B28">
        <f>B27*'Data Kystruten'!B21/1000</f>
        <v>15.88526940450067</v>
      </c>
    </row>
    <row r="29" spans="1:2">
      <c r="A29" t="s">
        <v>249</v>
      </c>
      <c r="B29">
        <f>B28+B26</f>
        <v>755.20556796787707</v>
      </c>
    </row>
    <row r="32" spans="1:2" ht="21">
      <c r="A32" s="74" t="s">
        <v>157</v>
      </c>
    </row>
    <row r="33" spans="1:2">
      <c r="A33" t="s">
        <v>172</v>
      </c>
      <c r="B33">
        <f>SMR!B20</f>
        <v>90.959953036075646</v>
      </c>
    </row>
    <row r="34" spans="1:2">
      <c r="A34" t="s">
        <v>173</v>
      </c>
      <c r="B34">
        <f>B24</f>
        <v>13.261961152659831</v>
      </c>
    </row>
    <row r="35" spans="1:2">
      <c r="A35" t="s">
        <v>358</v>
      </c>
      <c r="B35">
        <f>B33+B34</f>
        <v>104.22191418873548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9557C-1487-43AE-9A12-78EF62B51D2C}">
  <dimension ref="A1:Y275"/>
  <sheetViews>
    <sheetView topLeftCell="J16" zoomScale="50" zoomScaleNormal="103" workbookViewId="0">
      <selection activeCell="S31" sqref="S31"/>
    </sheetView>
  </sheetViews>
  <sheetFormatPr baseColWidth="10" defaultColWidth="11.5" defaultRowHeight="15"/>
  <cols>
    <col min="2" max="2" width="13.6640625" customWidth="1"/>
    <col min="3" max="3" width="18.1640625" customWidth="1"/>
    <col min="12" max="12" width="15.1640625" customWidth="1"/>
    <col min="13" max="13" width="29.33203125" customWidth="1"/>
    <col min="14" max="14" width="21.6640625" customWidth="1"/>
    <col min="15" max="15" width="28.33203125" customWidth="1"/>
    <col min="16" max="16" width="25.6640625" customWidth="1"/>
    <col min="17" max="17" width="23.6640625" customWidth="1"/>
    <col min="18" max="18" width="15.33203125" customWidth="1"/>
    <col min="19" max="19" width="18.6640625" customWidth="1"/>
    <col min="20" max="20" width="23.1640625" customWidth="1"/>
    <col min="21" max="21" width="23.5" customWidth="1"/>
    <col min="25" max="25" width="12.6640625" bestFit="1" customWidth="1"/>
  </cols>
  <sheetData>
    <row r="1" spans="1:17">
      <c r="A1" s="100" t="s">
        <v>65</v>
      </c>
      <c r="B1" s="100"/>
      <c r="C1" s="100"/>
      <c r="D1" s="100"/>
      <c r="E1" s="100"/>
    </row>
    <row r="2" spans="1:17">
      <c r="A2" s="56"/>
      <c r="B2" s="57" t="s">
        <v>175</v>
      </c>
      <c r="C2" s="58" t="s">
        <v>176</v>
      </c>
      <c r="D2" t="s">
        <v>177</v>
      </c>
      <c r="E2" t="s">
        <v>61</v>
      </c>
      <c r="G2" t="s">
        <v>178</v>
      </c>
      <c r="H2" t="s">
        <v>8</v>
      </c>
      <c r="I2" t="s">
        <v>179</v>
      </c>
      <c r="L2" t="s">
        <v>178</v>
      </c>
      <c r="M2" t="s">
        <v>8</v>
      </c>
      <c r="N2" t="s">
        <v>180</v>
      </c>
      <c r="P2" t="s">
        <v>181</v>
      </c>
      <c r="Q2" t="s">
        <v>182</v>
      </c>
    </row>
    <row r="3" spans="1:17">
      <c r="A3" s="7"/>
      <c r="C3" s="8"/>
      <c r="D3" t="s">
        <v>183</v>
      </c>
      <c r="E3" t="s">
        <v>85</v>
      </c>
    </row>
    <row r="4" spans="1:17">
      <c r="A4" s="7"/>
      <c r="C4" s="8"/>
      <c r="F4">
        <v>0</v>
      </c>
      <c r="G4">
        <f>'Data Kystruten'!$B$3+'Data Kystruten'!$B$4</f>
        <v>3.5</v>
      </c>
      <c r="H4">
        <v>0</v>
      </c>
      <c r="I4">
        <v>0</v>
      </c>
    </row>
    <row r="5" spans="1:17">
      <c r="A5" s="9" t="s">
        <v>96</v>
      </c>
      <c r="B5" s="10" t="s">
        <v>97</v>
      </c>
      <c r="C5" s="11" t="s">
        <v>184</v>
      </c>
      <c r="D5">
        <f>'Data Kystruten'!B3</f>
        <v>1.3</v>
      </c>
      <c r="E5" s="23">
        <v>7</v>
      </c>
      <c r="F5" s="23">
        <f>E5</f>
        <v>7</v>
      </c>
      <c r="G5">
        <f>'Data Kystruten'!$B$3+'Data Kystruten'!$B$4</f>
        <v>3.5</v>
      </c>
      <c r="H5">
        <v>0</v>
      </c>
      <c r="I5" s="23">
        <v>0</v>
      </c>
      <c r="J5" s="23">
        <v>1.3</v>
      </c>
      <c r="K5">
        <v>0</v>
      </c>
      <c r="L5">
        <f>$G$4</f>
        <v>3.5</v>
      </c>
      <c r="M5">
        <v>0</v>
      </c>
      <c r="N5">
        <v>0</v>
      </c>
      <c r="O5" s="59" t="s">
        <v>185</v>
      </c>
      <c r="P5">
        <v>6.1</v>
      </c>
      <c r="Q5">
        <v>1.3</v>
      </c>
    </row>
    <row r="6" spans="1:17">
      <c r="A6" s="7"/>
      <c r="B6" t="s">
        <v>71</v>
      </c>
      <c r="C6" s="8" t="s">
        <v>186</v>
      </c>
      <c r="D6">
        <f>Assumptions!B15</f>
        <v>6</v>
      </c>
      <c r="E6">
        <v>0.33</v>
      </c>
      <c r="F6" s="23">
        <f t="shared" ref="F6:F32" si="0">F5+E6</f>
        <v>7.33</v>
      </c>
      <c r="G6">
        <f>'Data Kystruten'!$B$3+'Data Kystruten'!$B$4</f>
        <v>3.5</v>
      </c>
      <c r="H6">
        <v>0</v>
      </c>
      <c r="I6" s="23">
        <f>D6-G6</f>
        <v>2.5</v>
      </c>
      <c r="J6" s="23">
        <v>1.3</v>
      </c>
      <c r="K6" s="23">
        <f>F5</f>
        <v>7</v>
      </c>
      <c r="L6">
        <f t="shared" ref="L6:L54" si="1">$G$4</f>
        <v>3.5</v>
      </c>
      <c r="M6">
        <v>0</v>
      </c>
      <c r="N6">
        <v>0</v>
      </c>
      <c r="O6" s="59"/>
      <c r="P6">
        <v>6.1</v>
      </c>
      <c r="Q6">
        <v>1.3</v>
      </c>
    </row>
    <row r="7" spans="1:17">
      <c r="A7" s="7"/>
      <c r="B7" t="s">
        <v>187</v>
      </c>
      <c r="C7" s="8" t="s">
        <v>188</v>
      </c>
      <c r="D7">
        <f>'Data Kystruten'!B3+'Data Kystruten'!B4</f>
        <v>3.5</v>
      </c>
      <c r="E7" s="23">
        <v>5.33</v>
      </c>
      <c r="F7" s="23">
        <f t="shared" si="0"/>
        <v>12.66</v>
      </c>
      <c r="G7">
        <f>'Data Kystruten'!$B$3+'Data Kystruten'!$B$4</f>
        <v>3.5</v>
      </c>
      <c r="H7">
        <v>0</v>
      </c>
      <c r="I7" s="23">
        <v>0</v>
      </c>
      <c r="J7" s="23">
        <f>D6</f>
        <v>6</v>
      </c>
      <c r="K7" s="23">
        <f>K6</f>
        <v>7</v>
      </c>
      <c r="L7">
        <f t="shared" si="1"/>
        <v>3.5</v>
      </c>
      <c r="M7">
        <v>0</v>
      </c>
      <c r="N7" s="23">
        <f>J7-L7</f>
        <v>2.5</v>
      </c>
      <c r="O7" s="59" t="s">
        <v>189</v>
      </c>
      <c r="P7">
        <v>6.1</v>
      </c>
      <c r="Q7">
        <v>1.3</v>
      </c>
    </row>
    <row r="8" spans="1:17">
      <c r="A8" s="7"/>
      <c r="B8" t="s">
        <v>70</v>
      </c>
      <c r="C8" s="8" t="s">
        <v>190</v>
      </c>
      <c r="D8">
        <f>Assumptions!B16</f>
        <v>2</v>
      </c>
      <c r="E8">
        <v>0.33</v>
      </c>
      <c r="F8" s="23">
        <f t="shared" si="0"/>
        <v>12.99</v>
      </c>
      <c r="G8">
        <f>'Data Kystruten'!$B$3+'Data Kystruten'!$B$4</f>
        <v>3.5</v>
      </c>
      <c r="H8">
        <v>0</v>
      </c>
      <c r="I8" s="23">
        <v>0</v>
      </c>
      <c r="J8" s="23">
        <f>D6</f>
        <v>6</v>
      </c>
      <c r="K8" s="23">
        <f>F6</f>
        <v>7.33</v>
      </c>
      <c r="L8">
        <f t="shared" si="1"/>
        <v>3.5</v>
      </c>
      <c r="M8">
        <v>0</v>
      </c>
      <c r="N8" s="23">
        <f>J8-L8</f>
        <v>2.5</v>
      </c>
      <c r="O8" s="59"/>
      <c r="P8">
        <f>$U$70</f>
        <v>4.5999999999999996</v>
      </c>
      <c r="Q8">
        <v>1.3</v>
      </c>
    </row>
    <row r="9" spans="1:17">
      <c r="A9" s="9"/>
      <c r="B9" s="10" t="s">
        <v>100</v>
      </c>
      <c r="C9" s="11" t="s">
        <v>184</v>
      </c>
      <c r="D9">
        <v>1.3</v>
      </c>
      <c r="E9" s="23">
        <v>0.17</v>
      </c>
      <c r="F9" s="23">
        <f t="shared" si="0"/>
        <v>13.16</v>
      </c>
      <c r="G9">
        <f>'Data Kystruten'!$B$3+'Data Kystruten'!$B$4</f>
        <v>3.5</v>
      </c>
      <c r="H9">
        <v>0</v>
      </c>
      <c r="I9" s="23">
        <v>0</v>
      </c>
      <c r="J9" s="23">
        <f>D7</f>
        <v>3.5</v>
      </c>
      <c r="K9" s="23">
        <f>K8</f>
        <v>7.33</v>
      </c>
      <c r="L9">
        <f t="shared" si="1"/>
        <v>3.5</v>
      </c>
      <c r="M9">
        <v>0</v>
      </c>
      <c r="N9">
        <v>0</v>
      </c>
      <c r="O9" s="59" t="s">
        <v>191</v>
      </c>
      <c r="P9">
        <f t="shared" ref="P9:P11" si="2">$U$70</f>
        <v>4.5999999999999996</v>
      </c>
      <c r="Q9">
        <v>1.3</v>
      </c>
    </row>
    <row r="10" spans="1:17">
      <c r="A10" s="7"/>
      <c r="B10" t="s">
        <v>71</v>
      </c>
      <c r="C10" s="8" t="s">
        <v>186</v>
      </c>
      <c r="D10">
        <f>D6</f>
        <v>6</v>
      </c>
      <c r="E10">
        <v>0.33</v>
      </c>
      <c r="F10" s="23">
        <f t="shared" si="0"/>
        <v>13.49</v>
      </c>
      <c r="G10">
        <f>'Data Kystruten'!$B$3+'Data Kystruten'!$B$4</f>
        <v>3.5</v>
      </c>
      <c r="H10">
        <v>0</v>
      </c>
      <c r="I10" s="23">
        <f>D10-G10</f>
        <v>2.5</v>
      </c>
      <c r="J10" s="23">
        <v>3.5</v>
      </c>
      <c r="K10" s="23">
        <v>12.67</v>
      </c>
      <c r="L10">
        <f t="shared" si="1"/>
        <v>3.5</v>
      </c>
      <c r="M10">
        <v>0</v>
      </c>
      <c r="N10" s="23">
        <v>0</v>
      </c>
      <c r="O10" s="59"/>
      <c r="P10">
        <f t="shared" si="2"/>
        <v>4.5999999999999996</v>
      </c>
      <c r="Q10">
        <v>1.3</v>
      </c>
    </row>
    <row r="11" spans="1:17">
      <c r="A11" s="7" t="s">
        <v>105</v>
      </c>
      <c r="B11" t="s">
        <v>187</v>
      </c>
      <c r="C11" s="8" t="s">
        <v>188</v>
      </c>
      <c r="D11">
        <f>D7</f>
        <v>3.5</v>
      </c>
      <c r="E11" s="23">
        <v>1.34</v>
      </c>
      <c r="F11" s="23">
        <f t="shared" si="0"/>
        <v>14.83</v>
      </c>
      <c r="G11">
        <f>'Data Kystruten'!$B$3+'Data Kystruten'!$B$4</f>
        <v>3.5</v>
      </c>
      <c r="H11">
        <v>0</v>
      </c>
      <c r="I11" s="23">
        <v>0</v>
      </c>
      <c r="J11" s="23">
        <v>2</v>
      </c>
      <c r="K11" s="23">
        <f>F7</f>
        <v>12.66</v>
      </c>
      <c r="L11">
        <f t="shared" si="1"/>
        <v>3.5</v>
      </c>
      <c r="M11">
        <v>0</v>
      </c>
      <c r="N11" s="23">
        <v>0</v>
      </c>
      <c r="O11" s="59" t="s">
        <v>192</v>
      </c>
      <c r="P11">
        <f t="shared" si="2"/>
        <v>4.5999999999999996</v>
      </c>
      <c r="Q11">
        <v>1.3</v>
      </c>
    </row>
    <row r="12" spans="1:17">
      <c r="A12" s="9"/>
      <c r="B12" t="s">
        <v>70</v>
      </c>
      <c r="C12" s="8" t="s">
        <v>190</v>
      </c>
      <c r="D12">
        <f>D8</f>
        <v>2</v>
      </c>
      <c r="E12">
        <v>0.33</v>
      </c>
      <c r="F12" s="23">
        <f t="shared" si="0"/>
        <v>15.16</v>
      </c>
      <c r="G12">
        <f>'Data Kystruten'!$B$3+'Data Kystruten'!$B$4</f>
        <v>3.5</v>
      </c>
      <c r="H12">
        <v>0</v>
      </c>
      <c r="I12" s="23">
        <v>0</v>
      </c>
      <c r="J12" s="23">
        <v>2</v>
      </c>
      <c r="K12" s="23">
        <f>F8</f>
        <v>12.99</v>
      </c>
      <c r="L12">
        <f t="shared" si="1"/>
        <v>3.5</v>
      </c>
      <c r="M12">
        <v>0</v>
      </c>
      <c r="N12" s="23">
        <v>0</v>
      </c>
      <c r="O12" s="59"/>
      <c r="P12">
        <f>P11+R72</f>
        <v>5.0999999999999996</v>
      </c>
      <c r="Q12">
        <v>1.3</v>
      </c>
    </row>
    <row r="13" spans="1:17">
      <c r="A13" s="7"/>
      <c r="B13" s="10" t="s">
        <v>101</v>
      </c>
      <c r="C13" s="11" t="s">
        <v>184</v>
      </c>
      <c r="D13">
        <f>D9</f>
        <v>1.3</v>
      </c>
      <c r="E13" s="23">
        <v>0.17</v>
      </c>
      <c r="F13" s="23">
        <f t="shared" si="0"/>
        <v>15.33</v>
      </c>
      <c r="G13">
        <f>'Data Kystruten'!$B$3+'Data Kystruten'!$B$4</f>
        <v>3.5</v>
      </c>
      <c r="H13">
        <v>0</v>
      </c>
      <c r="I13" s="23">
        <v>0</v>
      </c>
      <c r="J13" s="23">
        <v>1.3</v>
      </c>
      <c r="K13" s="23">
        <f>K12</f>
        <v>12.99</v>
      </c>
      <c r="L13">
        <f t="shared" si="1"/>
        <v>3.5</v>
      </c>
      <c r="M13">
        <v>0</v>
      </c>
      <c r="N13" s="23">
        <v>0</v>
      </c>
      <c r="O13" s="59" t="s">
        <v>193</v>
      </c>
      <c r="P13">
        <f>P12+R73</f>
        <v>5.0999999999999996</v>
      </c>
      <c r="Q13">
        <v>1.3</v>
      </c>
    </row>
    <row r="14" spans="1:17">
      <c r="A14" s="7" t="s">
        <v>109</v>
      </c>
      <c r="B14" t="s">
        <v>71</v>
      </c>
      <c r="C14" s="8" t="s">
        <v>186</v>
      </c>
      <c r="D14">
        <f>D6</f>
        <v>6</v>
      </c>
      <c r="E14">
        <v>0.33</v>
      </c>
      <c r="F14" s="23">
        <f t="shared" si="0"/>
        <v>15.66</v>
      </c>
      <c r="G14">
        <f>'Data Kystruten'!$B$3+'Data Kystruten'!$B$4</f>
        <v>3.5</v>
      </c>
      <c r="H14">
        <v>0</v>
      </c>
      <c r="I14" s="23">
        <f>D14-G14</f>
        <v>2.5</v>
      </c>
      <c r="J14" s="23">
        <v>1.3</v>
      </c>
      <c r="K14" s="23">
        <f>F9</f>
        <v>13.16</v>
      </c>
      <c r="L14">
        <f t="shared" si="1"/>
        <v>3.5</v>
      </c>
      <c r="M14">
        <v>0</v>
      </c>
      <c r="N14" s="23">
        <v>0</v>
      </c>
      <c r="O14" s="59"/>
      <c r="P14">
        <f>P13+M72</f>
        <v>5.466666666666665</v>
      </c>
      <c r="Q14">
        <v>1.3</v>
      </c>
    </row>
    <row r="15" spans="1:17">
      <c r="A15" s="7"/>
      <c r="B15" t="s">
        <v>187</v>
      </c>
      <c r="C15" s="8" t="s">
        <v>188</v>
      </c>
      <c r="D15">
        <f t="shared" ref="D15:D32" si="3">D11</f>
        <v>3.5</v>
      </c>
      <c r="E15" s="23">
        <v>2</v>
      </c>
      <c r="F15" s="23">
        <f t="shared" si="0"/>
        <v>17.66</v>
      </c>
      <c r="G15">
        <f>'Data Kystruten'!$B$3+'Data Kystruten'!$B$4</f>
        <v>3.5</v>
      </c>
      <c r="H15">
        <v>0</v>
      </c>
      <c r="I15" s="23">
        <v>0</v>
      </c>
      <c r="J15" s="23">
        <f>D6</f>
        <v>6</v>
      </c>
      <c r="K15" s="23">
        <f>K14</f>
        <v>13.16</v>
      </c>
      <c r="L15">
        <f t="shared" si="1"/>
        <v>3.5</v>
      </c>
      <c r="M15">
        <v>0</v>
      </c>
      <c r="N15" s="23">
        <f>J15-L15</f>
        <v>2.5</v>
      </c>
      <c r="O15" s="59" t="s">
        <v>194</v>
      </c>
      <c r="P15">
        <f>P14</f>
        <v>5.466666666666665</v>
      </c>
      <c r="Q15">
        <v>1.3</v>
      </c>
    </row>
    <row r="16" spans="1:17">
      <c r="A16" s="7"/>
      <c r="B16" t="s">
        <v>70</v>
      </c>
      <c r="C16" s="8" t="s">
        <v>190</v>
      </c>
      <c r="D16">
        <f t="shared" si="3"/>
        <v>2</v>
      </c>
      <c r="E16">
        <v>0.33</v>
      </c>
      <c r="F16" s="23">
        <f t="shared" si="0"/>
        <v>17.989999999999998</v>
      </c>
      <c r="G16">
        <f>'Data Kystruten'!$B$3+'Data Kystruten'!$B$4</f>
        <v>3.5</v>
      </c>
      <c r="H16">
        <v>0</v>
      </c>
      <c r="I16" s="23">
        <v>0</v>
      </c>
      <c r="J16" s="23">
        <f>D6</f>
        <v>6</v>
      </c>
      <c r="K16" s="23">
        <f>F10</f>
        <v>13.49</v>
      </c>
      <c r="L16">
        <f t="shared" si="1"/>
        <v>3.5</v>
      </c>
      <c r="M16">
        <v>0</v>
      </c>
      <c r="N16" s="23">
        <f>J16-L16</f>
        <v>2.5</v>
      </c>
      <c r="O16" s="59"/>
      <c r="P16">
        <f>P15-T74</f>
        <v>3.466666666666665</v>
      </c>
      <c r="Q16">
        <v>1.3</v>
      </c>
    </row>
    <row r="17" spans="1:20">
      <c r="A17" s="7"/>
      <c r="B17" s="10" t="s">
        <v>102</v>
      </c>
      <c r="C17" s="11" t="s">
        <v>184</v>
      </c>
      <c r="D17">
        <f t="shared" si="3"/>
        <v>1.3</v>
      </c>
      <c r="E17" s="23">
        <v>0.17</v>
      </c>
      <c r="F17" s="23">
        <f t="shared" si="0"/>
        <v>18.16</v>
      </c>
      <c r="G17">
        <f>'Data Kystruten'!$B$3+'Data Kystruten'!$B$4</f>
        <v>3.5</v>
      </c>
      <c r="H17">
        <v>0</v>
      </c>
      <c r="I17" s="23">
        <v>0</v>
      </c>
      <c r="J17" s="23">
        <v>3.5</v>
      </c>
      <c r="K17" s="23">
        <f>K16</f>
        <v>13.49</v>
      </c>
      <c r="L17">
        <f t="shared" si="1"/>
        <v>3.5</v>
      </c>
      <c r="M17">
        <v>0</v>
      </c>
      <c r="N17" s="23">
        <v>0</v>
      </c>
      <c r="O17" s="59" t="s">
        <v>195</v>
      </c>
      <c r="P17">
        <f>P16</f>
        <v>3.466666666666665</v>
      </c>
      <c r="Q17">
        <v>1.3</v>
      </c>
      <c r="S17">
        <f>6.1/Q17</f>
        <v>4.6923076923076916</v>
      </c>
      <c r="T17" t="s">
        <v>196</v>
      </c>
    </row>
    <row r="18" spans="1:20">
      <c r="A18" s="9"/>
      <c r="B18" t="s">
        <v>71</v>
      </c>
      <c r="C18" s="8" t="s">
        <v>186</v>
      </c>
      <c r="D18">
        <f t="shared" si="3"/>
        <v>6</v>
      </c>
      <c r="E18">
        <v>0.33</v>
      </c>
      <c r="F18" s="23">
        <f t="shared" si="0"/>
        <v>18.489999999999998</v>
      </c>
      <c r="G18">
        <f>'Data Kystruten'!$B$3+'Data Kystruten'!$B$4</f>
        <v>3.5</v>
      </c>
      <c r="H18">
        <v>0</v>
      </c>
      <c r="I18" s="23">
        <f>D18-G18</f>
        <v>2.5</v>
      </c>
      <c r="J18" s="23">
        <v>3.5</v>
      </c>
      <c r="K18" s="23">
        <f>F11</f>
        <v>14.83</v>
      </c>
      <c r="L18">
        <f t="shared" si="1"/>
        <v>3.5</v>
      </c>
      <c r="M18">
        <v>0</v>
      </c>
      <c r="N18" s="23">
        <v>0</v>
      </c>
      <c r="O18" s="59"/>
      <c r="P18">
        <f>P17</f>
        <v>3.466666666666665</v>
      </c>
      <c r="Q18">
        <v>1.3</v>
      </c>
    </row>
    <row r="19" spans="1:20">
      <c r="A19" s="7"/>
      <c r="B19" t="s">
        <v>187</v>
      </c>
      <c r="C19" s="8" t="s">
        <v>188</v>
      </c>
      <c r="D19">
        <f t="shared" si="3"/>
        <v>3.5</v>
      </c>
      <c r="E19" s="23">
        <v>0.42</v>
      </c>
      <c r="F19" s="23">
        <f t="shared" si="0"/>
        <v>18.91</v>
      </c>
      <c r="G19">
        <f>'Data Kystruten'!$B$3+'Data Kystruten'!$B$4</f>
        <v>3.5</v>
      </c>
      <c r="H19">
        <v>0</v>
      </c>
      <c r="I19" s="23">
        <v>0</v>
      </c>
      <c r="J19" s="23">
        <f>D16</f>
        <v>2</v>
      </c>
      <c r="K19" s="23">
        <f>K18</f>
        <v>14.83</v>
      </c>
      <c r="L19">
        <f t="shared" si="1"/>
        <v>3.5</v>
      </c>
      <c r="M19">
        <v>0</v>
      </c>
      <c r="N19" s="23">
        <v>0</v>
      </c>
      <c r="O19" s="59" t="s">
        <v>197</v>
      </c>
      <c r="P19">
        <f>P18</f>
        <v>3.466666666666665</v>
      </c>
      <c r="Q19">
        <v>1.3</v>
      </c>
    </row>
    <row r="20" spans="1:20">
      <c r="A20" s="7"/>
      <c r="B20" t="s">
        <v>70</v>
      </c>
      <c r="C20" s="8" t="s">
        <v>190</v>
      </c>
      <c r="D20">
        <f t="shared" si="3"/>
        <v>2</v>
      </c>
      <c r="E20">
        <v>0.33</v>
      </c>
      <c r="F20" s="23">
        <f t="shared" si="0"/>
        <v>19.239999999999998</v>
      </c>
      <c r="G20">
        <f>'Data Kystruten'!$B$3+'Data Kystruten'!$B$4</f>
        <v>3.5</v>
      </c>
      <c r="H20">
        <v>0</v>
      </c>
      <c r="I20" s="23">
        <v>0</v>
      </c>
      <c r="J20" s="23">
        <f>J19</f>
        <v>2</v>
      </c>
      <c r="K20" s="23">
        <f>F12</f>
        <v>15.16</v>
      </c>
      <c r="L20">
        <f t="shared" si="1"/>
        <v>3.5</v>
      </c>
      <c r="M20">
        <v>0</v>
      </c>
      <c r="N20" s="23">
        <v>0</v>
      </c>
      <c r="O20" s="59"/>
      <c r="P20">
        <f>P19+R74</f>
        <v>3.966666666666665</v>
      </c>
      <c r="Q20">
        <v>1.3</v>
      </c>
    </row>
    <row r="21" spans="1:20">
      <c r="A21" s="7" t="s">
        <v>118</v>
      </c>
      <c r="B21" s="10" t="s">
        <v>103</v>
      </c>
      <c r="C21" s="11" t="s">
        <v>184</v>
      </c>
      <c r="D21">
        <f t="shared" si="3"/>
        <v>1.3</v>
      </c>
      <c r="E21" s="23">
        <v>3.75</v>
      </c>
      <c r="F21" s="23">
        <f t="shared" si="0"/>
        <v>22.99</v>
      </c>
      <c r="G21">
        <f>'Data Kystruten'!$B$3+'Data Kystruten'!$B$4</f>
        <v>3.5</v>
      </c>
      <c r="H21">
        <v>0</v>
      </c>
      <c r="I21" s="23">
        <v>0</v>
      </c>
      <c r="J21">
        <f>D13</f>
        <v>1.3</v>
      </c>
      <c r="K21" s="23">
        <f>K20</f>
        <v>15.16</v>
      </c>
      <c r="L21">
        <f t="shared" si="1"/>
        <v>3.5</v>
      </c>
      <c r="M21">
        <v>0</v>
      </c>
      <c r="N21" s="23">
        <v>0</v>
      </c>
      <c r="O21" s="59" t="s">
        <v>198</v>
      </c>
      <c r="P21">
        <f>P20</f>
        <v>3.966666666666665</v>
      </c>
      <c r="Q21">
        <v>1.3</v>
      </c>
    </row>
    <row r="22" spans="1:20">
      <c r="A22" s="7"/>
      <c r="B22" t="s">
        <v>71</v>
      </c>
      <c r="C22" s="8" t="s">
        <v>186</v>
      </c>
      <c r="D22">
        <f t="shared" si="3"/>
        <v>6</v>
      </c>
      <c r="E22">
        <v>0.33</v>
      </c>
      <c r="F22" s="23">
        <f t="shared" si="0"/>
        <v>23.319999999999997</v>
      </c>
      <c r="G22">
        <f>'Data Kystruten'!$B$3+'Data Kystruten'!$B$4</f>
        <v>3.5</v>
      </c>
      <c r="H22">
        <v>0</v>
      </c>
      <c r="I22" s="23">
        <f>D22-G22</f>
        <v>2.5</v>
      </c>
      <c r="J22">
        <f>J21</f>
        <v>1.3</v>
      </c>
      <c r="K22" s="23">
        <f>F13</f>
        <v>15.33</v>
      </c>
      <c r="L22">
        <f t="shared" si="1"/>
        <v>3.5</v>
      </c>
      <c r="M22">
        <v>0</v>
      </c>
      <c r="N22" s="23">
        <v>0</v>
      </c>
      <c r="O22" s="59"/>
      <c r="P22">
        <f>P21+M74</f>
        <v>4.3333333333333304</v>
      </c>
      <c r="Q22">
        <v>1.3</v>
      </c>
    </row>
    <row r="23" spans="1:20">
      <c r="A23" s="7"/>
      <c r="B23" t="s">
        <v>187</v>
      </c>
      <c r="C23" s="8" t="s">
        <v>188</v>
      </c>
      <c r="D23">
        <f t="shared" si="3"/>
        <v>3.5</v>
      </c>
      <c r="E23" s="23">
        <v>2.09</v>
      </c>
      <c r="F23" s="23">
        <f t="shared" si="0"/>
        <v>25.409999999999997</v>
      </c>
      <c r="G23">
        <f>'Data Kystruten'!$B$3+'Data Kystruten'!$B$4</f>
        <v>3.5</v>
      </c>
      <c r="H23">
        <v>0</v>
      </c>
      <c r="I23" s="23">
        <v>0</v>
      </c>
      <c r="J23">
        <f>D14</f>
        <v>6</v>
      </c>
      <c r="K23" s="23">
        <f>K22</f>
        <v>15.33</v>
      </c>
      <c r="L23">
        <f t="shared" si="1"/>
        <v>3.5</v>
      </c>
      <c r="M23">
        <v>0</v>
      </c>
      <c r="N23" s="23">
        <f>J23-L23</f>
        <v>2.5</v>
      </c>
      <c r="O23" s="59" t="s">
        <v>199</v>
      </c>
      <c r="P23">
        <f>P22</f>
        <v>4.3333333333333304</v>
      </c>
      <c r="Q23">
        <v>1.3</v>
      </c>
    </row>
    <row r="24" spans="1:20">
      <c r="A24" s="7"/>
      <c r="B24" t="s">
        <v>70</v>
      </c>
      <c r="C24" s="8" t="s">
        <v>190</v>
      </c>
      <c r="D24">
        <f t="shared" si="3"/>
        <v>2</v>
      </c>
      <c r="E24">
        <v>0.33</v>
      </c>
      <c r="F24" s="23">
        <f t="shared" si="0"/>
        <v>25.739999999999995</v>
      </c>
      <c r="G24">
        <f>'Data Kystruten'!$B$3+'Data Kystruten'!$B$4</f>
        <v>3.5</v>
      </c>
      <c r="H24">
        <v>0</v>
      </c>
      <c r="I24" s="23">
        <v>0</v>
      </c>
      <c r="J24">
        <f>J23</f>
        <v>6</v>
      </c>
      <c r="K24" s="23">
        <f>F14</f>
        <v>15.66</v>
      </c>
      <c r="L24">
        <f t="shared" si="1"/>
        <v>3.5</v>
      </c>
      <c r="M24">
        <v>0</v>
      </c>
      <c r="N24" s="23">
        <f>J24-L24</f>
        <v>2.5</v>
      </c>
      <c r="O24" s="59"/>
      <c r="P24">
        <f>P23-T74</f>
        <v>2.3333333333333304</v>
      </c>
      <c r="Q24">
        <v>1.3</v>
      </c>
    </row>
    <row r="25" spans="1:20">
      <c r="A25" s="7"/>
      <c r="B25" s="10" t="s">
        <v>104</v>
      </c>
      <c r="C25" s="11" t="s">
        <v>184</v>
      </c>
      <c r="D25">
        <f t="shared" si="3"/>
        <v>1.3</v>
      </c>
      <c r="E25" s="23">
        <v>2.75</v>
      </c>
      <c r="F25" s="23">
        <f t="shared" si="0"/>
        <v>28.489999999999995</v>
      </c>
      <c r="G25">
        <f>'Data Kystruten'!$B$3+'Data Kystruten'!$B$4</f>
        <v>3.5</v>
      </c>
      <c r="H25">
        <v>0</v>
      </c>
      <c r="I25" s="23">
        <v>0</v>
      </c>
      <c r="J25">
        <f>D15</f>
        <v>3.5</v>
      </c>
      <c r="K25" s="23">
        <f>K24</f>
        <v>15.66</v>
      </c>
      <c r="L25">
        <f t="shared" si="1"/>
        <v>3.5</v>
      </c>
      <c r="M25">
        <v>0</v>
      </c>
      <c r="N25" s="23">
        <v>0</v>
      </c>
      <c r="O25" s="59" t="s">
        <v>200</v>
      </c>
      <c r="P25">
        <f>P24</f>
        <v>2.3333333333333304</v>
      </c>
      <c r="Q25">
        <v>1.3</v>
      </c>
    </row>
    <row r="26" spans="1:20">
      <c r="A26" s="9"/>
      <c r="B26" t="s">
        <v>71</v>
      </c>
      <c r="C26" s="8" t="s">
        <v>186</v>
      </c>
      <c r="D26">
        <f t="shared" si="3"/>
        <v>6</v>
      </c>
      <c r="E26">
        <v>0.33</v>
      </c>
      <c r="F26" s="23">
        <f t="shared" si="0"/>
        <v>28.819999999999993</v>
      </c>
      <c r="G26">
        <f>'Data Kystruten'!$B$3+'Data Kystruten'!$B$4</f>
        <v>3.5</v>
      </c>
      <c r="H26">
        <v>0</v>
      </c>
      <c r="I26" s="23">
        <f>D26-G26</f>
        <v>2.5</v>
      </c>
      <c r="J26">
        <f>J25</f>
        <v>3.5</v>
      </c>
      <c r="K26" s="23">
        <f>F15</f>
        <v>17.66</v>
      </c>
      <c r="L26">
        <f t="shared" si="1"/>
        <v>3.5</v>
      </c>
      <c r="M26">
        <v>0</v>
      </c>
      <c r="N26" s="23">
        <v>0</v>
      </c>
      <c r="O26" s="59"/>
      <c r="P26">
        <f>P25</f>
        <v>2.3333333333333304</v>
      </c>
      <c r="Q26">
        <v>1.3</v>
      </c>
    </row>
    <row r="27" spans="1:20">
      <c r="A27" s="7"/>
      <c r="B27" t="s">
        <v>187</v>
      </c>
      <c r="C27" s="8" t="s">
        <v>188</v>
      </c>
      <c r="D27">
        <f t="shared" si="3"/>
        <v>3.5</v>
      </c>
      <c r="E27" s="23">
        <v>2.84</v>
      </c>
      <c r="F27" s="23">
        <f t="shared" si="0"/>
        <v>31.659999999999993</v>
      </c>
      <c r="G27">
        <f>'Data Kystruten'!$B$3+'Data Kystruten'!$B$4</f>
        <v>3.5</v>
      </c>
      <c r="H27">
        <v>0</v>
      </c>
      <c r="I27" s="23">
        <v>0</v>
      </c>
      <c r="J27">
        <f>D16</f>
        <v>2</v>
      </c>
      <c r="K27" s="23">
        <f>K26</f>
        <v>17.66</v>
      </c>
      <c r="L27">
        <f t="shared" si="1"/>
        <v>3.5</v>
      </c>
      <c r="M27">
        <v>0</v>
      </c>
      <c r="N27" s="23">
        <v>0</v>
      </c>
      <c r="O27" s="59" t="s">
        <v>201</v>
      </c>
      <c r="P27">
        <f>P26</f>
        <v>2.3333333333333304</v>
      </c>
      <c r="Q27">
        <v>1.3</v>
      </c>
    </row>
    <row r="28" spans="1:20">
      <c r="A28" s="7" t="s">
        <v>126</v>
      </c>
      <c r="B28" t="s">
        <v>70</v>
      </c>
      <c r="C28" s="8" t="s">
        <v>190</v>
      </c>
      <c r="D28">
        <f t="shared" si="3"/>
        <v>2</v>
      </c>
      <c r="E28">
        <v>0.33</v>
      </c>
      <c r="F28" s="23">
        <f t="shared" si="0"/>
        <v>31.989999999999991</v>
      </c>
      <c r="G28">
        <f>'Data Kystruten'!$B$3+'Data Kystruten'!$B$4</f>
        <v>3.5</v>
      </c>
      <c r="H28">
        <v>0</v>
      </c>
      <c r="I28" s="23">
        <v>0</v>
      </c>
      <c r="J28" s="23">
        <f>J19</f>
        <v>2</v>
      </c>
      <c r="K28" s="23">
        <f>F16</f>
        <v>17.989999999999998</v>
      </c>
      <c r="L28">
        <f t="shared" si="1"/>
        <v>3.5</v>
      </c>
      <c r="M28">
        <v>0</v>
      </c>
      <c r="N28" s="23">
        <v>0</v>
      </c>
      <c r="O28" s="59"/>
      <c r="P28">
        <f>P27+R76</f>
        <v>2.8333333333333304</v>
      </c>
      <c r="Q28">
        <v>1.3</v>
      </c>
    </row>
    <row r="29" spans="1:20">
      <c r="A29" s="7"/>
      <c r="B29" s="10" t="s">
        <v>202</v>
      </c>
      <c r="C29" s="11" t="s">
        <v>184</v>
      </c>
      <c r="D29">
        <f t="shared" si="3"/>
        <v>1.3</v>
      </c>
      <c r="E29" s="23">
        <v>3</v>
      </c>
      <c r="F29" s="23">
        <f t="shared" si="0"/>
        <v>34.989999999999995</v>
      </c>
      <c r="G29">
        <f>'Data Kystruten'!$B$3+'Data Kystruten'!$B$4</f>
        <v>3.5</v>
      </c>
      <c r="H29">
        <v>0</v>
      </c>
      <c r="I29" s="23">
        <v>0</v>
      </c>
      <c r="J29" s="23">
        <f>D17</f>
        <v>1.3</v>
      </c>
      <c r="K29" s="23">
        <f>K28</f>
        <v>17.989999999999998</v>
      </c>
      <c r="L29">
        <f t="shared" si="1"/>
        <v>3.5</v>
      </c>
      <c r="M29">
        <v>0</v>
      </c>
      <c r="N29" s="23">
        <v>0</v>
      </c>
      <c r="O29" s="59" t="s">
        <v>203</v>
      </c>
      <c r="P29">
        <f>P28</f>
        <v>2.8333333333333304</v>
      </c>
      <c r="Q29">
        <v>1.3</v>
      </c>
    </row>
    <row r="30" spans="1:20">
      <c r="A30" s="7"/>
      <c r="B30" t="s">
        <v>71</v>
      </c>
      <c r="C30" s="8" t="s">
        <v>186</v>
      </c>
      <c r="D30">
        <f t="shared" si="3"/>
        <v>6</v>
      </c>
      <c r="E30">
        <v>0.33</v>
      </c>
      <c r="F30" s="23">
        <f t="shared" si="0"/>
        <v>35.319999999999993</v>
      </c>
      <c r="G30">
        <f>'Data Kystruten'!$B$3+'Data Kystruten'!$B$4</f>
        <v>3.5</v>
      </c>
      <c r="H30">
        <f>G4</f>
        <v>3.5</v>
      </c>
      <c r="I30" s="23">
        <f>D30-H30</f>
        <v>2.5</v>
      </c>
      <c r="J30" s="23">
        <f>J29</f>
        <v>1.3</v>
      </c>
      <c r="K30" s="23">
        <f>F17</f>
        <v>18.16</v>
      </c>
      <c r="L30">
        <f t="shared" si="1"/>
        <v>3.5</v>
      </c>
      <c r="M30">
        <v>0</v>
      </c>
      <c r="N30" s="23">
        <v>0</v>
      </c>
      <c r="O30" s="59"/>
      <c r="P30">
        <f>P29+M76</f>
        <v>3.1999999999999957</v>
      </c>
      <c r="Q30">
        <v>1.3</v>
      </c>
    </row>
    <row r="31" spans="1:20">
      <c r="A31" s="9"/>
      <c r="B31" t="s">
        <v>187</v>
      </c>
      <c r="C31" s="8" t="s">
        <v>188</v>
      </c>
      <c r="D31">
        <f t="shared" si="3"/>
        <v>3.5</v>
      </c>
      <c r="E31" s="23">
        <v>7.84</v>
      </c>
      <c r="F31" s="23">
        <f t="shared" si="0"/>
        <v>43.16</v>
      </c>
      <c r="G31">
        <f>'Data Kystruten'!$B$3+'Data Kystruten'!$B$4</f>
        <v>3.5</v>
      </c>
      <c r="H31">
        <f>G5</f>
        <v>3.5</v>
      </c>
      <c r="I31" s="23">
        <v>0</v>
      </c>
      <c r="J31" s="23">
        <f>D18</f>
        <v>6</v>
      </c>
      <c r="K31" s="23">
        <f>K30</f>
        <v>18.16</v>
      </c>
      <c r="L31">
        <f t="shared" si="1"/>
        <v>3.5</v>
      </c>
      <c r="M31">
        <v>0</v>
      </c>
      <c r="N31" s="23">
        <f>J31-L31</f>
        <v>2.5</v>
      </c>
      <c r="O31" s="59" t="s">
        <v>204</v>
      </c>
      <c r="P31">
        <f>P30</f>
        <v>3.1999999999999957</v>
      </c>
      <c r="Q31">
        <v>1.3</v>
      </c>
    </row>
    <row r="32" spans="1:20">
      <c r="A32" s="7"/>
      <c r="B32" t="s">
        <v>70</v>
      </c>
      <c r="C32" s="8" t="s">
        <v>190</v>
      </c>
      <c r="D32">
        <f t="shared" si="3"/>
        <v>2</v>
      </c>
      <c r="E32">
        <v>0.33</v>
      </c>
      <c r="F32" s="23">
        <f t="shared" si="0"/>
        <v>43.489999999999995</v>
      </c>
      <c r="G32">
        <f>'Data Kystruten'!$B$3+'Data Kystruten'!$B$4</f>
        <v>3.5</v>
      </c>
      <c r="H32">
        <f>G6</f>
        <v>3.5</v>
      </c>
      <c r="I32" s="23">
        <v>0</v>
      </c>
      <c r="J32" s="23">
        <f>J31</f>
        <v>6</v>
      </c>
      <c r="K32" s="23">
        <f>F18</f>
        <v>18.489999999999998</v>
      </c>
      <c r="L32">
        <f t="shared" si="1"/>
        <v>3.5</v>
      </c>
      <c r="M32">
        <v>0</v>
      </c>
      <c r="N32" s="23">
        <f>J32-L32</f>
        <v>2.5</v>
      </c>
      <c r="O32" s="59"/>
      <c r="P32">
        <f>P31-T74</f>
        <v>1.1999999999999957</v>
      </c>
      <c r="Q32">
        <v>1.3</v>
      </c>
    </row>
    <row r="33" spans="1:17">
      <c r="B33" t="s">
        <v>107</v>
      </c>
      <c r="I33" s="23"/>
      <c r="J33" s="23">
        <f>D19</f>
        <v>3.5</v>
      </c>
      <c r="K33" s="23">
        <f>K32</f>
        <v>18.489999999999998</v>
      </c>
      <c r="L33">
        <f t="shared" si="1"/>
        <v>3.5</v>
      </c>
      <c r="M33">
        <v>0</v>
      </c>
      <c r="N33" s="23">
        <v>0</v>
      </c>
      <c r="O33" s="59" t="s">
        <v>205</v>
      </c>
      <c r="P33">
        <f>P32-T75</f>
        <v>1.1999999999999957</v>
      </c>
      <c r="Q33">
        <v>1.3</v>
      </c>
    </row>
    <row r="34" spans="1:17">
      <c r="A34" s="7"/>
      <c r="C34" s="8"/>
      <c r="F34" s="23"/>
      <c r="I34" s="23"/>
      <c r="J34" s="23">
        <f>J33</f>
        <v>3.5</v>
      </c>
      <c r="K34" s="23">
        <f>F19</f>
        <v>18.91</v>
      </c>
      <c r="L34">
        <f t="shared" si="1"/>
        <v>3.5</v>
      </c>
      <c r="M34">
        <v>0</v>
      </c>
      <c r="N34" s="23">
        <v>0</v>
      </c>
      <c r="O34" s="59"/>
      <c r="P34">
        <f>P33</f>
        <v>1.1999999999999957</v>
      </c>
      <c r="Q34">
        <v>1.3</v>
      </c>
    </row>
    <row r="35" spans="1:17">
      <c r="I35" s="23"/>
      <c r="J35" s="23">
        <f>D16</f>
        <v>2</v>
      </c>
      <c r="K35" s="23">
        <f>K34</f>
        <v>18.91</v>
      </c>
      <c r="L35">
        <f t="shared" si="1"/>
        <v>3.5</v>
      </c>
      <c r="M35">
        <v>0</v>
      </c>
      <c r="N35">
        <v>0</v>
      </c>
      <c r="O35" s="59" t="s">
        <v>206</v>
      </c>
      <c r="P35">
        <f>P34</f>
        <v>1.1999999999999957</v>
      </c>
      <c r="Q35">
        <v>1.3</v>
      </c>
    </row>
    <row r="36" spans="1:17">
      <c r="A36" s="7"/>
      <c r="C36" s="8"/>
      <c r="F36" s="23"/>
      <c r="I36" s="23"/>
      <c r="J36" s="23">
        <f>J35</f>
        <v>2</v>
      </c>
      <c r="K36" s="23">
        <f>F20</f>
        <v>19.239999999999998</v>
      </c>
      <c r="L36">
        <f t="shared" si="1"/>
        <v>3.5</v>
      </c>
      <c r="M36">
        <v>0</v>
      </c>
      <c r="N36">
        <v>0</v>
      </c>
      <c r="O36" s="59"/>
      <c r="P36">
        <f>P35+R78</f>
        <v>1.6999999999999957</v>
      </c>
      <c r="Q36">
        <v>1.3</v>
      </c>
    </row>
    <row r="37" spans="1:17">
      <c r="I37" s="23"/>
      <c r="J37" s="23">
        <f>D21</f>
        <v>1.3</v>
      </c>
      <c r="K37" s="23">
        <f>K36</f>
        <v>19.239999999999998</v>
      </c>
      <c r="L37">
        <f t="shared" si="1"/>
        <v>3.5</v>
      </c>
      <c r="M37">
        <v>0</v>
      </c>
      <c r="N37">
        <v>0</v>
      </c>
      <c r="O37" s="59" t="s">
        <v>207</v>
      </c>
      <c r="P37">
        <f>P36</f>
        <v>1.6999999999999957</v>
      </c>
      <c r="Q37">
        <v>1.3</v>
      </c>
    </row>
    <row r="38" spans="1:17">
      <c r="A38" s="7"/>
      <c r="C38" s="8"/>
      <c r="F38" s="23"/>
      <c r="I38" s="23"/>
      <c r="J38" s="23">
        <f>D21</f>
        <v>1.3</v>
      </c>
      <c r="K38" s="23">
        <f>F21</f>
        <v>22.99</v>
      </c>
      <c r="L38">
        <f t="shared" si="1"/>
        <v>3.5</v>
      </c>
      <c r="M38">
        <v>0</v>
      </c>
      <c r="N38">
        <v>0</v>
      </c>
      <c r="O38" s="59"/>
      <c r="P38">
        <f>O78</f>
        <v>6.1</v>
      </c>
      <c r="Q38">
        <v>1.3</v>
      </c>
    </row>
    <row r="39" spans="1:17">
      <c r="I39" s="23"/>
      <c r="J39" s="23">
        <f>D22</f>
        <v>6</v>
      </c>
      <c r="K39" s="23">
        <f>K38</f>
        <v>22.99</v>
      </c>
      <c r="L39">
        <f t="shared" si="1"/>
        <v>3.5</v>
      </c>
      <c r="M39">
        <v>0</v>
      </c>
      <c r="N39" s="23">
        <f>J39-L39</f>
        <v>2.5</v>
      </c>
      <c r="O39" s="59" t="s">
        <v>208</v>
      </c>
      <c r="P39">
        <f>P38</f>
        <v>6.1</v>
      </c>
      <c r="Q39">
        <v>1.3</v>
      </c>
    </row>
    <row r="40" spans="1:17">
      <c r="A40" s="7"/>
      <c r="C40" s="8"/>
      <c r="F40" s="23"/>
      <c r="I40" s="23"/>
      <c r="J40" s="23">
        <f>J39</f>
        <v>6</v>
      </c>
      <c r="K40" s="23">
        <f>F22</f>
        <v>23.319999999999997</v>
      </c>
      <c r="L40">
        <f t="shared" si="1"/>
        <v>3.5</v>
      </c>
      <c r="M40">
        <v>0</v>
      </c>
      <c r="N40" s="23">
        <f>J40-L40</f>
        <v>2.5</v>
      </c>
      <c r="O40" s="59"/>
      <c r="P40">
        <f>P39-T78</f>
        <v>4.0999999999999996</v>
      </c>
      <c r="Q40">
        <v>1.3</v>
      </c>
    </row>
    <row r="41" spans="1:17">
      <c r="I41" s="23"/>
      <c r="J41">
        <f>D23</f>
        <v>3.5</v>
      </c>
      <c r="K41" s="23">
        <f>K40</f>
        <v>23.319999999999997</v>
      </c>
      <c r="L41">
        <f t="shared" si="1"/>
        <v>3.5</v>
      </c>
      <c r="M41">
        <v>0</v>
      </c>
      <c r="N41">
        <v>0</v>
      </c>
      <c r="O41" s="59" t="s">
        <v>209</v>
      </c>
      <c r="P41">
        <f>P40</f>
        <v>4.0999999999999996</v>
      </c>
      <c r="Q41">
        <v>1.3</v>
      </c>
    </row>
    <row r="42" spans="1:17">
      <c r="A42" s="7"/>
      <c r="C42" s="8"/>
      <c r="F42" s="23"/>
      <c r="I42" s="23"/>
      <c r="J42">
        <f>D23</f>
        <v>3.5</v>
      </c>
      <c r="K42" s="23">
        <f>F23</f>
        <v>25.409999999999997</v>
      </c>
      <c r="L42">
        <f t="shared" si="1"/>
        <v>3.5</v>
      </c>
      <c r="M42">
        <v>0</v>
      </c>
      <c r="N42">
        <v>0</v>
      </c>
      <c r="O42" s="59"/>
      <c r="P42">
        <f t="shared" ref="P42:P43" si="4">P41</f>
        <v>4.0999999999999996</v>
      </c>
      <c r="Q42">
        <v>1.3</v>
      </c>
    </row>
    <row r="43" spans="1:17">
      <c r="I43" s="23"/>
      <c r="J43">
        <f>D24</f>
        <v>2</v>
      </c>
      <c r="K43" s="23">
        <f>K42</f>
        <v>25.409999999999997</v>
      </c>
      <c r="L43">
        <f t="shared" si="1"/>
        <v>3.5</v>
      </c>
      <c r="M43">
        <v>0</v>
      </c>
      <c r="N43">
        <v>0</v>
      </c>
      <c r="O43" s="59" t="s">
        <v>210</v>
      </c>
      <c r="P43">
        <f t="shared" si="4"/>
        <v>4.0999999999999996</v>
      </c>
      <c r="Q43">
        <v>1.3</v>
      </c>
    </row>
    <row r="44" spans="1:17">
      <c r="A44" s="7"/>
      <c r="C44" s="8"/>
      <c r="F44" s="23"/>
      <c r="I44" s="23"/>
      <c r="J44">
        <f>J43</f>
        <v>2</v>
      </c>
      <c r="K44" s="23">
        <f>F24</f>
        <v>25.739999999999995</v>
      </c>
      <c r="L44">
        <f t="shared" si="1"/>
        <v>3.5</v>
      </c>
      <c r="M44">
        <v>0</v>
      </c>
      <c r="N44">
        <v>0</v>
      </c>
      <c r="O44" s="59"/>
      <c r="P44">
        <f>P43+R80</f>
        <v>4.5999999999999996</v>
      </c>
      <c r="Q44">
        <v>1.3</v>
      </c>
    </row>
    <row r="45" spans="1:17">
      <c r="I45" s="23"/>
      <c r="J45">
        <f>D21</f>
        <v>1.3</v>
      </c>
      <c r="K45" s="23">
        <f>K44</f>
        <v>25.739999999999995</v>
      </c>
      <c r="L45">
        <f t="shared" si="1"/>
        <v>3.5</v>
      </c>
      <c r="M45">
        <v>0</v>
      </c>
      <c r="N45">
        <v>0</v>
      </c>
      <c r="O45" s="59" t="s">
        <v>211</v>
      </c>
      <c r="P45">
        <f>P44</f>
        <v>4.5999999999999996</v>
      </c>
      <c r="Q45">
        <v>1.3</v>
      </c>
    </row>
    <row r="46" spans="1:17">
      <c r="A46" s="7"/>
      <c r="C46" s="8"/>
      <c r="F46" s="23"/>
      <c r="I46" s="23"/>
      <c r="J46">
        <f>J45</f>
        <v>1.3</v>
      </c>
      <c r="K46" s="23">
        <f>F25</f>
        <v>28.489999999999995</v>
      </c>
      <c r="L46">
        <f t="shared" si="1"/>
        <v>3.5</v>
      </c>
      <c r="M46">
        <v>0</v>
      </c>
      <c r="N46">
        <v>0</v>
      </c>
      <c r="O46" s="59"/>
      <c r="P46">
        <f>O82</f>
        <v>6.1</v>
      </c>
      <c r="Q46">
        <v>1.3</v>
      </c>
    </row>
    <row r="47" spans="1:17">
      <c r="I47" s="23"/>
      <c r="J47">
        <f>D26</f>
        <v>6</v>
      </c>
      <c r="K47" s="23">
        <f>K46</f>
        <v>28.489999999999995</v>
      </c>
      <c r="L47">
        <f t="shared" si="1"/>
        <v>3.5</v>
      </c>
      <c r="M47">
        <v>0</v>
      </c>
      <c r="N47" s="23">
        <f>J47-L47</f>
        <v>2.5</v>
      </c>
      <c r="O47" s="59" t="s">
        <v>212</v>
      </c>
      <c r="P47">
        <f>P46</f>
        <v>6.1</v>
      </c>
      <c r="Q47">
        <v>1.3</v>
      </c>
    </row>
    <row r="48" spans="1:17">
      <c r="A48" s="7"/>
      <c r="C48" s="8"/>
      <c r="F48" s="23"/>
      <c r="I48" s="23"/>
      <c r="J48">
        <f>J47</f>
        <v>6</v>
      </c>
      <c r="K48" s="23">
        <f>F26</f>
        <v>28.819999999999993</v>
      </c>
      <c r="L48">
        <f t="shared" si="1"/>
        <v>3.5</v>
      </c>
      <c r="M48">
        <v>0</v>
      </c>
      <c r="N48" s="23">
        <f>J48-L48</f>
        <v>2.5</v>
      </c>
      <c r="O48" s="59"/>
      <c r="P48">
        <f>P47-T80</f>
        <v>4.0999999999999996</v>
      </c>
      <c r="Q48">
        <v>1.3</v>
      </c>
    </row>
    <row r="49" spans="1:17">
      <c r="I49" s="23"/>
      <c r="J49">
        <f>D27</f>
        <v>3.5</v>
      </c>
      <c r="K49" s="23">
        <f>K48</f>
        <v>28.819999999999993</v>
      </c>
      <c r="L49">
        <f t="shared" si="1"/>
        <v>3.5</v>
      </c>
      <c r="M49">
        <v>0</v>
      </c>
      <c r="N49">
        <v>0</v>
      </c>
      <c r="O49" s="59" t="s">
        <v>213</v>
      </c>
      <c r="P49">
        <f>P48</f>
        <v>4.0999999999999996</v>
      </c>
      <c r="Q49">
        <v>1.3</v>
      </c>
    </row>
    <row r="50" spans="1:17">
      <c r="A50" s="7"/>
      <c r="C50" s="8"/>
      <c r="F50" s="23"/>
      <c r="I50" s="23"/>
      <c r="J50">
        <f>D27</f>
        <v>3.5</v>
      </c>
      <c r="K50" s="23">
        <f>F27</f>
        <v>31.659999999999993</v>
      </c>
      <c r="L50">
        <f t="shared" si="1"/>
        <v>3.5</v>
      </c>
      <c r="M50">
        <v>0</v>
      </c>
      <c r="N50">
        <v>0</v>
      </c>
      <c r="O50" s="59"/>
      <c r="P50">
        <f t="shared" ref="P50:P51" si="5">P49</f>
        <v>4.0999999999999996</v>
      </c>
      <c r="Q50">
        <v>1.3</v>
      </c>
    </row>
    <row r="51" spans="1:17">
      <c r="I51" s="23"/>
      <c r="J51">
        <f>D28</f>
        <v>2</v>
      </c>
      <c r="K51" s="23">
        <f>K50</f>
        <v>31.659999999999993</v>
      </c>
      <c r="L51">
        <f t="shared" si="1"/>
        <v>3.5</v>
      </c>
      <c r="M51">
        <v>0</v>
      </c>
      <c r="N51">
        <v>0</v>
      </c>
      <c r="O51" s="59" t="s">
        <v>214</v>
      </c>
      <c r="P51">
        <f t="shared" si="5"/>
        <v>4.0999999999999996</v>
      </c>
      <c r="Q51">
        <v>1.3</v>
      </c>
    </row>
    <row r="52" spans="1:17">
      <c r="A52" s="7"/>
      <c r="C52" s="8"/>
      <c r="F52" s="23"/>
      <c r="I52" s="23"/>
      <c r="J52">
        <f>J51</f>
        <v>2</v>
      </c>
      <c r="K52" s="23">
        <f>F28</f>
        <v>31.989999999999991</v>
      </c>
      <c r="L52">
        <f t="shared" si="1"/>
        <v>3.5</v>
      </c>
      <c r="M52">
        <v>0</v>
      </c>
      <c r="N52">
        <v>0</v>
      </c>
      <c r="O52" s="59"/>
      <c r="P52">
        <f>P51+R82</f>
        <v>4.5999999999999996</v>
      </c>
      <c r="Q52">
        <v>1.3</v>
      </c>
    </row>
    <row r="53" spans="1:17">
      <c r="I53" s="23"/>
      <c r="J53">
        <f>D29</f>
        <v>1.3</v>
      </c>
      <c r="K53" s="23">
        <f>K52</f>
        <v>31.989999999999991</v>
      </c>
      <c r="L53">
        <f t="shared" si="1"/>
        <v>3.5</v>
      </c>
      <c r="M53">
        <v>0</v>
      </c>
      <c r="N53">
        <v>0</v>
      </c>
      <c r="O53" s="59" t="s">
        <v>215</v>
      </c>
      <c r="P53">
        <f>P52</f>
        <v>4.5999999999999996</v>
      </c>
      <c r="Q53">
        <v>1.3</v>
      </c>
    </row>
    <row r="54" spans="1:17">
      <c r="A54" s="7"/>
      <c r="C54" s="8"/>
      <c r="F54" s="23"/>
      <c r="I54" s="23"/>
      <c r="J54">
        <f>J53</f>
        <v>1.3</v>
      </c>
      <c r="K54" s="23">
        <f>F29</f>
        <v>34.989999999999995</v>
      </c>
      <c r="L54">
        <f t="shared" si="1"/>
        <v>3.5</v>
      </c>
      <c r="M54">
        <v>0</v>
      </c>
      <c r="N54">
        <v>0</v>
      </c>
      <c r="O54" s="59"/>
      <c r="P54">
        <f>O84</f>
        <v>6.1</v>
      </c>
      <c r="Q54">
        <v>1.3</v>
      </c>
    </row>
    <row r="55" spans="1:17">
      <c r="I55" s="23"/>
      <c r="J55">
        <f>D30</f>
        <v>6</v>
      </c>
      <c r="K55" s="23">
        <f>K54</f>
        <v>34.989999999999995</v>
      </c>
      <c r="L55">
        <v>0</v>
      </c>
      <c r="M55">
        <v>3.5</v>
      </c>
      <c r="N55">
        <f>J55-M55</f>
        <v>2.5</v>
      </c>
      <c r="O55" s="59" t="s">
        <v>216</v>
      </c>
      <c r="P55">
        <f>P54</f>
        <v>6.1</v>
      </c>
      <c r="Q55">
        <v>1.3</v>
      </c>
    </row>
    <row r="56" spans="1:17">
      <c r="A56" s="7"/>
      <c r="C56" s="8"/>
      <c r="F56" s="23"/>
      <c r="I56" s="23"/>
      <c r="J56">
        <f>J55</f>
        <v>6</v>
      </c>
      <c r="K56" s="23">
        <f>F30</f>
        <v>35.319999999999993</v>
      </c>
      <c r="L56">
        <v>0</v>
      </c>
      <c r="M56">
        <v>3.5</v>
      </c>
      <c r="N56">
        <f>J56-M56</f>
        <v>2.5</v>
      </c>
      <c r="O56" s="59"/>
      <c r="P56">
        <f>P55-T82</f>
        <v>4.0999999999999996</v>
      </c>
      <c r="Q56">
        <v>1.3</v>
      </c>
    </row>
    <row r="57" spans="1:17">
      <c r="I57" s="23"/>
      <c r="J57">
        <f>D31</f>
        <v>3.5</v>
      </c>
      <c r="K57" s="23">
        <f>F30</f>
        <v>35.319999999999993</v>
      </c>
      <c r="L57">
        <v>0</v>
      </c>
      <c r="M57">
        <v>3.5</v>
      </c>
      <c r="N57">
        <v>0</v>
      </c>
      <c r="O57" s="59" t="s">
        <v>217</v>
      </c>
      <c r="P57">
        <f>P56</f>
        <v>4.0999999999999996</v>
      </c>
      <c r="Q57">
        <v>1.3</v>
      </c>
    </row>
    <row r="58" spans="1:17">
      <c r="A58" s="7"/>
      <c r="C58" s="8"/>
      <c r="F58" s="23"/>
      <c r="I58" s="23"/>
      <c r="J58">
        <f>J57</f>
        <v>3.5</v>
      </c>
      <c r="K58" s="23">
        <f>F31</f>
        <v>43.16</v>
      </c>
      <c r="L58">
        <v>0</v>
      </c>
      <c r="M58">
        <v>3.5</v>
      </c>
      <c r="N58">
        <v>0</v>
      </c>
      <c r="O58" s="59"/>
      <c r="P58">
        <f>P57</f>
        <v>4.0999999999999996</v>
      </c>
      <c r="Q58">
        <v>1.3</v>
      </c>
    </row>
    <row r="59" spans="1:17">
      <c r="I59" s="23"/>
      <c r="J59">
        <f>D32</f>
        <v>2</v>
      </c>
      <c r="K59" s="23">
        <f>K58</f>
        <v>43.16</v>
      </c>
      <c r="L59">
        <v>0</v>
      </c>
      <c r="M59">
        <v>3.5</v>
      </c>
      <c r="N59">
        <v>0</v>
      </c>
      <c r="O59" s="59" t="s">
        <v>218</v>
      </c>
      <c r="P59">
        <f>P58</f>
        <v>4.0999999999999996</v>
      </c>
      <c r="Q59">
        <v>1.3</v>
      </c>
    </row>
    <row r="60" spans="1:17">
      <c r="A60" s="7"/>
      <c r="C60" s="8"/>
      <c r="F60" s="23"/>
      <c r="I60" s="23"/>
      <c r="J60">
        <f>J59</f>
        <v>2</v>
      </c>
      <c r="K60" s="23">
        <f>F32</f>
        <v>43.489999999999995</v>
      </c>
      <c r="L60">
        <v>0</v>
      </c>
      <c r="M60">
        <v>3.5</v>
      </c>
      <c r="N60">
        <v>0</v>
      </c>
      <c r="O60" s="59"/>
      <c r="P60">
        <f>P59+R84</f>
        <v>4.5999999999999996</v>
      </c>
      <c r="Q60">
        <v>1.3</v>
      </c>
    </row>
    <row r="61" spans="1:17">
      <c r="A61" s="7"/>
      <c r="B61" s="10"/>
      <c r="C61" s="11"/>
      <c r="E61" s="23"/>
      <c r="F61" s="23"/>
      <c r="I61" s="23"/>
    </row>
    <row r="65" spans="1:25" ht="19">
      <c r="A65" s="55" t="s">
        <v>219</v>
      </c>
    </row>
    <row r="66" spans="1:25">
      <c r="A66" s="100" t="s">
        <v>65</v>
      </c>
      <c r="B66" s="100"/>
      <c r="C66" s="100"/>
      <c r="E66" s="103" t="s">
        <v>220</v>
      </c>
      <c r="F66" s="104"/>
      <c r="G66" s="104"/>
      <c r="H66" s="104"/>
      <c r="I66" s="104"/>
      <c r="J66" s="105"/>
      <c r="L66" s="106" t="s">
        <v>180</v>
      </c>
      <c r="M66" s="107"/>
      <c r="N66" s="107"/>
      <c r="O66" s="107"/>
      <c r="P66" s="107"/>
      <c r="Q66" s="107"/>
      <c r="R66" s="107"/>
    </row>
    <row r="67" spans="1:25">
      <c r="A67" s="56"/>
      <c r="B67" s="57" t="s">
        <v>175</v>
      </c>
      <c r="C67" s="58" t="s">
        <v>221</v>
      </c>
      <c r="E67" s="12" t="s">
        <v>70</v>
      </c>
      <c r="F67" s="13" t="s">
        <v>71</v>
      </c>
      <c r="G67" s="13" t="s">
        <v>72</v>
      </c>
      <c r="H67" s="13" t="s">
        <v>73</v>
      </c>
      <c r="I67" s="13"/>
      <c r="J67" s="14"/>
      <c r="L67" s="60" t="s">
        <v>222</v>
      </c>
      <c r="M67" t="s">
        <v>223</v>
      </c>
      <c r="N67" t="s">
        <v>224</v>
      </c>
      <c r="O67" s="61" t="s">
        <v>225</v>
      </c>
      <c r="P67" t="s">
        <v>359</v>
      </c>
      <c r="Q67" t="s">
        <v>226</v>
      </c>
      <c r="R67" t="s">
        <v>227</v>
      </c>
      <c r="S67" t="s">
        <v>228</v>
      </c>
      <c r="T67" t="s">
        <v>229</v>
      </c>
      <c r="U67" t="s">
        <v>230</v>
      </c>
    </row>
    <row r="68" spans="1:25">
      <c r="A68" s="7"/>
      <c r="C68" s="8"/>
      <c r="E68" s="15"/>
      <c r="G68" t="s">
        <v>85</v>
      </c>
      <c r="H68" t="s">
        <v>85</v>
      </c>
      <c r="J68" s="16"/>
      <c r="L68" s="60"/>
      <c r="O68" s="61"/>
    </row>
    <row r="69" spans="1:25">
      <c r="A69" s="7"/>
      <c r="C69" s="8"/>
      <c r="E69" s="15"/>
      <c r="J69" s="16"/>
      <c r="L69" s="60" t="s">
        <v>85</v>
      </c>
      <c r="M69" t="s">
        <v>86</v>
      </c>
      <c r="O69" s="61" t="s">
        <v>86</v>
      </c>
      <c r="P69" t="s">
        <v>183</v>
      </c>
      <c r="Q69" t="s">
        <v>85</v>
      </c>
      <c r="R69" t="s">
        <v>86</v>
      </c>
      <c r="S69" t="s">
        <v>86</v>
      </c>
      <c r="T69" t="s">
        <v>86</v>
      </c>
      <c r="U69" t="s">
        <v>86</v>
      </c>
    </row>
    <row r="70" spans="1:25">
      <c r="A70" s="9" t="s">
        <v>96</v>
      </c>
      <c r="B70" s="10" t="s">
        <v>97</v>
      </c>
      <c r="C70" s="11" t="s">
        <v>98</v>
      </c>
      <c r="D70" s="10"/>
      <c r="E70" s="17">
        <v>0.60416666666666663</v>
      </c>
      <c r="F70" s="18">
        <v>0.89583333333333337</v>
      </c>
      <c r="G70" s="19">
        <f>(F70-E70)*24</f>
        <v>7.0000000000000018</v>
      </c>
      <c r="H70" s="18"/>
      <c r="I70" s="18"/>
      <c r="J70" s="20"/>
      <c r="L70" s="62">
        <f>G70</f>
        <v>7.0000000000000018</v>
      </c>
      <c r="M70">
        <f>L70*'Data Kystruten'!$B$4</f>
        <v>15.400000000000006</v>
      </c>
      <c r="N70" t="s">
        <v>231</v>
      </c>
      <c r="O70" s="61">
        <v>6.1</v>
      </c>
      <c r="P70">
        <f>'Data Kystruten'!$B$3+'Data Kystruten'!$B$4-Assumptions!$B$16</f>
        <v>1.5</v>
      </c>
      <c r="Q70">
        <f>Assumptions!$B$23</f>
        <v>0.33333333333333331</v>
      </c>
      <c r="R70">
        <f>P70*Q70</f>
        <v>0.5</v>
      </c>
      <c r="S70">
        <f>R70+O70</f>
        <v>6.6</v>
      </c>
      <c r="T70">
        <f>Assumptions!$B$15*'Power path '!Q70</f>
        <v>2</v>
      </c>
      <c r="U70">
        <f>S70-T70</f>
        <v>4.5999999999999996</v>
      </c>
      <c r="V70" s="63" t="s">
        <v>352</v>
      </c>
      <c r="Y70">
        <f>U70</f>
        <v>4.5999999999999996</v>
      </c>
    </row>
    <row r="71" spans="1:25">
      <c r="A71" s="7"/>
      <c r="C71" s="8"/>
      <c r="E71" s="21"/>
      <c r="F71" s="22"/>
      <c r="G71" s="23"/>
      <c r="H71" s="23">
        <v>6</v>
      </c>
      <c r="I71" s="22"/>
      <c r="J71" s="64"/>
      <c r="L71" s="62"/>
      <c r="O71" s="61"/>
      <c r="Y71">
        <f>U72</f>
        <v>3.466666666666665</v>
      </c>
    </row>
    <row r="72" spans="1:25">
      <c r="A72" s="7" t="s">
        <v>99</v>
      </c>
      <c r="B72" t="s">
        <v>100</v>
      </c>
      <c r="C72" s="8"/>
      <c r="E72" s="21">
        <v>0.14583333333333334</v>
      </c>
      <c r="F72" s="22">
        <v>0.15277777777777776</v>
      </c>
      <c r="G72" s="23">
        <f t="shared" ref="G72:G84" si="6">(F72-E72)*24</f>
        <v>0.16666666666666607</v>
      </c>
      <c r="H72" s="23"/>
      <c r="I72" s="22"/>
      <c r="J72" s="64"/>
      <c r="L72" s="62">
        <f t="shared" ref="L72:L84" si="7">G72</f>
        <v>0.16666666666666607</v>
      </c>
      <c r="M72">
        <f>L72*'Data Kystruten'!$B$4</f>
        <v>0.36666666666666542</v>
      </c>
      <c r="N72" t="s">
        <v>231</v>
      </c>
      <c r="O72" s="61">
        <f>M72</f>
        <v>0.36666666666666542</v>
      </c>
      <c r="P72">
        <f>'Data Kystruten'!$B$3+'Data Kystruten'!$B$4-Assumptions!$B$16</f>
        <v>1.5</v>
      </c>
      <c r="Q72">
        <f>Assumptions!$B$23</f>
        <v>0.33333333333333331</v>
      </c>
      <c r="R72">
        <f t="shared" ref="R72:R84" si="8">P72*Q72</f>
        <v>0.5</v>
      </c>
      <c r="S72">
        <f t="shared" ref="S72:S84" si="9">R72+O72</f>
        <v>0.86666666666666536</v>
      </c>
      <c r="T72">
        <f>Assumptions!$B$15*'Power path '!Q72</f>
        <v>2</v>
      </c>
      <c r="U72">
        <f>U70+S72-T72</f>
        <v>3.466666666666665</v>
      </c>
      <c r="Y72">
        <f>U74</f>
        <v>2.3333333333333304</v>
      </c>
    </row>
    <row r="73" spans="1:25">
      <c r="A73" s="7"/>
      <c r="C73" s="8"/>
      <c r="E73" s="21"/>
      <c r="F73" s="22"/>
      <c r="G73" s="23"/>
      <c r="H73" s="23">
        <f t="shared" ref="H73:H83" si="10">(E74-F72)*24</f>
        <v>2.0000000000000009</v>
      </c>
      <c r="I73" s="22"/>
      <c r="J73" s="64"/>
      <c r="L73" s="62"/>
      <c r="O73" s="61"/>
      <c r="Y73">
        <f>U76</f>
        <v>1.1999999999999957</v>
      </c>
    </row>
    <row r="74" spans="1:25">
      <c r="A74" s="7"/>
      <c r="B74" t="s">
        <v>101</v>
      </c>
      <c r="C74" s="8"/>
      <c r="E74" s="21">
        <v>0.23611111111111113</v>
      </c>
      <c r="F74" s="22">
        <v>0.24305555555555555</v>
      </c>
      <c r="G74" s="23">
        <f t="shared" si="6"/>
        <v>0.16666666666666607</v>
      </c>
      <c r="H74" s="23"/>
      <c r="I74" s="22"/>
      <c r="J74" s="64"/>
      <c r="L74" s="62">
        <f t="shared" si="7"/>
        <v>0.16666666666666607</v>
      </c>
      <c r="M74">
        <f>L74*'Data Kystruten'!$B$4</f>
        <v>0.36666666666666542</v>
      </c>
      <c r="N74" t="s">
        <v>231</v>
      </c>
      <c r="O74" s="61">
        <f t="shared" ref="O74:O80" si="11">M74</f>
        <v>0.36666666666666542</v>
      </c>
      <c r="P74">
        <f>'Data Kystruten'!$B$3+'Data Kystruten'!$B$4-Assumptions!$B$16</f>
        <v>1.5</v>
      </c>
      <c r="Q74">
        <f>Assumptions!$B$23</f>
        <v>0.33333333333333331</v>
      </c>
      <c r="R74">
        <f t="shared" si="8"/>
        <v>0.5</v>
      </c>
      <c r="S74">
        <f t="shared" si="9"/>
        <v>0.86666666666666536</v>
      </c>
      <c r="T74">
        <f>Assumptions!$B$15*'Power path '!Q74</f>
        <v>2</v>
      </c>
      <c r="U74">
        <f>U72+S74-T74</f>
        <v>2.3333333333333304</v>
      </c>
      <c r="Y74">
        <f>U78</f>
        <v>4.5999999999999996</v>
      </c>
    </row>
    <row r="75" spans="1:25">
      <c r="A75" s="7"/>
      <c r="C75" s="8"/>
      <c r="E75" s="21"/>
      <c r="F75" s="22"/>
      <c r="G75" s="23"/>
      <c r="H75" s="23">
        <f t="shared" si="10"/>
        <v>2.666666666666667</v>
      </c>
      <c r="I75" s="22"/>
      <c r="J75" s="64"/>
      <c r="L75" s="62"/>
      <c r="O75" s="61"/>
      <c r="Y75">
        <f>U80</f>
        <v>4.5499999999999963</v>
      </c>
    </row>
    <row r="76" spans="1:25">
      <c r="A76" s="7"/>
      <c r="B76" t="s">
        <v>102</v>
      </c>
      <c r="C76" s="8"/>
      <c r="E76" s="21">
        <v>0.35416666666666669</v>
      </c>
      <c r="F76" s="22">
        <v>0.3611111111111111</v>
      </c>
      <c r="G76" s="23">
        <f t="shared" si="6"/>
        <v>0.16666666666666607</v>
      </c>
      <c r="H76" s="23"/>
      <c r="I76" s="22"/>
      <c r="J76" s="64"/>
      <c r="L76" s="62">
        <f t="shared" si="7"/>
        <v>0.16666666666666607</v>
      </c>
      <c r="M76">
        <f>L76*'Data Kystruten'!$B$4</f>
        <v>0.36666666666666542</v>
      </c>
      <c r="N76" t="s">
        <v>231</v>
      </c>
      <c r="O76" s="61">
        <f t="shared" si="11"/>
        <v>0.36666666666666542</v>
      </c>
      <c r="P76">
        <f>'Data Kystruten'!$B$3+'Data Kystruten'!$B$4-Assumptions!$B$16</f>
        <v>1.5</v>
      </c>
      <c r="Q76">
        <f>Assumptions!$B$23</f>
        <v>0.33333333333333331</v>
      </c>
      <c r="R76">
        <f t="shared" si="8"/>
        <v>0.5</v>
      </c>
      <c r="S76">
        <f t="shared" si="9"/>
        <v>0.86666666666666536</v>
      </c>
      <c r="T76">
        <f>Assumptions!$B$15*'Power path '!Q76</f>
        <v>2</v>
      </c>
      <c r="U76">
        <f>U74+S76-T76</f>
        <v>1.1999999999999957</v>
      </c>
      <c r="V76" s="86"/>
      <c r="W76">
        <f>6.1*0.3</f>
        <v>1.8299999999999998</v>
      </c>
      <c r="Y76">
        <f>U82</f>
        <v>4.5999999999999996</v>
      </c>
    </row>
    <row r="77" spans="1:25">
      <c r="A77" s="7"/>
      <c r="C77" s="8"/>
      <c r="E77" s="21"/>
      <c r="F77" s="22"/>
      <c r="G77" s="23"/>
      <c r="H77" s="23">
        <f t="shared" si="10"/>
        <v>1.0833333333333335</v>
      </c>
      <c r="I77" s="22"/>
      <c r="J77" s="64"/>
      <c r="L77" s="62"/>
      <c r="O77" s="61"/>
      <c r="Y77">
        <f>U84</f>
        <v>4.5999999999999996</v>
      </c>
    </row>
    <row r="78" spans="1:25">
      <c r="A78" s="9"/>
      <c r="B78" s="10" t="s">
        <v>103</v>
      </c>
      <c r="C78" s="11" t="s">
        <v>98</v>
      </c>
      <c r="D78" s="10"/>
      <c r="E78" s="17">
        <v>0.40625</v>
      </c>
      <c r="F78" s="18">
        <v>0.5625</v>
      </c>
      <c r="G78" s="19">
        <f t="shared" si="6"/>
        <v>3.75</v>
      </c>
      <c r="H78" s="19"/>
      <c r="I78" s="18"/>
      <c r="J78" s="20"/>
      <c r="L78" s="62">
        <f t="shared" si="7"/>
        <v>3.75</v>
      </c>
      <c r="M78">
        <f>L78*'Data Kystruten'!$B$4</f>
        <v>8.25</v>
      </c>
      <c r="N78" t="s">
        <v>231</v>
      </c>
      <c r="O78" s="61">
        <f>O70</f>
        <v>6.1</v>
      </c>
      <c r="P78">
        <f>'Data Kystruten'!$B$3+'Data Kystruten'!$B$4-Assumptions!$B$16</f>
        <v>1.5</v>
      </c>
      <c r="Q78">
        <f>Assumptions!$B$23</f>
        <v>0.33333333333333331</v>
      </c>
      <c r="R78">
        <f t="shared" si="8"/>
        <v>0.5</v>
      </c>
      <c r="S78">
        <f t="shared" si="9"/>
        <v>6.6</v>
      </c>
      <c r="T78">
        <f>Assumptions!$B$15*'Power path '!Q78</f>
        <v>2</v>
      </c>
      <c r="U78">
        <f>S78-T78</f>
        <v>4.5999999999999996</v>
      </c>
      <c r="V78" s="63" t="s">
        <v>352</v>
      </c>
    </row>
    <row r="79" spans="1:25">
      <c r="A79" s="7"/>
      <c r="C79" s="8"/>
      <c r="E79" s="21"/>
      <c r="F79" s="22"/>
      <c r="G79" s="23"/>
      <c r="H79" s="23">
        <f t="shared" si="10"/>
        <v>2.7500000000000009</v>
      </c>
      <c r="I79" s="22"/>
      <c r="J79" s="64"/>
      <c r="L79" s="62"/>
      <c r="O79" s="61"/>
    </row>
    <row r="80" spans="1:25">
      <c r="A80" s="7"/>
      <c r="B80" t="s">
        <v>104</v>
      </c>
      <c r="C80" s="8"/>
      <c r="E80" s="21">
        <v>0.67708333333333337</v>
      </c>
      <c r="F80" s="22">
        <v>0.79166666666666663</v>
      </c>
      <c r="G80" s="23">
        <f t="shared" si="6"/>
        <v>2.7499999999999982</v>
      </c>
      <c r="H80" s="23"/>
      <c r="I80" s="22"/>
      <c r="J80" s="64"/>
      <c r="L80" s="62">
        <f t="shared" si="7"/>
        <v>2.7499999999999982</v>
      </c>
      <c r="M80">
        <f>L80*'Data Kystruten'!$B$4</f>
        <v>6.0499999999999963</v>
      </c>
      <c r="N80" t="s">
        <v>231</v>
      </c>
      <c r="O80" s="61">
        <f t="shared" si="11"/>
        <v>6.0499999999999963</v>
      </c>
      <c r="P80">
        <f>'Data Kystruten'!$B$3+'Data Kystruten'!$B$4-Assumptions!$B$16</f>
        <v>1.5</v>
      </c>
      <c r="Q80">
        <f>Assumptions!$B$23</f>
        <v>0.33333333333333331</v>
      </c>
      <c r="R80">
        <f t="shared" si="8"/>
        <v>0.5</v>
      </c>
      <c r="S80">
        <f t="shared" si="9"/>
        <v>6.5499999999999963</v>
      </c>
      <c r="T80">
        <f>Assumptions!$B$15*'Power path '!Q80</f>
        <v>2</v>
      </c>
      <c r="U80">
        <f>S80-T80</f>
        <v>4.5499999999999963</v>
      </c>
      <c r="V80" s="63" t="s">
        <v>352</v>
      </c>
    </row>
    <row r="81" spans="1:22">
      <c r="A81" s="7"/>
      <c r="C81" s="8"/>
      <c r="E81" s="21"/>
      <c r="F81" s="22"/>
      <c r="G81" s="23"/>
      <c r="H81" s="23">
        <f t="shared" si="10"/>
        <v>3.5000000000000009</v>
      </c>
      <c r="I81" s="22"/>
      <c r="J81" s="64"/>
      <c r="L81" s="62"/>
      <c r="O81" s="61"/>
    </row>
    <row r="82" spans="1:22">
      <c r="A82" s="7" t="s">
        <v>105</v>
      </c>
      <c r="B82" t="s">
        <v>106</v>
      </c>
      <c r="C82" s="8"/>
      <c r="E82" s="21">
        <v>0.9375</v>
      </c>
      <c r="F82" s="22">
        <v>6.25E-2</v>
      </c>
      <c r="G82" s="23">
        <v>3</v>
      </c>
      <c r="H82" s="23"/>
      <c r="I82" s="22"/>
      <c r="J82" s="64"/>
      <c r="L82" s="62">
        <f t="shared" si="7"/>
        <v>3</v>
      </c>
      <c r="M82">
        <f>L82*'Data Kystruten'!$B$4</f>
        <v>6.6000000000000005</v>
      </c>
      <c r="N82" t="s">
        <v>231</v>
      </c>
      <c r="O82" s="61">
        <f>O70</f>
        <v>6.1</v>
      </c>
      <c r="P82">
        <f>'Data Kystruten'!$B$3+'Data Kystruten'!$B$4-Assumptions!$B$16</f>
        <v>1.5</v>
      </c>
      <c r="Q82">
        <f>Assumptions!$B$23</f>
        <v>0.33333333333333331</v>
      </c>
      <c r="R82">
        <f t="shared" si="8"/>
        <v>0.5</v>
      </c>
      <c r="S82">
        <f t="shared" si="9"/>
        <v>6.6</v>
      </c>
      <c r="T82">
        <f>Assumptions!$B$15*'Power path '!Q82</f>
        <v>2</v>
      </c>
      <c r="U82">
        <f>S82-T82</f>
        <v>4.5999999999999996</v>
      </c>
      <c r="V82" s="63" t="s">
        <v>352</v>
      </c>
    </row>
    <row r="83" spans="1:22">
      <c r="A83" s="7"/>
      <c r="C83" s="8"/>
      <c r="E83" s="21"/>
      <c r="F83" s="22"/>
      <c r="G83" s="23"/>
      <c r="H83" s="23">
        <f t="shared" si="10"/>
        <v>8.5</v>
      </c>
      <c r="I83" s="22"/>
      <c r="J83" s="64"/>
      <c r="L83" s="62"/>
      <c r="O83" s="61"/>
    </row>
    <row r="84" spans="1:22">
      <c r="A84" s="9"/>
      <c r="B84" s="10" t="s">
        <v>107</v>
      </c>
      <c r="C84" s="11" t="s">
        <v>98</v>
      </c>
      <c r="D84" s="10"/>
      <c r="E84" s="17">
        <v>0.41666666666666669</v>
      </c>
      <c r="F84" s="18">
        <v>0.55208333333333337</v>
      </c>
      <c r="G84" s="19">
        <f t="shared" si="6"/>
        <v>3.2500000000000004</v>
      </c>
      <c r="H84" s="19"/>
      <c r="I84" s="18"/>
      <c r="J84" s="20"/>
      <c r="L84" s="62">
        <f t="shared" si="7"/>
        <v>3.2500000000000004</v>
      </c>
      <c r="M84">
        <f>L84*'Data Kystruten'!$B$4</f>
        <v>7.1500000000000012</v>
      </c>
      <c r="N84" t="s">
        <v>231</v>
      </c>
      <c r="O84" s="61">
        <f>O78</f>
        <v>6.1</v>
      </c>
      <c r="P84">
        <f>'Data Kystruten'!$B$3+'Data Kystruten'!$B$4-Assumptions!$B$16</f>
        <v>1.5</v>
      </c>
      <c r="Q84">
        <f>Assumptions!$B$23</f>
        <v>0.33333333333333331</v>
      </c>
      <c r="R84">
        <f t="shared" si="8"/>
        <v>0.5</v>
      </c>
      <c r="S84">
        <f t="shared" si="9"/>
        <v>6.6</v>
      </c>
      <c r="T84">
        <f>Assumptions!$B$15*'Power path '!Q84</f>
        <v>2</v>
      </c>
      <c r="U84">
        <f>S84-T84</f>
        <v>4.5999999999999996</v>
      </c>
      <c r="V84" s="63" t="s">
        <v>352</v>
      </c>
    </row>
    <row r="85" spans="1:22">
      <c r="A85" s="7"/>
      <c r="C85" s="8"/>
      <c r="E85" s="21"/>
      <c r="F85" s="22"/>
      <c r="G85" s="23"/>
      <c r="H85" s="23"/>
      <c r="I85" s="22"/>
      <c r="J85" s="64"/>
      <c r="L85" s="62"/>
      <c r="O85" s="61"/>
    </row>
    <row r="86" spans="1:22">
      <c r="A86" s="9"/>
      <c r="B86" s="65"/>
      <c r="C86" s="66"/>
      <c r="F86" s="23"/>
      <c r="I86" s="23"/>
    </row>
    <row r="87" spans="1:22">
      <c r="A87" s="7"/>
      <c r="C87" s="8"/>
      <c r="F87" s="23"/>
      <c r="I87" s="23"/>
    </row>
    <row r="88" spans="1:22">
      <c r="A88" s="7"/>
      <c r="B88" s="67"/>
      <c r="C88" s="68"/>
      <c r="E88" s="23"/>
      <c r="F88" s="23"/>
      <c r="I88" s="23"/>
    </row>
    <row r="89" spans="1:22">
      <c r="A89" s="7"/>
      <c r="B89" s="65"/>
      <c r="C89" s="66"/>
      <c r="F89" s="23"/>
      <c r="I89" s="23"/>
    </row>
    <row r="90" spans="1:22">
      <c r="A90" s="7"/>
      <c r="B90" s="65"/>
      <c r="C90" s="66"/>
      <c r="F90" s="23"/>
      <c r="I90" s="23"/>
    </row>
    <row r="91" spans="1:22">
      <c r="A91" s="7"/>
      <c r="B91" s="65"/>
      <c r="C91" s="66"/>
      <c r="F91" s="23"/>
      <c r="I91" s="23"/>
    </row>
    <row r="92" spans="1:22">
      <c r="A92" s="7"/>
      <c r="B92" s="65"/>
      <c r="C92" s="66"/>
      <c r="E92" s="23"/>
      <c r="F92" s="23"/>
      <c r="I92" s="23"/>
    </row>
    <row r="93" spans="1:22">
      <c r="A93" s="7"/>
      <c r="B93" s="65"/>
      <c r="C93" s="66"/>
      <c r="F93" s="23"/>
      <c r="I93" s="23"/>
    </row>
    <row r="94" spans="1:22">
      <c r="A94" s="7"/>
      <c r="B94" s="65"/>
      <c r="C94" s="66"/>
      <c r="F94" s="23"/>
      <c r="I94" s="23"/>
    </row>
    <row r="95" spans="1:22">
      <c r="A95" s="7"/>
      <c r="C95" s="8"/>
      <c r="F95" s="23"/>
      <c r="I95" s="23"/>
    </row>
    <row r="96" spans="1:22">
      <c r="A96" s="9"/>
      <c r="B96" s="67"/>
      <c r="C96" s="68"/>
      <c r="E96" s="23"/>
      <c r="F96" s="23"/>
      <c r="I96" s="23"/>
    </row>
    <row r="97" spans="1:9">
      <c r="A97" s="7"/>
      <c r="B97" s="65"/>
      <c r="C97" s="66"/>
      <c r="F97" s="23"/>
      <c r="I97" s="23"/>
    </row>
    <row r="98" spans="1:9">
      <c r="A98" s="7"/>
      <c r="B98" s="65"/>
      <c r="C98" s="66"/>
      <c r="F98" s="23"/>
      <c r="I98" s="23"/>
    </row>
    <row r="99" spans="1:9">
      <c r="A99" s="7"/>
      <c r="B99" s="65"/>
      <c r="C99" s="66"/>
      <c r="F99" s="23"/>
      <c r="I99" s="23"/>
    </row>
    <row r="100" spans="1:9">
      <c r="A100" s="7"/>
      <c r="B100" s="65"/>
      <c r="C100" s="66"/>
      <c r="E100" s="23"/>
      <c r="F100" s="23"/>
      <c r="I100" s="23"/>
    </row>
    <row r="101" spans="1:9">
      <c r="A101" s="7"/>
      <c r="B101" s="65"/>
      <c r="C101" s="66"/>
      <c r="F101" s="23"/>
      <c r="I101" s="23"/>
    </row>
    <row r="102" spans="1:9">
      <c r="A102" s="7"/>
      <c r="B102" s="65"/>
      <c r="C102" s="66"/>
      <c r="F102" s="23"/>
      <c r="I102" s="23"/>
    </row>
    <row r="103" spans="1:9">
      <c r="A103" s="7"/>
      <c r="C103" s="8"/>
      <c r="F103" s="23"/>
      <c r="I103" s="23"/>
    </row>
    <row r="104" spans="1:9">
      <c r="A104" s="7"/>
      <c r="B104" s="67"/>
      <c r="C104" s="68"/>
      <c r="E104" s="23"/>
      <c r="F104" s="23"/>
      <c r="I104" s="23"/>
    </row>
    <row r="105" spans="1:9">
      <c r="A105" s="7"/>
      <c r="B105" s="65"/>
      <c r="C105" s="66"/>
      <c r="F105" s="23"/>
      <c r="I105" s="23"/>
    </row>
    <row r="106" spans="1:9">
      <c r="A106" s="7"/>
      <c r="B106" s="65"/>
      <c r="C106" s="66"/>
      <c r="F106" s="23"/>
      <c r="I106" s="23"/>
    </row>
    <row r="107" spans="1:9">
      <c r="A107" s="7"/>
      <c r="B107" s="65"/>
      <c r="C107" s="66"/>
      <c r="F107" s="23"/>
      <c r="I107" s="23"/>
    </row>
    <row r="108" spans="1:9">
      <c r="A108" s="7"/>
      <c r="B108" s="65"/>
      <c r="C108" s="66"/>
      <c r="E108" s="23"/>
      <c r="F108" s="23"/>
      <c r="I108" s="23"/>
    </row>
    <row r="109" spans="1:9">
      <c r="A109" s="7"/>
      <c r="B109" s="65"/>
      <c r="C109" s="66"/>
      <c r="F109" s="23"/>
      <c r="I109" s="23"/>
    </row>
    <row r="110" spans="1:9">
      <c r="A110" s="7"/>
      <c r="B110" s="65"/>
      <c r="C110" s="66"/>
      <c r="F110" s="23"/>
      <c r="I110" s="23"/>
    </row>
    <row r="111" spans="1:9">
      <c r="A111" s="7"/>
      <c r="C111" s="8"/>
      <c r="F111" s="23"/>
      <c r="I111" s="23"/>
    </row>
    <row r="112" spans="1:9">
      <c r="A112" s="9"/>
      <c r="B112" s="67"/>
      <c r="C112" s="68"/>
      <c r="E112" s="23"/>
      <c r="F112" s="23"/>
      <c r="I112" s="23"/>
    </row>
    <row r="113" spans="1:9">
      <c r="A113" s="7"/>
      <c r="B113" s="65"/>
      <c r="C113" s="66"/>
      <c r="F113" s="23"/>
      <c r="I113" s="23"/>
    </row>
    <row r="114" spans="1:9">
      <c r="A114" s="7"/>
      <c r="B114" s="65"/>
      <c r="C114" s="66"/>
      <c r="F114" s="23"/>
      <c r="I114" s="23"/>
    </row>
    <row r="115" spans="1:9">
      <c r="A115" s="7"/>
      <c r="B115" s="65"/>
      <c r="C115" s="66"/>
      <c r="F115" s="23"/>
      <c r="I115" s="23"/>
    </row>
    <row r="116" spans="1:9">
      <c r="A116" s="7"/>
      <c r="B116" s="65"/>
      <c r="C116" s="66"/>
      <c r="E116" s="23"/>
      <c r="F116" s="23"/>
      <c r="I116" s="23"/>
    </row>
    <row r="117" spans="1:9">
      <c r="A117" s="7"/>
      <c r="B117" s="65"/>
      <c r="C117" s="66"/>
      <c r="F117" s="23"/>
      <c r="I117" s="23"/>
    </row>
    <row r="118" spans="1:9">
      <c r="A118" s="7"/>
      <c r="B118" s="65"/>
      <c r="C118" s="66"/>
      <c r="F118" s="23"/>
      <c r="I118" s="23"/>
    </row>
    <row r="119" spans="1:9">
      <c r="A119" s="7"/>
      <c r="C119" s="8"/>
      <c r="F119" s="23"/>
      <c r="I119" s="23"/>
    </row>
    <row r="120" spans="1:9">
      <c r="A120" s="7"/>
      <c r="B120" s="67"/>
      <c r="C120" s="68"/>
      <c r="D120" s="65"/>
      <c r="E120" s="23"/>
      <c r="F120" s="23"/>
      <c r="G120" s="65"/>
      <c r="I120" s="23"/>
    </row>
    <row r="121" spans="1:9">
      <c r="A121" s="7"/>
      <c r="B121" s="65"/>
      <c r="C121" s="66"/>
      <c r="D121" s="65"/>
      <c r="F121" s="23"/>
      <c r="G121" s="65"/>
      <c r="I121" s="23"/>
    </row>
    <row r="122" spans="1:9">
      <c r="A122" s="7"/>
      <c r="B122" s="65"/>
      <c r="C122" s="66"/>
      <c r="D122" s="65"/>
      <c r="F122" s="23"/>
      <c r="G122" s="65"/>
      <c r="I122" s="23"/>
    </row>
    <row r="123" spans="1:9">
      <c r="A123" s="7"/>
      <c r="B123" s="65"/>
      <c r="C123" s="66"/>
      <c r="D123" s="65"/>
      <c r="F123" s="23"/>
      <c r="G123" s="65"/>
      <c r="I123" s="23"/>
    </row>
    <row r="124" spans="1:9">
      <c r="A124" s="9"/>
      <c r="B124" s="65"/>
      <c r="C124" s="66"/>
      <c r="D124" s="65"/>
      <c r="E124" s="23"/>
      <c r="F124" s="23"/>
      <c r="G124" s="65"/>
      <c r="I124" s="23"/>
    </row>
    <row r="125" spans="1:9">
      <c r="A125" s="7"/>
      <c r="B125" s="65"/>
      <c r="C125" s="66"/>
      <c r="D125" s="65"/>
      <c r="F125" s="23"/>
      <c r="G125" s="65"/>
      <c r="I125" s="23"/>
    </row>
    <row r="126" spans="1:9">
      <c r="A126" s="7"/>
      <c r="B126" s="65"/>
      <c r="C126" s="66"/>
      <c r="D126" s="65"/>
      <c r="F126" s="23"/>
      <c r="G126" s="65"/>
      <c r="I126" s="23"/>
    </row>
    <row r="127" spans="1:9">
      <c r="A127" s="7"/>
      <c r="C127" s="8"/>
      <c r="F127" s="23"/>
      <c r="I127" s="23"/>
    </row>
    <row r="128" spans="1:9">
      <c r="A128" s="7"/>
      <c r="B128" s="67"/>
      <c r="C128" s="68"/>
      <c r="D128" s="65"/>
      <c r="E128" s="23"/>
      <c r="F128" s="23"/>
      <c r="G128" s="65"/>
      <c r="I128" s="23"/>
    </row>
    <row r="129" spans="1:9">
      <c r="A129" s="7"/>
      <c r="B129" s="65"/>
      <c r="C129" s="66"/>
      <c r="D129" s="65"/>
      <c r="F129" s="23"/>
      <c r="G129" s="65"/>
      <c r="I129" s="23"/>
    </row>
    <row r="130" spans="1:9">
      <c r="A130" s="9"/>
      <c r="B130" s="65"/>
      <c r="C130" s="66"/>
      <c r="D130" s="65"/>
      <c r="F130" s="23"/>
      <c r="G130" s="65"/>
      <c r="I130" s="23"/>
    </row>
    <row r="131" spans="1:9">
      <c r="A131" s="7"/>
      <c r="B131" s="65"/>
      <c r="C131" s="66"/>
      <c r="D131" s="65"/>
      <c r="F131" s="23"/>
      <c r="G131" s="65"/>
      <c r="I131" s="23"/>
    </row>
    <row r="132" spans="1:9">
      <c r="A132" s="7"/>
      <c r="B132" s="65"/>
      <c r="C132" s="66"/>
      <c r="D132" s="65"/>
      <c r="E132" s="23"/>
      <c r="F132" s="23"/>
      <c r="G132" s="65"/>
      <c r="I132" s="23"/>
    </row>
    <row r="133" spans="1:9">
      <c r="A133" s="7"/>
      <c r="B133" s="65"/>
      <c r="C133" s="66"/>
      <c r="D133" s="65"/>
      <c r="F133" s="23"/>
      <c r="G133" s="65"/>
      <c r="I133" s="23"/>
    </row>
    <row r="134" spans="1:9">
      <c r="A134" s="7"/>
      <c r="B134" s="65"/>
      <c r="C134" s="66"/>
      <c r="D134" s="65"/>
      <c r="F134" s="23"/>
      <c r="G134" s="65"/>
      <c r="I134" s="23"/>
    </row>
    <row r="135" spans="1:9">
      <c r="A135" s="7"/>
      <c r="C135" s="8"/>
      <c r="F135" s="23"/>
      <c r="I135" s="23"/>
    </row>
    <row r="136" spans="1:9">
      <c r="A136" s="7"/>
      <c r="B136" s="67"/>
      <c r="C136" s="68"/>
      <c r="D136" s="65"/>
      <c r="E136" s="23"/>
      <c r="F136" s="23"/>
      <c r="G136" s="65"/>
      <c r="I136" s="23"/>
    </row>
    <row r="137" spans="1:9">
      <c r="A137" s="7"/>
      <c r="B137" s="65"/>
      <c r="C137" s="66"/>
      <c r="D137" s="65"/>
      <c r="F137" s="23"/>
      <c r="G137" s="65"/>
      <c r="I137" s="23"/>
    </row>
    <row r="138" spans="1:9">
      <c r="A138" s="9"/>
      <c r="B138" s="65"/>
      <c r="C138" s="66"/>
      <c r="D138" s="65"/>
      <c r="F138" s="23"/>
      <c r="G138" s="65"/>
      <c r="I138" s="23"/>
    </row>
    <row r="139" spans="1:9">
      <c r="B139" s="65"/>
      <c r="C139" s="66"/>
      <c r="D139" s="65"/>
      <c r="F139" s="23"/>
      <c r="G139" s="65"/>
      <c r="I139" s="23"/>
    </row>
    <row r="140" spans="1:9">
      <c r="B140" s="65"/>
      <c r="C140" s="66"/>
      <c r="D140" s="65"/>
      <c r="E140" s="23"/>
      <c r="F140" s="23"/>
      <c r="G140" s="65"/>
      <c r="I140" s="23"/>
    </row>
    <row r="141" spans="1:9">
      <c r="B141" s="65"/>
      <c r="C141" s="66"/>
      <c r="D141" s="65"/>
      <c r="F141" s="23"/>
      <c r="G141" s="65"/>
    </row>
    <row r="142" spans="1:9">
      <c r="B142" s="65"/>
      <c r="C142" s="66"/>
      <c r="D142" s="65"/>
      <c r="F142" s="23"/>
      <c r="G142" s="65"/>
    </row>
    <row r="143" spans="1:9">
      <c r="F143" s="23"/>
    </row>
    <row r="144" spans="1:9">
      <c r="B144" s="67"/>
      <c r="C144" s="68"/>
      <c r="D144" s="65"/>
      <c r="E144" s="23"/>
      <c r="F144" s="23"/>
      <c r="G144" s="65"/>
    </row>
    <row r="145" spans="2:7">
      <c r="B145" s="65"/>
      <c r="C145" s="66"/>
      <c r="D145" s="65"/>
      <c r="F145" s="23"/>
      <c r="G145" s="65"/>
    </row>
    <row r="146" spans="2:7">
      <c r="B146" s="65"/>
      <c r="C146" s="66"/>
      <c r="D146" s="65"/>
      <c r="F146" s="23"/>
      <c r="G146" s="65"/>
    </row>
    <row r="147" spans="2:7">
      <c r="B147" s="65"/>
      <c r="C147" s="66"/>
      <c r="D147" s="65"/>
      <c r="F147" s="23"/>
      <c r="G147" s="65"/>
    </row>
    <row r="148" spans="2:7">
      <c r="B148" s="65"/>
      <c r="C148" s="66"/>
      <c r="D148" s="65"/>
      <c r="E148" s="23"/>
      <c r="F148" s="23"/>
      <c r="G148" s="65"/>
    </row>
    <row r="149" spans="2:7">
      <c r="B149" s="65"/>
      <c r="C149" s="66"/>
      <c r="D149" s="65"/>
      <c r="F149" s="23"/>
      <c r="G149" s="65"/>
    </row>
    <row r="150" spans="2:7">
      <c r="B150" s="65"/>
      <c r="C150" s="66"/>
      <c r="D150" s="65"/>
      <c r="F150" s="23"/>
      <c r="G150" s="65"/>
    </row>
    <row r="151" spans="2:7">
      <c r="F151" s="23"/>
    </row>
    <row r="152" spans="2:7">
      <c r="B152" s="67"/>
      <c r="C152" s="68"/>
      <c r="D152" s="65"/>
      <c r="E152" s="23"/>
      <c r="F152" s="23"/>
      <c r="G152" s="65"/>
    </row>
    <row r="153" spans="2:7">
      <c r="B153" s="65"/>
      <c r="C153" s="66"/>
      <c r="D153" s="65"/>
      <c r="F153" s="23"/>
      <c r="G153" s="65"/>
    </row>
    <row r="154" spans="2:7">
      <c r="B154" s="65"/>
      <c r="C154" s="66"/>
      <c r="D154" s="65"/>
      <c r="F154" s="23"/>
      <c r="G154" s="65"/>
    </row>
    <row r="155" spans="2:7">
      <c r="B155" s="65"/>
      <c r="C155" s="66"/>
      <c r="D155" s="65"/>
      <c r="F155" s="23"/>
      <c r="G155" s="65"/>
    </row>
    <row r="156" spans="2:7">
      <c r="B156" s="65"/>
      <c r="C156" s="66"/>
      <c r="D156" s="65"/>
      <c r="E156" s="23"/>
      <c r="F156" s="23"/>
      <c r="G156" s="65"/>
    </row>
    <row r="157" spans="2:7">
      <c r="B157" s="65"/>
      <c r="C157" s="66"/>
      <c r="D157" s="65"/>
      <c r="F157" s="23"/>
      <c r="G157" s="65"/>
    </row>
    <row r="158" spans="2:7">
      <c r="B158" s="65"/>
      <c r="C158" s="66"/>
      <c r="D158" s="65"/>
      <c r="F158" s="23"/>
      <c r="G158" s="65"/>
    </row>
    <row r="159" spans="2:7">
      <c r="F159" s="23"/>
    </row>
    <row r="160" spans="2:7">
      <c r="B160" s="67"/>
      <c r="C160" s="68"/>
      <c r="D160" s="65"/>
      <c r="E160" s="23"/>
      <c r="F160" s="23"/>
      <c r="G160" s="65"/>
    </row>
    <row r="161" spans="2:7">
      <c r="B161" s="65"/>
      <c r="C161" s="66"/>
      <c r="D161" s="65"/>
      <c r="F161" s="23"/>
      <c r="G161" s="65"/>
    </row>
    <row r="162" spans="2:7">
      <c r="B162" s="65"/>
      <c r="C162" s="66"/>
      <c r="D162" s="65"/>
      <c r="F162" s="23"/>
      <c r="G162" s="65"/>
    </row>
    <row r="163" spans="2:7">
      <c r="B163" s="65"/>
      <c r="C163" s="66"/>
      <c r="D163" s="65"/>
      <c r="F163" s="23"/>
      <c r="G163" s="65"/>
    </row>
    <row r="164" spans="2:7">
      <c r="B164" s="65"/>
      <c r="C164" s="66"/>
      <c r="D164" s="65"/>
      <c r="E164" s="23"/>
      <c r="F164" s="23"/>
      <c r="G164" s="65"/>
    </row>
    <row r="165" spans="2:7">
      <c r="B165" s="65"/>
      <c r="C165" s="66"/>
      <c r="D165" s="65"/>
      <c r="F165" s="23"/>
      <c r="G165" s="65"/>
    </row>
    <row r="166" spans="2:7">
      <c r="B166" s="65"/>
      <c r="C166" s="66"/>
      <c r="F166" s="23"/>
    </row>
    <row r="167" spans="2:7">
      <c r="B167" s="65"/>
      <c r="C167" s="66"/>
      <c r="F167" s="23"/>
    </row>
    <row r="168" spans="2:7">
      <c r="B168" s="65"/>
      <c r="C168" s="66"/>
      <c r="F168" s="23"/>
    </row>
    <row r="169" spans="2:7">
      <c r="B169" s="65"/>
      <c r="C169" s="66"/>
      <c r="E169" s="23"/>
      <c r="F169" s="23"/>
    </row>
    <row r="170" spans="2:7">
      <c r="B170" s="65"/>
      <c r="C170" s="66"/>
      <c r="F170" s="23"/>
    </row>
    <row r="171" spans="2:7">
      <c r="B171" s="65"/>
      <c r="C171" s="66"/>
      <c r="F171" s="23"/>
    </row>
    <row r="172" spans="2:7">
      <c r="F172" s="23"/>
    </row>
    <row r="173" spans="2:7">
      <c r="B173" s="67"/>
      <c r="C173" s="68"/>
      <c r="E173" s="23"/>
      <c r="F173" s="23"/>
    </row>
    <row r="174" spans="2:7">
      <c r="B174" s="65"/>
      <c r="C174" s="66"/>
      <c r="F174" s="23"/>
    </row>
    <row r="175" spans="2:7">
      <c r="B175" s="65"/>
      <c r="C175" s="66"/>
      <c r="F175" s="23"/>
    </row>
    <row r="176" spans="2:7">
      <c r="B176" s="65"/>
      <c r="C176" s="66"/>
      <c r="F176" s="23"/>
    </row>
    <row r="177" spans="2:6">
      <c r="B177" s="65"/>
      <c r="C177" s="66"/>
      <c r="E177" s="23"/>
      <c r="F177" s="23"/>
    </row>
    <row r="178" spans="2:6">
      <c r="B178" s="65"/>
      <c r="C178" s="66"/>
      <c r="F178" s="23"/>
    </row>
    <row r="179" spans="2:6">
      <c r="B179" s="65"/>
      <c r="C179" s="66"/>
      <c r="F179" s="23"/>
    </row>
    <row r="180" spans="2:6">
      <c r="F180" s="23"/>
    </row>
    <row r="181" spans="2:6">
      <c r="B181" s="67"/>
      <c r="C181" s="68"/>
      <c r="E181" s="23"/>
      <c r="F181" s="23"/>
    </row>
    <row r="182" spans="2:6">
      <c r="B182" s="65"/>
      <c r="C182" s="66"/>
      <c r="F182" s="23"/>
    </row>
    <row r="183" spans="2:6">
      <c r="B183" s="65"/>
      <c r="C183" s="66"/>
      <c r="F183" s="23"/>
    </row>
    <row r="184" spans="2:6">
      <c r="B184" s="65"/>
      <c r="C184" s="66"/>
      <c r="F184" s="23"/>
    </row>
    <row r="185" spans="2:6">
      <c r="B185" s="65"/>
      <c r="C185" s="66"/>
      <c r="E185" s="23"/>
      <c r="F185" s="23"/>
    </row>
    <row r="186" spans="2:6">
      <c r="B186" s="65"/>
      <c r="C186" s="66"/>
      <c r="F186" s="23"/>
    </row>
    <row r="187" spans="2:6">
      <c r="B187" s="65"/>
      <c r="C187" s="66"/>
      <c r="F187" s="23"/>
    </row>
    <row r="188" spans="2:6">
      <c r="F188" s="23"/>
    </row>
    <row r="189" spans="2:6">
      <c r="B189" s="67"/>
      <c r="C189" s="68"/>
      <c r="E189" s="23"/>
      <c r="F189" s="23"/>
    </row>
    <row r="190" spans="2:6">
      <c r="B190" s="65"/>
      <c r="C190" s="66"/>
      <c r="F190" s="23"/>
    </row>
    <row r="191" spans="2:6">
      <c r="B191" s="65"/>
      <c r="C191" s="66"/>
      <c r="F191" s="23"/>
    </row>
    <row r="192" spans="2:6">
      <c r="B192" s="65"/>
      <c r="C192" s="66"/>
      <c r="F192" s="23"/>
    </row>
    <row r="193" spans="2:6">
      <c r="B193" s="65"/>
      <c r="C193" s="66"/>
      <c r="E193" s="23"/>
      <c r="F193" s="23"/>
    </row>
    <row r="194" spans="2:6">
      <c r="B194" s="65"/>
      <c r="C194" s="66"/>
      <c r="F194" s="23"/>
    </row>
    <row r="195" spans="2:6">
      <c r="B195" s="65"/>
      <c r="C195" s="66"/>
      <c r="F195" s="23"/>
    </row>
    <row r="196" spans="2:6">
      <c r="F196" s="23"/>
    </row>
    <row r="197" spans="2:6">
      <c r="B197" s="67"/>
      <c r="C197" s="68"/>
      <c r="E197" s="23"/>
      <c r="F197" s="23"/>
    </row>
    <row r="198" spans="2:6">
      <c r="B198" s="65"/>
      <c r="C198" s="66"/>
      <c r="F198" s="23"/>
    </row>
    <row r="199" spans="2:6">
      <c r="B199" s="65"/>
      <c r="C199" s="66"/>
      <c r="F199" s="23"/>
    </row>
    <row r="200" spans="2:6">
      <c r="B200" s="65"/>
      <c r="C200" s="66"/>
      <c r="F200" s="23"/>
    </row>
    <row r="201" spans="2:6">
      <c r="B201" s="65"/>
      <c r="C201" s="66"/>
      <c r="E201" s="23"/>
      <c r="F201" s="23"/>
    </row>
    <row r="202" spans="2:6">
      <c r="B202" s="65"/>
      <c r="C202" s="66"/>
      <c r="F202" s="23"/>
    </row>
    <row r="203" spans="2:6">
      <c r="B203" s="65"/>
      <c r="C203" s="66"/>
      <c r="F203" s="23"/>
    </row>
    <row r="204" spans="2:6">
      <c r="F204" s="23"/>
    </row>
    <row r="205" spans="2:6">
      <c r="B205" s="67"/>
      <c r="C205" s="68"/>
      <c r="E205" s="23"/>
      <c r="F205" s="23"/>
    </row>
    <row r="206" spans="2:6">
      <c r="B206" s="65"/>
      <c r="C206" s="66"/>
      <c r="F206" s="23"/>
    </row>
    <row r="207" spans="2:6">
      <c r="B207" s="65"/>
      <c r="C207" s="66"/>
      <c r="F207" s="23"/>
    </row>
    <row r="208" spans="2:6">
      <c r="B208" s="65"/>
      <c r="C208" s="66"/>
      <c r="F208" s="23"/>
    </row>
    <row r="209" spans="2:6">
      <c r="B209" s="65"/>
      <c r="C209" s="66"/>
      <c r="E209" s="23"/>
      <c r="F209" s="23"/>
    </row>
    <row r="210" spans="2:6">
      <c r="B210" s="65"/>
      <c r="C210" s="66"/>
      <c r="F210" s="23"/>
    </row>
    <row r="211" spans="2:6">
      <c r="B211" s="65"/>
      <c r="C211" s="66"/>
      <c r="F211" s="23"/>
    </row>
    <row r="212" spans="2:6">
      <c r="F212" s="23"/>
    </row>
    <row r="213" spans="2:6">
      <c r="B213" s="67"/>
      <c r="C213" s="68"/>
      <c r="E213" s="23"/>
      <c r="F213" s="23"/>
    </row>
    <row r="214" spans="2:6">
      <c r="B214" s="65"/>
      <c r="C214" s="66"/>
      <c r="F214" s="23"/>
    </row>
    <row r="215" spans="2:6">
      <c r="B215" s="65"/>
      <c r="C215" s="66"/>
      <c r="F215" s="23"/>
    </row>
    <row r="216" spans="2:6">
      <c r="B216" s="65"/>
      <c r="C216" s="66"/>
      <c r="F216" s="23"/>
    </row>
    <row r="217" spans="2:6">
      <c r="B217" s="65"/>
      <c r="C217" s="66"/>
      <c r="E217" s="23"/>
      <c r="F217" s="23"/>
    </row>
    <row r="218" spans="2:6">
      <c r="B218" s="65"/>
      <c r="C218" s="66"/>
      <c r="F218" s="23"/>
    </row>
    <row r="219" spans="2:6">
      <c r="B219" s="65"/>
      <c r="C219" s="66"/>
      <c r="F219" s="23"/>
    </row>
    <row r="220" spans="2:6">
      <c r="F220" s="23"/>
    </row>
    <row r="221" spans="2:6">
      <c r="B221" s="67"/>
      <c r="C221" s="68"/>
      <c r="E221" s="23"/>
      <c r="F221" s="23"/>
    </row>
    <row r="222" spans="2:6">
      <c r="B222" s="65"/>
      <c r="C222" s="66"/>
      <c r="F222" s="23"/>
    </row>
    <row r="223" spans="2:6">
      <c r="B223" s="65"/>
      <c r="C223" s="66"/>
      <c r="F223" s="23"/>
    </row>
    <row r="224" spans="2:6">
      <c r="B224" s="65"/>
      <c r="C224" s="66"/>
      <c r="F224" s="23"/>
    </row>
    <row r="225" spans="2:6">
      <c r="B225" s="65"/>
      <c r="C225" s="66"/>
      <c r="E225" s="23"/>
      <c r="F225" s="23"/>
    </row>
    <row r="226" spans="2:6">
      <c r="B226" s="65"/>
      <c r="C226" s="66"/>
      <c r="F226" s="23"/>
    </row>
    <row r="227" spans="2:6">
      <c r="B227" s="65"/>
      <c r="C227" s="66"/>
      <c r="F227" s="23"/>
    </row>
    <row r="228" spans="2:6">
      <c r="F228" s="23"/>
    </row>
    <row r="229" spans="2:6">
      <c r="B229" s="67"/>
      <c r="C229" s="68"/>
      <c r="E229" s="23"/>
      <c r="F229" s="23"/>
    </row>
    <row r="230" spans="2:6">
      <c r="B230" s="65"/>
      <c r="C230" s="66"/>
      <c r="F230" s="23"/>
    </row>
    <row r="231" spans="2:6">
      <c r="B231" s="65"/>
      <c r="C231" s="66"/>
      <c r="F231" s="23"/>
    </row>
    <row r="232" spans="2:6">
      <c r="B232" s="65"/>
      <c r="C232" s="66"/>
      <c r="F232" s="23"/>
    </row>
    <row r="233" spans="2:6">
      <c r="B233" s="65"/>
      <c r="C233" s="66"/>
      <c r="E233" s="23"/>
      <c r="F233" s="23"/>
    </row>
    <row r="234" spans="2:6">
      <c r="B234" s="65"/>
      <c r="C234" s="66"/>
      <c r="F234" s="23"/>
    </row>
    <row r="235" spans="2:6">
      <c r="B235" s="65"/>
      <c r="C235" s="66"/>
      <c r="F235" s="23"/>
    </row>
    <row r="236" spans="2:6">
      <c r="F236" s="23"/>
    </row>
    <row r="237" spans="2:6">
      <c r="B237" s="67"/>
      <c r="C237" s="68"/>
      <c r="E237" s="23"/>
      <c r="F237" s="23"/>
    </row>
    <row r="238" spans="2:6">
      <c r="B238" s="65"/>
      <c r="C238" s="66"/>
      <c r="F238" s="23"/>
    </row>
    <row r="239" spans="2:6">
      <c r="B239" s="65"/>
      <c r="C239" s="66"/>
      <c r="F239" s="23"/>
    </row>
    <row r="240" spans="2:6">
      <c r="B240" s="65"/>
      <c r="C240" s="66"/>
      <c r="F240" s="23"/>
    </row>
    <row r="241" spans="2:6">
      <c r="B241" s="65"/>
      <c r="C241" s="66"/>
      <c r="E241" s="23"/>
      <c r="F241" s="23"/>
    </row>
    <row r="242" spans="2:6">
      <c r="B242" s="65"/>
      <c r="C242" s="66"/>
      <c r="F242" s="23"/>
    </row>
    <row r="243" spans="2:6">
      <c r="B243" s="65"/>
      <c r="C243" s="66"/>
      <c r="F243" s="23"/>
    </row>
    <row r="244" spans="2:6">
      <c r="F244" s="23"/>
    </row>
    <row r="245" spans="2:6">
      <c r="B245" s="67"/>
      <c r="C245" s="68"/>
      <c r="E245" s="23"/>
      <c r="F245" s="23"/>
    </row>
    <row r="246" spans="2:6">
      <c r="B246" s="65"/>
      <c r="C246" s="66"/>
      <c r="F246" s="23"/>
    </row>
    <row r="247" spans="2:6">
      <c r="B247" s="65"/>
      <c r="C247" s="66"/>
      <c r="F247" s="23"/>
    </row>
    <row r="248" spans="2:6">
      <c r="B248" s="65"/>
      <c r="C248" s="66"/>
      <c r="F248" s="23"/>
    </row>
    <row r="249" spans="2:6">
      <c r="B249" s="65"/>
      <c r="C249" s="66"/>
      <c r="E249" s="23"/>
      <c r="F249" s="23"/>
    </row>
    <row r="250" spans="2:6">
      <c r="B250" s="65"/>
      <c r="C250" s="66"/>
      <c r="F250" s="23"/>
    </row>
    <row r="251" spans="2:6">
      <c r="B251" s="65"/>
      <c r="C251" s="66"/>
      <c r="F251" s="23"/>
    </row>
    <row r="252" spans="2:6">
      <c r="F252" s="23"/>
    </row>
    <row r="253" spans="2:6">
      <c r="B253" s="67"/>
      <c r="C253" s="68"/>
      <c r="E253" s="23"/>
      <c r="F253" s="23"/>
    </row>
    <row r="254" spans="2:6">
      <c r="B254" s="65"/>
      <c r="C254" s="66"/>
      <c r="F254" s="23"/>
    </row>
    <row r="255" spans="2:6">
      <c r="B255" s="65"/>
      <c r="C255" s="66"/>
      <c r="F255" s="23"/>
    </row>
    <row r="256" spans="2:6">
      <c r="B256" s="65"/>
      <c r="C256" s="66"/>
      <c r="F256" s="23"/>
    </row>
    <row r="257" spans="2:6">
      <c r="B257" s="65"/>
      <c r="C257" s="66"/>
      <c r="E257" s="23"/>
      <c r="F257" s="23"/>
    </row>
    <row r="258" spans="2:6">
      <c r="B258" s="65"/>
      <c r="C258" s="66"/>
      <c r="F258" s="23"/>
    </row>
    <row r="259" spans="2:6">
      <c r="B259" s="65"/>
      <c r="C259" s="66"/>
      <c r="F259" s="23"/>
    </row>
    <row r="260" spans="2:6">
      <c r="F260" s="23"/>
    </row>
    <row r="261" spans="2:6">
      <c r="B261" s="67"/>
      <c r="C261" s="68"/>
      <c r="E261" s="23"/>
      <c r="F261" s="23"/>
    </row>
    <row r="262" spans="2:6">
      <c r="B262" s="65"/>
      <c r="C262" s="66"/>
      <c r="F262" s="23"/>
    </row>
    <row r="263" spans="2:6">
      <c r="B263" s="65"/>
      <c r="C263" s="66"/>
      <c r="F263" s="23"/>
    </row>
    <row r="264" spans="2:6">
      <c r="B264" s="65"/>
      <c r="C264" s="66"/>
      <c r="F264" s="23"/>
    </row>
    <row r="265" spans="2:6">
      <c r="B265" s="65"/>
      <c r="C265" s="66"/>
      <c r="E265" s="23"/>
      <c r="F265" s="23"/>
    </row>
    <row r="266" spans="2:6">
      <c r="B266" s="65"/>
      <c r="C266" s="66"/>
      <c r="F266" s="23"/>
    </row>
    <row r="267" spans="2:6">
      <c r="B267" s="65"/>
      <c r="C267" s="66"/>
      <c r="F267" s="23"/>
    </row>
    <row r="268" spans="2:6">
      <c r="F268" s="23"/>
    </row>
    <row r="269" spans="2:6">
      <c r="B269" s="67"/>
      <c r="C269" s="68"/>
      <c r="E269" s="23"/>
      <c r="F269" s="23"/>
    </row>
    <row r="270" spans="2:6">
      <c r="B270" s="65"/>
      <c r="C270" s="66"/>
      <c r="F270" s="23"/>
    </row>
    <row r="271" spans="2:6">
      <c r="B271" s="65"/>
      <c r="C271" s="66"/>
      <c r="F271" s="23"/>
    </row>
    <row r="272" spans="2:6">
      <c r="B272" s="65"/>
      <c r="C272" s="66"/>
    </row>
    <row r="273" spans="2:3">
      <c r="B273" s="65"/>
      <c r="C273" s="66"/>
    </row>
    <row r="274" spans="2:3">
      <c r="B274" s="65"/>
      <c r="C274" s="66"/>
    </row>
    <row r="275" spans="2:3">
      <c r="B275" s="65"/>
      <c r="C275" s="66"/>
    </row>
  </sheetData>
  <mergeCells count="4">
    <mergeCell ref="A1:E1"/>
    <mergeCell ref="A66:C66"/>
    <mergeCell ref="E66:J66"/>
    <mergeCell ref="L66:R66"/>
  </mergeCells>
  <pageMargins left="0.7" right="0.7" top="0.75" bottom="0.75" header="0.3" footer="0.3"/>
  <pageSetup paperSize="9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FC08B-3B4E-4C98-BFE7-5FBC07DA2697}">
  <dimension ref="A1:C32"/>
  <sheetViews>
    <sheetView zoomScale="144" workbookViewId="0">
      <selection activeCell="C1" sqref="C1"/>
    </sheetView>
  </sheetViews>
  <sheetFormatPr baseColWidth="10" defaultColWidth="8.83203125" defaultRowHeight="15"/>
  <cols>
    <col min="1" max="1" width="48.5" customWidth="1"/>
    <col min="2" max="2" width="10" bestFit="1" customWidth="1"/>
  </cols>
  <sheetData>
    <row r="1" spans="1:3">
      <c r="A1" t="s">
        <v>260</v>
      </c>
      <c r="B1">
        <v>45</v>
      </c>
    </row>
    <row r="2" spans="1:3">
      <c r="A2" t="s">
        <v>261</v>
      </c>
      <c r="B2">
        <v>4</v>
      </c>
    </row>
    <row r="5" spans="1:3">
      <c r="A5" t="s">
        <v>262</v>
      </c>
      <c r="B5">
        <f>B1*Assumptions!B2</f>
        <v>9000</v>
      </c>
      <c r="C5" s="2"/>
    </row>
    <row r="6" spans="1:3">
      <c r="A6" t="s">
        <v>263</v>
      </c>
      <c r="B6">
        <f>B2*'Route and energy requirements 2'!AB137</f>
        <v>118.79661867912704</v>
      </c>
    </row>
    <row r="8" spans="1:3">
      <c r="A8" t="s">
        <v>264</v>
      </c>
      <c r="B8">
        <f>100-(B6/B5)*100</f>
        <v>98.680037570231917</v>
      </c>
    </row>
    <row r="9" spans="1:3">
      <c r="A9" t="s">
        <v>264</v>
      </c>
      <c r="B9">
        <f>B5-B6</f>
        <v>8881.2033813208727</v>
      </c>
    </row>
    <row r="10" spans="1:3">
      <c r="A10" t="s">
        <v>266</v>
      </c>
      <c r="B10">
        <f>B9*B12</f>
        <v>4440601.6906604366</v>
      </c>
    </row>
    <row r="12" spans="1:3">
      <c r="A12" t="s">
        <v>232</v>
      </c>
      <c r="B12">
        <v>500</v>
      </c>
    </row>
    <row r="32" spans="3:3">
      <c r="C32" t="s">
        <v>265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14</vt:i4>
      </vt:variant>
    </vt:vector>
  </HeadingPairs>
  <TitlesOfParts>
    <vt:vector size="14" baseType="lpstr">
      <vt:lpstr>Data Kystruten</vt:lpstr>
      <vt:lpstr>Assumptions</vt:lpstr>
      <vt:lpstr>Route and energy requirements 2</vt:lpstr>
      <vt:lpstr>Route</vt:lpstr>
      <vt:lpstr>Storage tanks</vt:lpstr>
      <vt:lpstr>SMR</vt:lpstr>
      <vt:lpstr>Emissions</vt:lpstr>
      <vt:lpstr>Power path </vt:lpstr>
      <vt:lpstr>NOx</vt:lpstr>
      <vt:lpstr>SOx</vt:lpstr>
      <vt:lpstr>OPEX costs fuel</vt:lpstr>
      <vt:lpstr>Hydrogen production</vt:lpstr>
      <vt:lpstr>IGNORE</vt:lpstr>
      <vt:lpstr>IGNORE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 Vestrheim</dc:creator>
  <cp:keywords/>
  <dc:description/>
  <cp:lastModifiedBy>Magnus Vestrheim</cp:lastModifiedBy>
  <cp:revision/>
  <dcterms:created xsi:type="dcterms:W3CDTF">2020-05-07T10:33:30Z</dcterms:created>
  <dcterms:modified xsi:type="dcterms:W3CDTF">2020-05-25T08:59:56Z</dcterms:modified>
  <cp:category/>
  <cp:contentStatus/>
</cp:coreProperties>
</file>