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vl365-my.sharepoint.com/personal/571976_stud_hvl_no/Documents/6 semester/bachelor/VA/"/>
    </mc:Choice>
  </mc:AlternateContent>
  <xr:revisionPtr revIDLastSave="297" documentId="10_ncr:40000_{B73DF817-0BE7-4CA6-8353-4958111AA2F7}" xr6:coauthVersionLast="45" xr6:coauthVersionMax="45" xr10:uidLastSave="{1A9ADCAC-BBC7-41A9-A6AA-DA175340B287}"/>
  <bookViews>
    <workbookView xWindow="-108" yWindow="-108" windowWidth="23256" windowHeight="12576" xr2:uid="{00000000-000D-0000-FFFF-FFFF00000000}"/>
  </bookViews>
  <sheets>
    <sheet name="Ar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43" i="1" l="1"/>
  <c r="I244" i="1" s="1"/>
  <c r="I245" i="1" s="1"/>
  <c r="I246" i="1" s="1"/>
  <c r="B249" i="1" s="1"/>
  <c r="B250" i="1" l="1"/>
  <c r="B128" i="1" l="1"/>
  <c r="B129" i="1" s="1"/>
  <c r="G154" i="1" l="1"/>
  <c r="B124" i="1" s="1"/>
  <c r="B125" i="1" s="1"/>
  <c r="B281" i="1" l="1"/>
  <c r="B282" i="1" s="1"/>
  <c r="G283" i="1"/>
  <c r="G284" i="1" s="1"/>
  <c r="G271" i="1"/>
  <c r="E279" i="1"/>
  <c r="E283" i="1" s="1"/>
  <c r="E284" i="1" s="1"/>
  <c r="E96" i="1"/>
  <c r="E106" i="1"/>
  <c r="A86" i="1"/>
  <c r="H10" i="1"/>
  <c r="H12" i="1" s="1"/>
  <c r="A95" i="1" s="1"/>
  <c r="A96" i="1" s="1"/>
  <c r="G10" i="1"/>
  <c r="E10" i="1"/>
  <c r="C10" i="1"/>
  <c r="A10" i="1"/>
  <c r="F202" i="1"/>
  <c r="F195" i="1"/>
  <c r="F196" i="1" s="1"/>
  <c r="B205" i="1"/>
  <c r="A196" i="1"/>
  <c r="E184" i="1"/>
  <c r="E185" i="1" s="1"/>
  <c r="A180" i="1"/>
  <c r="A187" i="1"/>
  <c r="A183" i="1"/>
  <c r="A197" i="1" s="1"/>
  <c r="E303" i="1"/>
  <c r="E307" i="1" s="1"/>
  <c r="E308" i="1" s="1"/>
  <c r="E296" i="1"/>
  <c r="E291" i="1"/>
  <c r="E290" i="1" s="1"/>
  <c r="F220" i="1"/>
  <c r="F221" i="1" s="1"/>
  <c r="A227" i="1"/>
  <c r="D230" i="1" s="1"/>
  <c r="A220" i="1"/>
  <c r="A221" i="1"/>
  <c r="I283" i="1"/>
  <c r="I284" i="1" s="1"/>
  <c r="I267" i="1"/>
  <c r="I264" i="1"/>
  <c r="B301" i="1"/>
  <c r="B305" i="1" s="1"/>
  <c r="B306" i="1" s="1"/>
  <c r="B294" i="1"/>
  <c r="B289" i="1"/>
  <c r="B288" i="1" s="1"/>
  <c r="G267" i="1"/>
  <c r="G268" i="1" s="1"/>
  <c r="F279" i="1"/>
  <c r="F283" i="1" s="1"/>
  <c r="F284" i="1" s="1"/>
  <c r="E276" i="1"/>
  <c r="E271" i="1"/>
  <c r="E267" i="1"/>
  <c r="E268" i="1" s="1"/>
  <c r="B265" i="1"/>
  <c r="B266" i="1" s="1"/>
  <c r="B271" i="1"/>
  <c r="A181" i="1" l="1"/>
  <c r="I268" i="1"/>
  <c r="B169" i="1" l="1"/>
  <c r="B170" i="1" s="1"/>
  <c r="B171" i="1" s="1"/>
  <c r="B172" i="1" s="1"/>
  <c r="B151" i="1" s="1"/>
  <c r="B152" i="1" s="1"/>
  <c r="G248" i="1"/>
  <c r="B245" i="1" s="1"/>
  <c r="B246" i="1" s="1"/>
  <c r="E243" i="1"/>
  <c r="E244" i="1" s="1"/>
  <c r="E245" i="1" s="1"/>
  <c r="E246" i="1" s="1"/>
  <c r="B241" i="1" s="1"/>
  <c r="B242" i="1" s="1"/>
  <c r="B240" i="1"/>
  <c r="B251" i="1" s="1"/>
  <c r="F203" i="1"/>
  <c r="B187" i="1"/>
  <c r="B189" i="1" s="1"/>
  <c r="J169" i="1"/>
  <c r="J170" i="1" s="1"/>
  <c r="J171" i="1" s="1"/>
  <c r="J172" i="1" s="1"/>
  <c r="F124" i="1" s="1"/>
  <c r="F125" i="1" s="1"/>
  <c r="G169" i="1"/>
  <c r="G170" i="1" s="1"/>
  <c r="G171" i="1" s="1"/>
  <c r="G172" i="1" s="1"/>
  <c r="F138" i="1" s="1"/>
  <c r="F139" i="1" s="1"/>
  <c r="J161" i="1"/>
  <c r="J162" i="1" s="1"/>
  <c r="J163" i="1" s="1"/>
  <c r="J164" i="1" s="1"/>
  <c r="G161" i="1"/>
  <c r="G162" i="1" s="1"/>
  <c r="G163" i="1" s="1"/>
  <c r="G164" i="1" s="1"/>
  <c r="E161" i="1"/>
  <c r="E162" i="1" s="1"/>
  <c r="E163" i="1" s="1"/>
  <c r="E164" i="1" s="1"/>
  <c r="B161" i="1"/>
  <c r="B162" i="1" s="1"/>
  <c r="B163" i="1" s="1"/>
  <c r="B164" i="1" s="1"/>
  <c r="L154" i="1"/>
  <c r="B140" i="1" s="1"/>
  <c r="B150" i="1"/>
  <c r="M149" i="1"/>
  <c r="M150" i="1" s="1"/>
  <c r="M151" i="1" s="1"/>
  <c r="M152" i="1" s="1"/>
  <c r="B138" i="1" s="1"/>
  <c r="J149" i="1"/>
  <c r="J150" i="1" s="1"/>
  <c r="J151" i="1" s="1"/>
  <c r="J152" i="1" s="1"/>
  <c r="H149" i="1"/>
  <c r="H150" i="1" s="1"/>
  <c r="H151" i="1" s="1"/>
  <c r="H152" i="1" s="1"/>
  <c r="E149" i="1"/>
  <c r="E150" i="1" s="1"/>
  <c r="E151" i="1" s="1"/>
  <c r="E152" i="1" s="1"/>
  <c r="F137" i="1"/>
  <c r="B133" i="1"/>
  <c r="B137" i="1" s="1"/>
  <c r="F123" i="1"/>
  <c r="B119" i="1"/>
  <c r="B123" i="1" s="1"/>
  <c r="B130" i="1" s="1"/>
  <c r="E107" i="1"/>
  <c r="E97" i="1"/>
  <c r="E86" i="1"/>
  <c r="E87" i="1" s="1"/>
  <c r="E74" i="1"/>
  <c r="E75" i="1" s="1"/>
  <c r="A74" i="1"/>
  <c r="A73" i="1"/>
  <c r="E61" i="1"/>
  <c r="E62" i="1" s="1"/>
  <c r="G12" i="1"/>
  <c r="A105" i="1" s="1"/>
  <c r="A106" i="1" s="1"/>
  <c r="E12" i="1"/>
  <c r="C12" i="1"/>
  <c r="A12" i="1"/>
  <c r="B244" i="1" l="1"/>
  <c r="B141" i="1"/>
  <c r="B142" i="1"/>
  <c r="F141" i="1"/>
  <c r="F127" i="1"/>
  <c r="A223" i="1"/>
  <c r="A219" i="1" s="1"/>
  <c r="B227" i="1" s="1"/>
  <c r="C227" i="1" s="1"/>
  <c r="B230" i="1" s="1"/>
  <c r="A230" i="1" s="1"/>
  <c r="B233" i="1" s="1"/>
  <c r="A72" i="1"/>
  <c r="A76" i="1" s="1"/>
  <c r="D79" i="1" s="1"/>
  <c r="A194" i="1"/>
  <c r="A85" i="1"/>
  <c r="B143" i="1"/>
  <c r="A71" i="1"/>
  <c r="A195" i="1"/>
  <c r="B204" i="1" s="1"/>
  <c r="A198" i="1"/>
  <c r="D189" i="1"/>
  <c r="A60" i="1"/>
  <c r="A61" i="1" s="1"/>
  <c r="A98" i="1"/>
  <c r="D101" i="1" s="1"/>
  <c r="B127" i="1"/>
  <c r="B139" i="1"/>
  <c r="B154" i="1"/>
  <c r="F140" i="1"/>
  <c r="F126" i="1"/>
  <c r="B248" i="1"/>
  <c r="B243" i="1"/>
  <c r="B247" i="1"/>
  <c r="B252" i="1" l="1"/>
  <c r="B126" i="1"/>
  <c r="A207" i="1"/>
  <c r="B207" i="1" s="1"/>
  <c r="A88" i="1"/>
  <c r="B76" i="1"/>
  <c r="C76" i="1" s="1"/>
  <c r="B79" i="1" s="1"/>
  <c r="A79" i="1" s="1"/>
  <c r="J133" i="1" s="1"/>
  <c r="B98" i="1"/>
  <c r="C98" i="1" s="1"/>
  <c r="B101" i="1" s="1"/>
  <c r="A101" i="1" s="1"/>
  <c r="J124" i="1" s="1"/>
  <c r="B153" i="1"/>
  <c r="A63" i="1"/>
  <c r="D66" i="1" s="1"/>
  <c r="A189" i="1"/>
  <c r="A201" i="1"/>
  <c r="D210" i="1" s="1"/>
  <c r="D211" i="1" l="1"/>
  <c r="B285" i="1"/>
  <c r="B63" i="1"/>
  <c r="C63" i="1" s="1"/>
  <c r="B66" i="1" s="1"/>
  <c r="A66" i="1" s="1"/>
  <c r="J137" i="1" s="1"/>
  <c r="E287" i="1" s="1"/>
  <c r="D91" i="1"/>
  <c r="B88" i="1"/>
  <c r="C88" i="1" s="1"/>
  <c r="B91" i="1" s="1"/>
  <c r="C207" i="1"/>
  <c r="B211" i="1" s="1"/>
  <c r="A108" i="1"/>
  <c r="D111" i="1" s="1"/>
  <c r="B201" i="1"/>
  <c r="A212" i="1" l="1"/>
  <c r="E262" i="1" s="1"/>
  <c r="E280" i="1" s="1"/>
  <c r="A91" i="1"/>
  <c r="J128" i="1" s="1"/>
  <c r="B302" i="1"/>
  <c r="B286" i="1"/>
  <c r="B297" i="1" s="1"/>
  <c r="C201" i="1"/>
  <c r="B210" i="1"/>
  <c r="E288" i="1"/>
  <c r="E299" i="1" s="1"/>
  <c r="E304" i="1"/>
  <c r="B108" i="1"/>
  <c r="A210" i="1" l="1"/>
  <c r="G280" i="1"/>
  <c r="E263" i="1"/>
  <c r="I280" i="1"/>
  <c r="F280" i="1"/>
  <c r="C108" i="1"/>
  <c r="B111" i="1" s="1"/>
  <c r="A111" i="1" s="1"/>
  <c r="J120" i="1" s="1"/>
  <c r="B262" i="1" l="1"/>
  <c r="B278" i="1" s="1"/>
  <c r="I274" i="1"/>
  <c r="E274" i="1"/>
  <c r="G274" i="1"/>
  <c r="B263" i="1" l="1"/>
  <c r="B274" i="1" s="1"/>
</calcChain>
</file>

<file path=xl/sharedStrings.xml><?xml version="1.0" encoding="utf-8"?>
<sst xmlns="http://schemas.openxmlformats.org/spreadsheetml/2006/main" count="573" uniqueCount="205">
  <si>
    <t>Lengde delstrekninger innefor rødt felt</t>
  </si>
  <si>
    <t>4n</t>
  </si>
  <si>
    <t>4v</t>
  </si>
  <si>
    <t>Areal grusvei innenfor rødt nedbørsfelt</t>
  </si>
  <si>
    <t>Areal del 1</t>
  </si>
  <si>
    <t>areal del 2</t>
  </si>
  <si>
    <t>areal del 3</t>
  </si>
  <si>
    <t>ha</t>
  </si>
  <si>
    <t>Avrenningskoeffisient for areal 1</t>
  </si>
  <si>
    <t>For å finne I</t>
  </si>
  <si>
    <t>Areal hektar</t>
  </si>
  <si>
    <t>arealdekke</t>
  </si>
  <si>
    <t>avrenningskoeffisient</t>
  </si>
  <si>
    <t>for å finne konsentrasjonstid min</t>
  </si>
  <si>
    <t>Grusvei</t>
  </si>
  <si>
    <t>L</t>
  </si>
  <si>
    <t>m</t>
  </si>
  <si>
    <t>Bratt skogskråning</t>
  </si>
  <si>
    <t>H</t>
  </si>
  <si>
    <t>(høyest kvote 35 og laveste 15)</t>
  </si>
  <si>
    <t>tot areal</t>
  </si>
  <si>
    <t>c-midlere</t>
  </si>
  <si>
    <t>c-midlere (med 25%)</t>
  </si>
  <si>
    <t>tc</t>
  </si>
  <si>
    <t>min</t>
  </si>
  <si>
    <t>Se i tabell og graf returperiode 100år og 7 min</t>
  </si>
  <si>
    <t>Q</t>
  </si>
  <si>
    <t>C</t>
  </si>
  <si>
    <t>I</t>
  </si>
  <si>
    <t>A</t>
  </si>
  <si>
    <t>Kf</t>
  </si>
  <si>
    <t>Avrenningskoeffisient areal 2</t>
  </si>
  <si>
    <t>bratt skogområde</t>
  </si>
  <si>
    <t>asfalt</t>
  </si>
  <si>
    <t>Enebolig</t>
  </si>
  <si>
    <t>(høyest kvote 55 og laveste 35)</t>
  </si>
  <si>
    <t>Se i tabell og graf returperiode 100år og 11 min</t>
  </si>
  <si>
    <t>Avrenningskoeffisient areal 3</t>
  </si>
  <si>
    <t>Plen, eng eller dyrket mark</t>
  </si>
  <si>
    <t>(høyest kvote 56 og laveste 46)</t>
  </si>
  <si>
    <t>Se i tabell og graf returperiode 100år og 22 min</t>
  </si>
  <si>
    <t>Avrenningskoeffisient areal 4vest</t>
  </si>
  <si>
    <t>Avrenningskoeffisient areal 4 nord</t>
  </si>
  <si>
    <t>Kapasitet åpen grøft</t>
  </si>
  <si>
    <t>Beregning åpen grøft</t>
  </si>
  <si>
    <t>Grøft del 1</t>
  </si>
  <si>
    <t>Grøft for strekning 4 nord</t>
  </si>
  <si>
    <t>Forventet vannføring i grøft del 4 nord for kryss</t>
  </si>
  <si>
    <t>laveste kvote</t>
  </si>
  <si>
    <t>l/s</t>
  </si>
  <si>
    <t>høyeste kvote</t>
  </si>
  <si>
    <t>Jevnsteinkleding M</t>
  </si>
  <si>
    <t xml:space="preserve"> M (jord lett vegetasjon)</t>
  </si>
  <si>
    <t>Forventet vannføring i grøft del 4 vest til kryss</t>
  </si>
  <si>
    <t>Areal grøftetverrsnitt (trapes 26)</t>
  </si>
  <si>
    <t>R = A/ våt omkrets</t>
  </si>
  <si>
    <t>R = A/ (våt omkrets)</t>
  </si>
  <si>
    <t>kapasitet vannføring Q</t>
  </si>
  <si>
    <t>kapasitet vannføring Q(trapes)</t>
  </si>
  <si>
    <t>Forventet vannføring i grøft til stikk øverst i strekning 3</t>
  </si>
  <si>
    <t>Vannhastighet</t>
  </si>
  <si>
    <t xml:space="preserve">Vannhastighet </t>
  </si>
  <si>
    <t xml:space="preserve">Grøft for del 2 </t>
  </si>
  <si>
    <t>Grøft for strekning 4 vest</t>
  </si>
  <si>
    <t>Forventet vannføring i grøft til stikkrenne øverst strekning 2</t>
  </si>
  <si>
    <t xml:space="preserve"> M (småstein/grus)</t>
  </si>
  <si>
    <t>Forventet vannføring i grøft til stikkrenne i svinger delstrekning 1</t>
  </si>
  <si>
    <t>Areal grøftetverrsnitt (rektangel)</t>
  </si>
  <si>
    <t>Finne areal grøftetverrsnitt og R</t>
  </si>
  <si>
    <t>Grøft del 2</t>
  </si>
  <si>
    <t>formler</t>
  </si>
  <si>
    <t>Trapes med skråvinkel 63 grader</t>
  </si>
  <si>
    <t>Grøft for del 3 frem til kryss</t>
  </si>
  <si>
    <t>sin 33,7=</t>
  </si>
  <si>
    <t>A=1/2(a+b)*h</t>
  </si>
  <si>
    <t>sin 63</t>
  </si>
  <si>
    <t>h</t>
  </si>
  <si>
    <t>c og d =h/sin(39</t>
  </si>
  <si>
    <t xml:space="preserve">a </t>
  </si>
  <si>
    <t>x^2=c^2+h^2</t>
  </si>
  <si>
    <t>c</t>
  </si>
  <si>
    <t>b=2*x+a</t>
  </si>
  <si>
    <t>jevn steinkledning M</t>
  </si>
  <si>
    <t>x</t>
  </si>
  <si>
    <t>b</t>
  </si>
  <si>
    <t>Rektangel</t>
  </si>
  <si>
    <t>A=L*H</t>
  </si>
  <si>
    <t>Del 3 frem til kryss</t>
  </si>
  <si>
    <t>del 4 vest</t>
  </si>
  <si>
    <t xml:space="preserve">Finne areal grøftetverrsnitt og R </t>
  </si>
  <si>
    <t>Del 4 nord</t>
  </si>
  <si>
    <t>Formler</t>
  </si>
  <si>
    <t>sin 33,7</t>
  </si>
  <si>
    <t>sin 45</t>
  </si>
  <si>
    <t>O=a+b+c+d</t>
  </si>
  <si>
    <t>a</t>
  </si>
  <si>
    <t>c eller d</t>
  </si>
  <si>
    <t>sin 26,5=</t>
  </si>
  <si>
    <t>Avrenning innenfor hele rødt nedbørsfelt beregnet med rasjonell formel</t>
  </si>
  <si>
    <t>Park, plen, eng, dyrket mark</t>
  </si>
  <si>
    <t>Eneboligområde</t>
  </si>
  <si>
    <t>Asfalt vei</t>
  </si>
  <si>
    <t>Grusveier</t>
  </si>
  <si>
    <t>for å finne konsentrasjonstid min (uten enebolig sør)</t>
  </si>
  <si>
    <t>sum areal</t>
  </si>
  <si>
    <t>C-midlere</t>
  </si>
  <si>
    <t>(høyest kvote 56 og laveste 15)</t>
  </si>
  <si>
    <t>Q avrenning l/s</t>
  </si>
  <si>
    <t>I (l/s)</t>
  </si>
  <si>
    <t>Sum areal</t>
  </si>
  <si>
    <t>cmidlere (med 25%)</t>
  </si>
  <si>
    <t>Qavrenning l/s</t>
  </si>
  <si>
    <t>I(l/s)</t>
  </si>
  <si>
    <t>kf</t>
  </si>
  <si>
    <t>Beregning kapasitet åpen kanal</t>
  </si>
  <si>
    <t>Utregning med mannings-formel for Q og V</t>
  </si>
  <si>
    <t>Ujevnsteinkleding M</t>
  </si>
  <si>
    <t>areal rektangel</t>
  </si>
  <si>
    <t>Dimensjonering av stikkrenner</t>
  </si>
  <si>
    <t xml:space="preserve">forventet Q (l/s) </t>
  </si>
  <si>
    <t>k</t>
  </si>
  <si>
    <t>k (plastrør)</t>
  </si>
  <si>
    <t>utgangspunkt D (fra colebrooks)</t>
  </si>
  <si>
    <t>f</t>
  </si>
  <si>
    <t>k/D</t>
  </si>
  <si>
    <t>f (se moodys diagram 0,001)</t>
  </si>
  <si>
    <t>hf</t>
  </si>
  <si>
    <t>Q m3/s</t>
  </si>
  <si>
    <t>D^5</t>
  </si>
  <si>
    <t>D (m)</t>
  </si>
  <si>
    <t>Selvrens</t>
  </si>
  <si>
    <t>Qfult</t>
  </si>
  <si>
    <t>i /m/m)</t>
  </si>
  <si>
    <t>forventet Q tot</t>
  </si>
  <si>
    <t>sum areal del avrenning til sluk ved vei</t>
  </si>
  <si>
    <t>bratt skog</t>
  </si>
  <si>
    <t xml:space="preserve">laveste kvote </t>
  </si>
  <si>
    <t>i (m/m)</t>
  </si>
  <si>
    <t>Dmidlertidig</t>
  </si>
  <si>
    <t>Q (m^3/s)</t>
  </si>
  <si>
    <t>selvrens</t>
  </si>
  <si>
    <t>Q/qfult</t>
  </si>
  <si>
    <t>h/d</t>
  </si>
  <si>
    <t>v/vfult</t>
  </si>
  <si>
    <t>Q/A</t>
  </si>
  <si>
    <t>V</t>
  </si>
  <si>
    <t>Ddim</t>
  </si>
  <si>
    <t>Forventet Q</t>
  </si>
  <si>
    <t>Q (M^3/s)</t>
  </si>
  <si>
    <t>samme fall som tverrfall vei (5%)</t>
  </si>
  <si>
    <t>Velger dim 200mm</t>
  </si>
  <si>
    <t>Kontroll bratt del</t>
  </si>
  <si>
    <t>kontroll slak del av strekning</t>
  </si>
  <si>
    <t>enebolig</t>
  </si>
  <si>
    <t>(høyest kvote 56 og laveste 32)</t>
  </si>
  <si>
    <t>Se i tabell og graf returperiode 100 år og 33 min</t>
  </si>
  <si>
    <t>Q l/s</t>
  </si>
  <si>
    <t>Qm^3/s</t>
  </si>
  <si>
    <t>Qavrenning l/s (det som legges i rør)</t>
  </si>
  <si>
    <t>Kanalen må håndtere en vannføring (l/s)</t>
  </si>
  <si>
    <t>Se i tabell og graf returperiode 20 år og 22 min</t>
  </si>
  <si>
    <t>Fjern deler av brattskog og asfalt</t>
  </si>
  <si>
    <t xml:space="preserve">C-midlere </t>
  </si>
  <si>
    <t>C (+25%)</t>
  </si>
  <si>
    <t>Se i tabell og graf returperiode 100 år og 28 min</t>
  </si>
  <si>
    <t>areal del 4n</t>
  </si>
  <si>
    <t>areal 4v</t>
  </si>
  <si>
    <t>(høyest kvote 54 og laveste 47)</t>
  </si>
  <si>
    <t>(høyest kvote 55 og laveste 47)</t>
  </si>
  <si>
    <t>Se i tabell og graf returperiode 100år og 20 min</t>
  </si>
  <si>
    <t>Q fra areal 4 nord</t>
  </si>
  <si>
    <t>Q fra areal 4 vest</t>
  </si>
  <si>
    <t>Q fra areal 3</t>
  </si>
  <si>
    <t>Q fra areal 2</t>
  </si>
  <si>
    <t>Q fra areal 1</t>
  </si>
  <si>
    <t>Avrenning til grøft og overvannsledninger/stikkrenner</t>
  </si>
  <si>
    <t>Avrenning før og etter turvei</t>
  </si>
  <si>
    <t>Rødt nedbørsfelt før turvei</t>
  </si>
  <si>
    <t>Rødt nedbørsfelt etter turvei</t>
  </si>
  <si>
    <t>Avrenning og kapasitetsberegning bekk</t>
  </si>
  <si>
    <t>kapasitet vannføring Q(rektangel)</t>
  </si>
  <si>
    <t>Avrenning mot grusvei innenfor delnedbørsfelt med rasjonell formel</t>
  </si>
  <si>
    <t>Trapes med skråvinkel 63 grader (2:1)</t>
  </si>
  <si>
    <t>Trapes med skråvinkel 33,7 grader (1:1,5)</t>
  </si>
  <si>
    <t>Trapes med skråvinkel 26,5 grader (1:2)</t>
  </si>
  <si>
    <t>Trapes 45 grader (1:1)</t>
  </si>
  <si>
    <t>Areal grøftetverrsnitt (trapes 63)</t>
  </si>
  <si>
    <t>Kapasitet vannføring Q</t>
  </si>
  <si>
    <t>Areal rektangel (0,1 *0,15)</t>
  </si>
  <si>
    <t>Areal grøftetverrsnitt rektangel (0,18*0,2)</t>
  </si>
  <si>
    <t>Stikkrenne 4</t>
  </si>
  <si>
    <t>Stikkrenne 5 fra kryss til bekk</t>
  </si>
  <si>
    <t>Overvannsledning 1 (Rør fra bekk til sluk ved vei)</t>
  </si>
  <si>
    <t>Stikkrenne 1-3</t>
  </si>
  <si>
    <t>Areal grøftetverrsnitt trapes (vannhøyde)</t>
  </si>
  <si>
    <t>Vannhøyde (83 l/s)</t>
  </si>
  <si>
    <t>http://www.haiex.no/index.php?id=174</t>
  </si>
  <si>
    <t>kapasitet vannføring Q(vannhøyde)</t>
  </si>
  <si>
    <t>https://www.va-blad.no/wp-content/uploads/2015/05/Blad-79-28.05.15.pdf</t>
  </si>
  <si>
    <t>http://www.initio.no/filer/pipelife/Dokumenter/6_1.pdf</t>
  </si>
  <si>
    <t xml:space="preserve">Areal grøftetverrsnitt trapes </t>
  </si>
  <si>
    <t>Vannkanal</t>
  </si>
  <si>
    <t>Rødt nedbørsfelt vann til bekk (vist med gult nedbørsfelt)</t>
  </si>
  <si>
    <t>Formler:</t>
  </si>
  <si>
    <t>Velger dim 136mm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</si>
</sst>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00"/>
    <numFmt numFmtId="167" formatCode="0.00000"/>
    <numFmt numFmtId="168" formatCode="0.0000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15">
    <xf numFmtId="0" fontId="0" fillId="0" borderId="0" xfId="0"/>
    <xf numFmtId="0" fontId="3" fillId="0" borderId="1" xfId="0" applyFont="1" applyBorder="1"/>
    <xf numFmtId="0" fontId="0" fillId="0" borderId="2" xfId="0" applyBorder="1"/>
    <xf numFmtId="0" fontId="0" fillId="0" borderId="3" xfId="0" applyBorder="1"/>
    <xf numFmtId="0" fontId="3" fillId="0" borderId="4" xfId="0" applyFont="1" applyBorder="1"/>
    <xf numFmtId="0" fontId="3" fillId="0" borderId="5" xfId="0" applyFont="1" applyBorder="1"/>
    <xf numFmtId="0" fontId="3" fillId="0" borderId="2" xfId="0" applyFont="1" applyBorder="1"/>
    <xf numFmtId="0" fontId="3" fillId="0" borderId="0" xfId="0" applyFont="1"/>
    <xf numFmtId="0" fontId="0" fillId="0" borderId="6" xfId="0" applyBorder="1"/>
    <xf numFmtId="0" fontId="3" fillId="0" borderId="7" xfId="0" applyFont="1" applyBorder="1"/>
    <xf numFmtId="0" fontId="4" fillId="0" borderId="7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5" xfId="0" applyBorder="1"/>
    <xf numFmtId="0" fontId="0" fillId="0" borderId="14" xfId="0" applyBorder="1"/>
    <xf numFmtId="0" fontId="5" fillId="0" borderId="0" xfId="0" applyFont="1"/>
    <xf numFmtId="0" fontId="0" fillId="0" borderId="15" xfId="0" applyBorder="1"/>
    <xf numFmtId="2" fontId="0" fillId="0" borderId="0" xfId="0" applyNumberFormat="1"/>
    <xf numFmtId="0" fontId="0" fillId="0" borderId="16" xfId="0" applyBorder="1"/>
    <xf numFmtId="0" fontId="1" fillId="0" borderId="0" xfId="0" applyFont="1"/>
    <xf numFmtId="0" fontId="0" fillId="2" borderId="4" xfId="0" applyFill="1" applyBorder="1"/>
    <xf numFmtId="0" fontId="0" fillId="2" borderId="17" xfId="0" applyFill="1" applyBorder="1"/>
    <xf numFmtId="0" fontId="0" fillId="0" borderId="1" xfId="0" applyBorder="1"/>
    <xf numFmtId="0" fontId="0" fillId="0" borderId="4" xfId="0" applyBorder="1"/>
    <xf numFmtId="0" fontId="0" fillId="0" borderId="17" xfId="0" applyBorder="1"/>
    <xf numFmtId="0" fontId="0" fillId="2" borderId="18" xfId="0" applyFill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164" fontId="0" fillId="2" borderId="18" xfId="0" applyNumberFormat="1" applyFill="1" applyBorder="1"/>
    <xf numFmtId="164" fontId="0" fillId="2" borderId="22" xfId="0" applyNumberFormat="1" applyFill="1" applyBorder="1"/>
    <xf numFmtId="0" fontId="0" fillId="2" borderId="22" xfId="0" applyFill="1" applyBorder="1"/>
    <xf numFmtId="2" fontId="0" fillId="2" borderId="1" xfId="0" applyNumberFormat="1" applyFill="1" applyBorder="1"/>
    <xf numFmtId="0" fontId="0" fillId="0" borderId="23" xfId="0" applyBorder="1"/>
    <xf numFmtId="1" fontId="0" fillId="0" borderId="24" xfId="0" applyNumberFormat="1" applyBorder="1"/>
    <xf numFmtId="0" fontId="0" fillId="0" borderId="24" xfId="0" applyBorder="1"/>
    <xf numFmtId="0" fontId="0" fillId="0" borderId="25" xfId="0" applyBorder="1"/>
    <xf numFmtId="164" fontId="0" fillId="2" borderId="12" xfId="0" applyNumberFormat="1" applyFill="1" applyBorder="1"/>
    <xf numFmtId="2" fontId="0" fillId="2" borderId="13" xfId="0" applyNumberFormat="1" applyFill="1" applyBorder="1"/>
    <xf numFmtId="2" fontId="0" fillId="2" borderId="16" xfId="0" applyNumberFormat="1" applyFill="1" applyBorder="1"/>
    <xf numFmtId="1" fontId="6" fillId="3" borderId="12" xfId="0" applyNumberFormat="1" applyFont="1" applyFill="1" applyBorder="1"/>
    <xf numFmtId="2" fontId="0" fillId="0" borderId="13" xfId="0" applyNumberFormat="1" applyBorder="1"/>
    <xf numFmtId="164" fontId="0" fillId="0" borderId="13" xfId="0" applyNumberFormat="1" applyBorder="1"/>
    <xf numFmtId="0" fontId="0" fillId="0" borderId="18" xfId="0" applyBorder="1"/>
    <xf numFmtId="164" fontId="0" fillId="0" borderId="18" xfId="0" applyNumberFormat="1" applyBorder="1"/>
    <xf numFmtId="164" fontId="0" fillId="0" borderId="22" xfId="0" applyNumberFormat="1" applyBorder="1"/>
    <xf numFmtId="0" fontId="0" fillId="0" borderId="22" xfId="0" applyBorder="1"/>
    <xf numFmtId="2" fontId="0" fillId="0" borderId="1" xfId="0" applyNumberFormat="1" applyBorder="1"/>
    <xf numFmtId="164" fontId="0" fillId="0" borderId="12" xfId="0" applyNumberFormat="1" applyBorder="1"/>
    <xf numFmtId="2" fontId="0" fillId="0" borderId="16" xfId="0" applyNumberFormat="1" applyBorder="1"/>
    <xf numFmtId="1" fontId="0" fillId="3" borderId="12" xfId="0" applyNumberFormat="1" applyFill="1" applyBorder="1"/>
    <xf numFmtId="0" fontId="0" fillId="0" borderId="26" xfId="0" applyBorder="1"/>
    <xf numFmtId="1" fontId="0" fillId="3" borderId="27" xfId="0" applyNumberFormat="1" applyFill="1" applyBorder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7" fillId="0" borderId="0" xfId="0" applyFont="1"/>
    <xf numFmtId="0" fontId="8" fillId="0" borderId="5" xfId="0" applyFont="1" applyBorder="1"/>
    <xf numFmtId="0" fontId="8" fillId="0" borderId="3" xfId="0" applyFont="1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1" fontId="0" fillId="3" borderId="13" xfId="0" applyNumberFormat="1" applyFill="1" applyBorder="1"/>
    <xf numFmtId="2" fontId="0" fillId="0" borderId="32" xfId="0" applyNumberFormat="1" applyBorder="1"/>
    <xf numFmtId="164" fontId="0" fillId="0" borderId="15" xfId="0" applyNumberFormat="1" applyBorder="1"/>
    <xf numFmtId="164" fontId="0" fillId="0" borderId="32" xfId="0" applyNumberFormat="1" applyBorder="1"/>
    <xf numFmtId="0" fontId="0" fillId="0" borderId="35" xfId="0" applyBorder="1"/>
    <xf numFmtId="1" fontId="0" fillId="3" borderId="17" xfId="0" applyNumberFormat="1" applyFill="1" applyBorder="1"/>
    <xf numFmtId="165" fontId="0" fillId="0" borderId="16" xfId="0" applyNumberFormat="1" applyBorder="1"/>
    <xf numFmtId="165" fontId="0" fillId="0" borderId="13" xfId="0" applyNumberFormat="1" applyBorder="1"/>
    <xf numFmtId="0" fontId="0" fillId="0" borderId="7" xfId="0" applyBorder="1"/>
    <xf numFmtId="0" fontId="0" fillId="0" borderId="8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2" fontId="0" fillId="0" borderId="38" xfId="0" applyNumberFormat="1" applyBorder="1"/>
    <xf numFmtId="0" fontId="0" fillId="0" borderId="27" xfId="0" applyBorder="1"/>
    <xf numFmtId="165" fontId="0" fillId="0" borderId="18" xfId="0" applyNumberFormat="1" applyBorder="1"/>
    <xf numFmtId="165" fontId="0" fillId="0" borderId="32" xfId="0" applyNumberFormat="1" applyBorder="1"/>
    <xf numFmtId="0" fontId="0" fillId="0" borderId="39" xfId="0" applyBorder="1"/>
    <xf numFmtId="164" fontId="0" fillId="0" borderId="40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0" fillId="0" borderId="18" xfId="0" applyNumberFormat="1" applyBorder="1"/>
    <xf numFmtId="165" fontId="0" fillId="0" borderId="38" xfId="0" applyNumberFormat="1" applyBorder="1"/>
    <xf numFmtId="2" fontId="0" fillId="0" borderId="11" xfId="0" applyNumberFormat="1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2" fontId="0" fillId="0" borderId="15" xfId="0" applyNumberFormat="1" applyBorder="1"/>
    <xf numFmtId="2" fontId="0" fillId="0" borderId="28" xfId="0" applyNumberFormat="1" applyBorder="1"/>
    <xf numFmtId="2" fontId="0" fillId="0" borderId="31" xfId="0" applyNumberFormat="1" applyBorder="1"/>
    <xf numFmtId="165" fontId="0" fillId="0" borderId="12" xfId="0" applyNumberFormat="1" applyBorder="1"/>
    <xf numFmtId="2" fontId="0" fillId="0" borderId="12" xfId="0" applyNumberFormat="1" applyBorder="1"/>
    <xf numFmtId="1" fontId="0" fillId="3" borderId="23" xfId="0" applyNumberFormat="1" applyFill="1" applyBorder="1"/>
    <xf numFmtId="2" fontId="0" fillId="0" borderId="24" xfId="0" applyNumberFormat="1" applyBorder="1"/>
    <xf numFmtId="165" fontId="0" fillId="0" borderId="24" xfId="0" applyNumberFormat="1" applyBorder="1"/>
    <xf numFmtId="165" fontId="0" fillId="0" borderId="35" xfId="0" applyNumberFormat="1" applyBorder="1"/>
    <xf numFmtId="2" fontId="0" fillId="0" borderId="35" xfId="0" applyNumberFormat="1" applyBorder="1"/>
    <xf numFmtId="1" fontId="0" fillId="3" borderId="8" xfId="0" applyNumberFormat="1" applyFill="1" applyBorder="1"/>
    <xf numFmtId="164" fontId="0" fillId="0" borderId="30" xfId="0" applyNumberFormat="1" applyBorder="1"/>
    <xf numFmtId="165" fontId="0" fillId="0" borderId="11" xfId="0" applyNumberFormat="1" applyBorder="1"/>
    <xf numFmtId="0" fontId="0" fillId="0" borderId="47" xfId="0" applyBorder="1"/>
    <xf numFmtId="165" fontId="0" fillId="0" borderId="14" xfId="0" applyNumberFormat="1" applyBorder="1"/>
    <xf numFmtId="164" fontId="0" fillId="0" borderId="0" xfId="0" applyNumberFormat="1" applyBorder="1"/>
    <xf numFmtId="1" fontId="0" fillId="0" borderId="15" xfId="0" applyNumberFormat="1" applyBorder="1"/>
    <xf numFmtId="165" fontId="0" fillId="0" borderId="15" xfId="0" applyNumberFormat="1" applyBorder="1"/>
    <xf numFmtId="168" fontId="0" fillId="0" borderId="15" xfId="0" applyNumberFormat="1" applyBorder="1"/>
    <xf numFmtId="1" fontId="0" fillId="0" borderId="0" xfId="0" applyNumberFormat="1" applyBorder="1"/>
    <xf numFmtId="0" fontId="0" fillId="0" borderId="0" xfId="0" applyBorder="1"/>
    <xf numFmtId="2" fontId="0" fillId="0" borderId="0" xfId="0" applyNumberFormat="1" applyBorder="1"/>
    <xf numFmtId="167" fontId="0" fillId="0" borderId="0" xfId="0" applyNumberFormat="1" applyBorder="1"/>
    <xf numFmtId="0" fontId="0" fillId="0" borderId="14" xfId="0" applyFill="1" applyBorder="1"/>
    <xf numFmtId="164" fontId="0" fillId="0" borderId="16" xfId="0" applyNumberFormat="1" applyBorder="1"/>
    <xf numFmtId="167" fontId="0" fillId="0" borderId="15" xfId="0" applyNumberFormat="1" applyBorder="1"/>
    <xf numFmtId="1" fontId="0" fillId="0" borderId="0" xfId="0" applyNumberFormat="1" applyFill="1" applyBorder="1"/>
    <xf numFmtId="2" fontId="0" fillId="0" borderId="14" xfId="0" applyNumberFormat="1" applyBorder="1"/>
    <xf numFmtId="166" fontId="0" fillId="0" borderId="37" xfId="0" applyNumberFormat="1" applyBorder="1"/>
    <xf numFmtId="2" fontId="0" fillId="0" borderId="37" xfId="0" applyNumberFormat="1" applyBorder="1"/>
    <xf numFmtId="0" fontId="0" fillId="0" borderId="37" xfId="0" applyFill="1" applyBorder="1"/>
    <xf numFmtId="165" fontId="0" fillId="0" borderId="27" xfId="0" applyNumberFormat="1" applyBorder="1"/>
    <xf numFmtId="0" fontId="0" fillId="4" borderId="1" xfId="0" applyFill="1" applyBorder="1"/>
    <xf numFmtId="0" fontId="0" fillId="4" borderId="4" xfId="0" applyFill="1" applyBorder="1"/>
    <xf numFmtId="0" fontId="0" fillId="4" borderId="17" xfId="0" applyFill="1" applyBorder="1"/>
    <xf numFmtId="0" fontId="0" fillId="5" borderId="1" xfId="0" applyFill="1" applyBorder="1"/>
    <xf numFmtId="0" fontId="0" fillId="5" borderId="4" xfId="0" applyFill="1" applyBorder="1"/>
    <xf numFmtId="0" fontId="0" fillId="5" borderId="17" xfId="0" applyFill="1" applyBorder="1"/>
    <xf numFmtId="0" fontId="0" fillId="6" borderId="1" xfId="0" applyFill="1" applyBorder="1"/>
    <xf numFmtId="0" fontId="0" fillId="6" borderId="4" xfId="0" applyFill="1" applyBorder="1"/>
    <xf numFmtId="0" fontId="0" fillId="6" borderId="17" xfId="0" applyFill="1" applyBorder="1"/>
    <xf numFmtId="0" fontId="0" fillId="7" borderId="1" xfId="0" applyFill="1" applyBorder="1"/>
    <xf numFmtId="0" fontId="0" fillId="7" borderId="4" xfId="0" applyFill="1" applyBorder="1"/>
    <xf numFmtId="0" fontId="0" fillId="7" borderId="17" xfId="0" applyFill="1" applyBorder="1"/>
    <xf numFmtId="0" fontId="0" fillId="8" borderId="1" xfId="0" applyFill="1" applyBorder="1"/>
    <xf numFmtId="0" fontId="0" fillId="8" borderId="4" xfId="0" applyFill="1" applyBorder="1"/>
    <xf numFmtId="0" fontId="0" fillId="8" borderId="17" xfId="0" applyFill="1" applyBorder="1"/>
    <xf numFmtId="0" fontId="0" fillId="9" borderId="1" xfId="0" applyFill="1" applyBorder="1"/>
    <xf numFmtId="0" fontId="0" fillId="9" borderId="4" xfId="0" applyFill="1" applyBorder="1"/>
    <xf numFmtId="0" fontId="0" fillId="9" borderId="17" xfId="0" applyFill="1" applyBorder="1"/>
    <xf numFmtId="0" fontId="4" fillId="4" borderId="5" xfId="0" applyFont="1" applyFill="1" applyBorder="1"/>
    <xf numFmtId="0" fontId="0" fillId="4" borderId="3" xfId="0" applyFill="1" applyBorder="1"/>
    <xf numFmtId="0" fontId="4" fillId="6" borderId="5" xfId="0" applyFont="1" applyFill="1" applyBorder="1"/>
    <xf numFmtId="0" fontId="0" fillId="6" borderId="3" xfId="0" applyFill="1" applyBorder="1"/>
    <xf numFmtId="0" fontId="4" fillId="7" borderId="5" xfId="0" applyFont="1" applyFill="1" applyBorder="1"/>
    <xf numFmtId="0" fontId="0" fillId="7" borderId="3" xfId="0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0" fillId="9" borderId="3" xfId="0" applyFill="1" applyBorder="1"/>
    <xf numFmtId="0" fontId="4" fillId="8" borderId="5" xfId="0" applyFont="1" applyFill="1" applyBorder="1"/>
    <xf numFmtId="0" fontId="4" fillId="8" borderId="2" xfId="0" applyFont="1" applyFill="1" applyBorder="1"/>
    <xf numFmtId="0" fontId="0" fillId="8" borderId="3" xfId="0" applyFill="1" applyBorder="1"/>
    <xf numFmtId="0" fontId="0" fillId="7" borderId="5" xfId="0" applyFill="1" applyBorder="1"/>
    <xf numFmtId="0" fontId="0" fillId="7" borderId="2" xfId="0" applyFill="1" applyBorder="1"/>
    <xf numFmtId="0" fontId="2" fillId="7" borderId="2" xfId="0" applyFont="1" applyFill="1" applyBorder="1"/>
    <xf numFmtId="0" fontId="2" fillId="8" borderId="17" xfId="0" applyFont="1" applyFill="1" applyBorder="1"/>
    <xf numFmtId="0" fontId="0" fillId="10" borderId="1" xfId="0" applyFill="1" applyBorder="1"/>
    <xf numFmtId="0" fontId="0" fillId="10" borderId="4" xfId="0" applyFill="1" applyBorder="1"/>
    <xf numFmtId="0" fontId="2" fillId="10" borderId="17" xfId="0" applyFont="1" applyFill="1" applyBorder="1"/>
    <xf numFmtId="0" fontId="2" fillId="4" borderId="4" xfId="0" applyFont="1" applyFill="1" applyBorder="1"/>
    <xf numFmtId="0" fontId="2" fillId="6" borderId="4" xfId="0" applyFont="1" applyFill="1" applyBorder="1"/>
    <xf numFmtId="0" fontId="4" fillId="11" borderId="1" xfId="0" applyFont="1" applyFill="1" applyBorder="1"/>
    <xf numFmtId="0" fontId="0" fillId="11" borderId="4" xfId="0" applyFill="1" applyBorder="1"/>
    <xf numFmtId="0" fontId="0" fillId="11" borderId="17" xfId="0" applyFill="1" applyBorder="1"/>
    <xf numFmtId="164" fontId="0" fillId="0" borderId="37" xfId="0" applyNumberFormat="1" applyBorder="1"/>
    <xf numFmtId="0" fontId="0" fillId="0" borderId="49" xfId="0" applyFill="1" applyBorder="1"/>
    <xf numFmtId="0" fontId="8" fillId="0" borderId="0" xfId="0" applyFont="1" applyBorder="1"/>
    <xf numFmtId="1" fontId="0" fillId="3" borderId="0" xfId="0" applyNumberFormat="1" applyFill="1" applyBorder="1"/>
    <xf numFmtId="0" fontId="0" fillId="11" borderId="5" xfId="0" applyFill="1" applyBorder="1"/>
    <xf numFmtId="0" fontId="0" fillId="11" borderId="2" xfId="0" applyFill="1" applyBorder="1"/>
    <xf numFmtId="0" fontId="0" fillId="11" borderId="3" xfId="0" applyFill="1" applyBorder="1"/>
    <xf numFmtId="0" fontId="9" fillId="12" borderId="5" xfId="0" applyFont="1" applyFill="1" applyBorder="1"/>
    <xf numFmtId="0" fontId="0" fillId="12" borderId="3" xfId="0" applyFill="1" applyBorder="1"/>
    <xf numFmtId="0" fontId="4" fillId="12" borderId="5" xfId="0" applyFont="1" applyFill="1" applyBorder="1"/>
    <xf numFmtId="0" fontId="10" fillId="12" borderId="5" xfId="0" applyFont="1" applyFill="1" applyBorder="1"/>
    <xf numFmtId="0" fontId="0" fillId="12" borderId="2" xfId="0" applyFill="1" applyBorder="1"/>
    <xf numFmtId="164" fontId="0" fillId="0" borderId="25" xfId="0" applyNumberFormat="1" applyBorder="1"/>
    <xf numFmtId="0" fontId="8" fillId="12" borderId="5" xfId="0" applyFont="1" applyFill="1" applyBorder="1"/>
    <xf numFmtId="0" fontId="8" fillId="12" borderId="2" xfId="0" applyFont="1" applyFill="1" applyBorder="1"/>
    <xf numFmtId="0" fontId="8" fillId="12" borderId="3" xfId="0" applyFont="1" applyFill="1" applyBorder="1"/>
    <xf numFmtId="0" fontId="11" fillId="0" borderId="0" xfId="1"/>
    <xf numFmtId="0" fontId="0" fillId="0" borderId="48" xfId="0" applyBorder="1"/>
    <xf numFmtId="0" fontId="0" fillId="0" borderId="12" xfId="0" applyFill="1" applyBorder="1"/>
    <xf numFmtId="1" fontId="0" fillId="3" borderId="16" xfId="0" applyNumberFormat="1" applyFill="1" applyBorder="1"/>
    <xf numFmtId="0" fontId="7" fillId="11" borderId="5" xfId="0" applyFont="1" applyFill="1" applyBorder="1"/>
    <xf numFmtId="0" fontId="3" fillId="11" borderId="3" xfId="0" applyFont="1" applyFill="1" applyBorder="1"/>
    <xf numFmtId="1" fontId="0" fillId="0" borderId="16" xfId="0" applyNumberFormat="1" applyBorder="1"/>
    <xf numFmtId="0" fontId="2" fillId="11" borderId="2" xfId="0" applyFont="1" applyFill="1" applyBorder="1"/>
    <xf numFmtId="0" fontId="0" fillId="0" borderId="48" xfId="0" applyFill="1" applyBorder="1"/>
    <xf numFmtId="0" fontId="8" fillId="0" borderId="0" xfId="0" applyFont="1" applyFill="1" applyBorder="1"/>
    <xf numFmtId="1" fontId="0" fillId="0" borderId="17" xfId="0" applyNumberFormat="1" applyBorder="1"/>
    <xf numFmtId="0" fontId="0" fillId="2" borderId="14" xfId="0" applyFill="1" applyBorder="1"/>
    <xf numFmtId="0" fontId="0" fillId="2" borderId="15" xfId="0" applyFill="1" applyBorder="1"/>
    <xf numFmtId="1" fontId="0" fillId="2" borderId="15" xfId="0" applyNumberFormat="1" applyFill="1" applyBorder="1"/>
    <xf numFmtId="0" fontId="0" fillId="2" borderId="12" xfId="0" applyFill="1" applyBorder="1"/>
    <xf numFmtId="165" fontId="0" fillId="2" borderId="16" xfId="0" applyNumberFormat="1" applyFill="1" applyBorder="1"/>
    <xf numFmtId="0" fontId="7" fillId="13" borderId="5" xfId="0" applyFont="1" applyFill="1" applyBorder="1"/>
    <xf numFmtId="0" fontId="7" fillId="13" borderId="3" xfId="0" applyFont="1" applyFill="1" applyBorder="1"/>
    <xf numFmtId="0" fontId="4" fillId="13" borderId="5" xfId="0" applyFont="1" applyFill="1" applyBorder="1"/>
    <xf numFmtId="0" fontId="4" fillId="13" borderId="2" xfId="0" applyFont="1" applyFill="1" applyBorder="1"/>
    <xf numFmtId="0" fontId="4" fillId="13" borderId="3" xfId="0" applyFont="1" applyFill="1" applyBorder="1"/>
    <xf numFmtId="0" fontId="4" fillId="13" borderId="1" xfId="0" applyFont="1" applyFill="1" applyBorder="1"/>
    <xf numFmtId="0" fontId="0" fillId="13" borderId="4" xfId="0" applyFill="1" applyBorder="1"/>
    <xf numFmtId="0" fontId="0" fillId="13" borderId="17" xfId="0" applyFill="1" applyBorder="1"/>
    <xf numFmtId="0" fontId="4" fillId="13" borderId="4" xfId="0" applyFont="1" applyFill="1" applyBorder="1"/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FFCCFF"/>
      <color rgb="FFCC00CC"/>
      <color rgb="FFCC00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tm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tmp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tmp"/><Relationship Id="rId5" Type="http://schemas.openxmlformats.org/officeDocument/2006/relationships/image" Target="../media/image5.tmp"/><Relationship Id="rId15" Type="http://schemas.openxmlformats.org/officeDocument/2006/relationships/image" Target="../media/image15.png"/><Relationship Id="rId10" Type="http://schemas.openxmlformats.org/officeDocument/2006/relationships/image" Target="../media/image10.tmp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34</xdr:row>
      <xdr:rowOff>7620</xdr:rowOff>
    </xdr:from>
    <xdr:to>
      <xdr:col>3</xdr:col>
      <xdr:colOff>571500</xdr:colOff>
      <xdr:row>53</xdr:row>
      <xdr:rowOff>90170</xdr:rowOff>
    </xdr:to>
    <xdr:pic>
      <xdr:nvPicPr>
        <xdr:cNvPr id="4" name="Bilde 3" descr="Et bilde som inneholder tekst, kart&#10;&#10;Automatisk generert beskrivelse">
          <a:extLst>
            <a:ext uri="{FF2B5EF4-FFF2-40B4-BE49-F238E27FC236}">
              <a16:creationId xmlns:a16="http://schemas.microsoft.com/office/drawing/2014/main" id="{45473288-577C-4493-83F4-4589CF2EB38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6705600"/>
          <a:ext cx="5760720" cy="3557270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4</xdr:col>
      <xdr:colOff>22860</xdr:colOff>
      <xdr:row>33</xdr:row>
      <xdr:rowOff>175260</xdr:rowOff>
    </xdr:from>
    <xdr:to>
      <xdr:col>7</xdr:col>
      <xdr:colOff>899160</xdr:colOff>
      <xdr:row>53</xdr:row>
      <xdr:rowOff>118745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6264A91-00AF-4334-92CA-88D7345B97BE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6960" y="6690360"/>
          <a:ext cx="5562600" cy="3601085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</xdr:col>
      <xdr:colOff>1348740</xdr:colOff>
      <xdr:row>12</xdr:row>
      <xdr:rowOff>35932</xdr:rowOff>
    </xdr:from>
    <xdr:to>
      <xdr:col>4</xdr:col>
      <xdr:colOff>289560</xdr:colOff>
      <xdr:row>32</xdr:row>
      <xdr:rowOff>152895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2A5A156-37C5-4A83-B195-80FA5090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710552"/>
          <a:ext cx="3627120" cy="377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12</xdr:row>
      <xdr:rowOff>33505</xdr:rowOff>
    </xdr:from>
    <xdr:to>
      <xdr:col>1</xdr:col>
      <xdr:colOff>1257300</xdr:colOff>
      <xdr:row>32</xdr:row>
      <xdr:rowOff>128028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9464389F-7BD9-4BFD-9000-5B74A2125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708125"/>
          <a:ext cx="3695700" cy="375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</xdr:colOff>
      <xdr:row>222</xdr:row>
      <xdr:rowOff>30480</xdr:rowOff>
    </xdr:from>
    <xdr:to>
      <xdr:col>7</xdr:col>
      <xdr:colOff>396240</xdr:colOff>
      <xdr:row>236</xdr:row>
      <xdr:rowOff>15240</xdr:rowOff>
    </xdr:to>
    <xdr:pic>
      <xdr:nvPicPr>
        <xdr:cNvPr id="9" name="Bilde 8" descr="Et bilde som inneholder tekst, kart&#10;&#10;Automatisk generert beskrivelse">
          <a:extLst>
            <a:ext uri="{FF2B5EF4-FFF2-40B4-BE49-F238E27FC236}">
              <a16:creationId xmlns:a16="http://schemas.microsoft.com/office/drawing/2014/main" id="{81662681-7A91-4C20-8797-8867F3FFC0DE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7620" y="37619940"/>
          <a:ext cx="3322320" cy="272034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4</xdr:col>
      <xdr:colOff>1028700</xdr:colOff>
      <xdr:row>2</xdr:row>
      <xdr:rowOff>213360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91E2853C-77E7-4942-A722-A21AF3E13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548640"/>
          <a:ext cx="1028700" cy="213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121920</xdr:colOff>
      <xdr:row>58</xdr:row>
      <xdr:rowOff>0</xdr:rowOff>
    </xdr:from>
    <xdr:to>
      <xdr:col>7</xdr:col>
      <xdr:colOff>899160</xdr:colOff>
      <xdr:row>59</xdr:row>
      <xdr:rowOff>15240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8D4536DC-4D6A-4685-AF0E-790CE137E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8320" y="1109472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69</xdr:row>
      <xdr:rowOff>0</xdr:rowOff>
    </xdr:from>
    <xdr:to>
      <xdr:col>7</xdr:col>
      <xdr:colOff>777240</xdr:colOff>
      <xdr:row>70</xdr:row>
      <xdr:rowOff>15240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DDB23A9B-F1F9-4A93-B8BF-5C6154D45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314450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83</xdr:row>
      <xdr:rowOff>0</xdr:rowOff>
    </xdr:from>
    <xdr:to>
      <xdr:col>7</xdr:col>
      <xdr:colOff>777240</xdr:colOff>
      <xdr:row>84</xdr:row>
      <xdr:rowOff>15240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AD39339B-CF34-4931-9C90-D41A0D0A7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574292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93</xdr:row>
      <xdr:rowOff>0</xdr:rowOff>
    </xdr:from>
    <xdr:to>
      <xdr:col>7</xdr:col>
      <xdr:colOff>777240</xdr:colOff>
      <xdr:row>94</xdr:row>
      <xdr:rowOff>15240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F2F7224A-F33C-4FE9-82F8-DD5FEE1F9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760982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103</xdr:row>
      <xdr:rowOff>0</xdr:rowOff>
    </xdr:from>
    <xdr:to>
      <xdr:col>7</xdr:col>
      <xdr:colOff>777240</xdr:colOff>
      <xdr:row>104</xdr:row>
      <xdr:rowOff>15240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DF1259E0-8218-4D0C-8AE8-951A4B24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9476720"/>
          <a:ext cx="203454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1828800</xdr:colOff>
      <xdr:row>115</xdr:row>
      <xdr:rowOff>175260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51500189-A042-497B-9819-2484C9594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91320"/>
          <a:ext cx="182880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1173480</xdr:colOff>
      <xdr:row>116</xdr:row>
      <xdr:rowOff>7620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6EDE79AA-FCBF-4703-B838-26F7DAE8B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980" y="21991320"/>
          <a:ext cx="117348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308</xdr:row>
      <xdr:rowOff>121920</xdr:rowOff>
    </xdr:from>
    <xdr:to>
      <xdr:col>3</xdr:col>
      <xdr:colOff>1471242</xdr:colOff>
      <xdr:row>324</xdr:row>
      <xdr:rowOff>7864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EB2E1D-2A3F-4720-91D1-6E75EB17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58910220"/>
          <a:ext cx="6721422" cy="2812024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324</xdr:row>
      <xdr:rowOff>144780</xdr:rowOff>
    </xdr:from>
    <xdr:to>
      <xdr:col>3</xdr:col>
      <xdr:colOff>1478860</xdr:colOff>
      <xdr:row>327</xdr:row>
      <xdr:rowOff>53380</xdr:rowOff>
    </xdr:to>
    <xdr:pic>
      <xdr:nvPicPr>
        <xdr:cNvPr id="20" name="Bilde 19">
          <a:extLst>
            <a:ext uri="{FF2B5EF4-FFF2-40B4-BE49-F238E27FC236}">
              <a16:creationId xmlns:a16="http://schemas.microsoft.com/office/drawing/2014/main" id="{CF21D26B-32BE-45B2-A2EB-5C0C13209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859160"/>
          <a:ext cx="6690940" cy="45724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285</xdr:row>
      <xdr:rowOff>30480</xdr:rowOff>
    </xdr:from>
    <xdr:to>
      <xdr:col>10</xdr:col>
      <xdr:colOff>198667</xdr:colOff>
      <xdr:row>304</xdr:row>
      <xdr:rowOff>76510</xdr:rowOff>
    </xdr:to>
    <xdr:pic>
      <xdr:nvPicPr>
        <xdr:cNvPr id="22" name="Bilde 21">
          <a:extLst>
            <a:ext uri="{FF2B5EF4-FFF2-40B4-BE49-F238E27FC236}">
              <a16:creationId xmlns:a16="http://schemas.microsoft.com/office/drawing/2014/main" id="{AE54D700-D2AA-42C8-935E-9B1CFB8B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220" y="54574440"/>
          <a:ext cx="6317527" cy="357409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330</xdr:row>
      <xdr:rowOff>45720</xdr:rowOff>
    </xdr:from>
    <xdr:to>
      <xdr:col>3</xdr:col>
      <xdr:colOff>8070</xdr:colOff>
      <xdr:row>369</xdr:row>
      <xdr:rowOff>92062</xdr:rowOff>
    </xdr:to>
    <xdr:pic>
      <xdr:nvPicPr>
        <xdr:cNvPr id="24" name="Bilde 23">
          <a:extLst>
            <a:ext uri="{FF2B5EF4-FFF2-40B4-BE49-F238E27FC236}">
              <a16:creationId xmlns:a16="http://schemas.microsoft.com/office/drawing/2014/main" id="{940F1E0C-4CDC-4EFF-97D1-8A821DC4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2857380"/>
          <a:ext cx="5197290" cy="7178662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330</xdr:row>
      <xdr:rowOff>45720</xdr:rowOff>
    </xdr:from>
    <xdr:to>
      <xdr:col>5</xdr:col>
      <xdr:colOff>1737810</xdr:colOff>
      <xdr:row>369</xdr:row>
      <xdr:rowOff>8235</xdr:rowOff>
    </xdr:to>
    <xdr:pic>
      <xdr:nvPicPr>
        <xdr:cNvPr id="26" name="Bilde 25">
          <a:extLst>
            <a:ext uri="{FF2B5EF4-FFF2-40B4-BE49-F238E27FC236}">
              <a16:creationId xmlns:a16="http://schemas.microsoft.com/office/drawing/2014/main" id="{87035603-4EBB-4A6A-A7AA-9196CC8C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62857380"/>
          <a:ext cx="5197290" cy="7094835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256</xdr:row>
      <xdr:rowOff>205740</xdr:rowOff>
    </xdr:from>
    <xdr:to>
      <xdr:col>0</xdr:col>
      <xdr:colOff>1234440</xdr:colOff>
      <xdr:row>259</xdr:row>
      <xdr:rowOff>99060</xdr:rowOff>
    </xdr:to>
    <xdr:pic>
      <xdr:nvPicPr>
        <xdr:cNvPr id="27" name="Bilde 26">
          <a:extLst>
            <a:ext uri="{FF2B5EF4-FFF2-40B4-BE49-F238E27FC236}">
              <a16:creationId xmlns:a16="http://schemas.microsoft.com/office/drawing/2014/main" id="{6AEF9B19-D642-4259-AD93-682335E34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0116740"/>
          <a:ext cx="110490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1706880</xdr:colOff>
      <xdr:row>257</xdr:row>
      <xdr:rowOff>76200</xdr:rowOff>
    </xdr:from>
    <xdr:to>
      <xdr:col>1</xdr:col>
      <xdr:colOff>236220</xdr:colOff>
      <xdr:row>259</xdr:row>
      <xdr:rowOff>76200</xdr:rowOff>
    </xdr:to>
    <xdr:pic>
      <xdr:nvPicPr>
        <xdr:cNvPr id="28" name="Bilde 27">
          <a:extLst>
            <a:ext uri="{FF2B5EF4-FFF2-40B4-BE49-F238E27FC236}">
              <a16:creationId xmlns:a16="http://schemas.microsoft.com/office/drawing/2014/main" id="{A42BE592-34F1-4143-BB3E-1FB4091DD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" y="50200560"/>
          <a:ext cx="1036320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144780</xdr:colOff>
      <xdr:row>307</xdr:row>
      <xdr:rowOff>167640</xdr:rowOff>
    </xdr:from>
    <xdr:to>
      <xdr:col>13</xdr:col>
      <xdr:colOff>106942</xdr:colOff>
      <xdr:row>334</xdr:row>
      <xdr:rowOff>27046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EA740082-DB7B-4BB7-BBE8-E99D7CDF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67060" y="59115960"/>
          <a:ext cx="7627882" cy="4804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itio.no/filer/pipelife/Dokumenter/6_1.pdf" TargetMode="External"/><Relationship Id="rId2" Type="http://schemas.openxmlformats.org/officeDocument/2006/relationships/hyperlink" Target="https://www.va-blad.no/wp-content/uploads/2015/05/Blad-79-28.05.15.pdf" TargetMode="External"/><Relationship Id="rId1" Type="http://schemas.openxmlformats.org/officeDocument/2006/relationships/hyperlink" Target="http://www.haiex.no/index.php?id=174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71"/>
  <sheetViews>
    <sheetView tabSelected="1" topLeftCell="A286" workbookViewId="0">
      <selection activeCell="D301" sqref="D301"/>
    </sheetView>
  </sheetViews>
  <sheetFormatPr baseColWidth="10" defaultRowHeight="14.4" x14ac:dyDescent="0.3"/>
  <cols>
    <col min="1" max="1" width="36.5546875" customWidth="1"/>
    <col min="2" max="2" width="22" customWidth="1"/>
    <col min="3" max="3" width="19.33203125" customWidth="1"/>
    <col min="4" max="4" width="27" customWidth="1"/>
    <col min="5" max="5" width="24.44140625" customWidth="1"/>
    <col min="6" max="6" width="25.5546875" customWidth="1"/>
    <col min="7" max="7" width="18.33203125" customWidth="1"/>
    <col min="8" max="8" width="13.21875" customWidth="1"/>
    <col min="9" max="9" width="16.21875" customWidth="1"/>
    <col min="10" max="10" width="18.6640625" customWidth="1"/>
    <col min="11" max="11" width="13.5546875" customWidth="1"/>
    <col min="12" max="13" width="15.88671875" customWidth="1"/>
    <col min="14" max="14" width="18.77734375" customWidth="1"/>
  </cols>
  <sheetData>
    <row r="1" spans="1:8" ht="21.6" thickBot="1" x14ac:dyDescent="0.45">
      <c r="D1" s="1" t="s">
        <v>175</v>
      </c>
      <c r="E1" s="2"/>
      <c r="F1" s="2"/>
      <c r="G1" s="2"/>
      <c r="H1" s="3"/>
    </row>
    <row r="2" spans="1:8" ht="21.6" thickBot="1" x14ac:dyDescent="0.45">
      <c r="D2" s="4"/>
    </row>
    <row r="3" spans="1:8" ht="21.6" thickBot="1" x14ac:dyDescent="0.45">
      <c r="A3" s="5" t="s">
        <v>181</v>
      </c>
      <c r="B3" s="6"/>
      <c r="C3" s="6"/>
      <c r="D3" s="6"/>
      <c r="E3" s="3"/>
      <c r="F3" s="120"/>
    </row>
    <row r="4" spans="1:8" ht="21.6" thickBot="1" x14ac:dyDescent="0.45">
      <c r="A4" s="7"/>
      <c r="B4" s="7"/>
      <c r="C4" s="7"/>
      <c r="D4" s="7"/>
    </row>
    <row r="5" spans="1:8" ht="21" x14ac:dyDescent="0.4">
      <c r="A5" s="8" t="s">
        <v>0</v>
      </c>
      <c r="B5" s="9">
        <v>1</v>
      </c>
      <c r="C5" s="9">
        <v>2</v>
      </c>
      <c r="D5" s="9">
        <v>3</v>
      </c>
      <c r="E5" s="10" t="s">
        <v>1</v>
      </c>
      <c r="F5" s="11" t="s">
        <v>2</v>
      </c>
    </row>
    <row r="6" spans="1:8" ht="15" thickBot="1" x14ac:dyDescent="0.35">
      <c r="A6" s="12"/>
      <c r="B6" s="13">
        <v>108</v>
      </c>
      <c r="C6" s="13">
        <v>58</v>
      </c>
      <c r="D6" s="13">
        <v>15</v>
      </c>
      <c r="E6" s="13">
        <v>96</v>
      </c>
      <c r="F6" s="14">
        <v>105</v>
      </c>
    </row>
    <row r="7" spans="1:8" ht="15" thickBot="1" x14ac:dyDescent="0.35">
      <c r="A7" s="15"/>
      <c r="B7" s="16"/>
      <c r="C7" s="16"/>
      <c r="D7" s="16"/>
      <c r="E7" s="16"/>
      <c r="F7" s="16"/>
    </row>
    <row r="8" spans="1:8" ht="15" thickBot="1" x14ac:dyDescent="0.35">
      <c r="A8" s="17"/>
      <c r="B8" s="2" t="s">
        <v>3</v>
      </c>
      <c r="C8" s="2"/>
      <c r="D8" s="2"/>
      <c r="E8" s="2"/>
      <c r="F8" s="2"/>
      <c r="G8" s="2"/>
      <c r="H8" s="3"/>
    </row>
    <row r="9" spans="1:8" x14ac:dyDescent="0.3">
      <c r="A9" s="18" t="s">
        <v>4</v>
      </c>
      <c r="C9" s="19" t="s">
        <v>5</v>
      </c>
      <c r="E9" t="s">
        <v>6</v>
      </c>
      <c r="G9" t="s">
        <v>165</v>
      </c>
      <c r="H9" s="20" t="s">
        <v>166</v>
      </c>
    </row>
    <row r="10" spans="1:8" x14ac:dyDescent="0.3">
      <c r="A10" s="18">
        <f>B6*1.8</f>
        <v>194.4</v>
      </c>
      <c r="C10">
        <f>C6*1.8</f>
        <v>104.4</v>
      </c>
      <c r="E10">
        <f>(D6*1.8)</f>
        <v>27</v>
      </c>
      <c r="G10" s="21">
        <f>(E6*1.8)</f>
        <v>172.8</v>
      </c>
      <c r="H10" s="20">
        <f>F6*1.8</f>
        <v>189</v>
      </c>
    </row>
    <row r="11" spans="1:8" x14ac:dyDescent="0.3">
      <c r="A11" s="18" t="s">
        <v>7</v>
      </c>
      <c r="H11" s="20"/>
    </row>
    <row r="12" spans="1:8" ht="15" thickBot="1" x14ac:dyDescent="0.35">
      <c r="A12" s="15">
        <f>A10/10000</f>
        <v>1.9439999999999999E-2</v>
      </c>
      <c r="B12" s="16"/>
      <c r="C12" s="16">
        <f>C10/10000</f>
        <v>1.0440000000000001E-2</v>
      </c>
      <c r="D12" s="16"/>
      <c r="E12" s="16">
        <f>E10/10000</f>
        <v>2.7000000000000001E-3</v>
      </c>
      <c r="F12" s="16"/>
      <c r="G12" s="16">
        <f>G10/10000</f>
        <v>1.728E-2</v>
      </c>
      <c r="H12" s="22">
        <f>H10/10000</f>
        <v>1.89E-2</v>
      </c>
    </row>
    <row r="13" spans="1:8" s="23" customFormat="1" x14ac:dyDescent="0.3"/>
    <row r="14" spans="1:8" s="23" customFormat="1" x14ac:dyDescent="0.3"/>
    <row r="15" spans="1:8" s="23" customFormat="1" x14ac:dyDescent="0.3"/>
    <row r="16" spans="1:8" s="23" customFormat="1" x14ac:dyDescent="0.3"/>
    <row r="17" s="23" customFormat="1" x14ac:dyDescent="0.3"/>
    <row r="18" s="23" customFormat="1" x14ac:dyDescent="0.3"/>
    <row r="19" s="23" customFormat="1" x14ac:dyDescent="0.3"/>
    <row r="20" s="23" customFormat="1" x14ac:dyDescent="0.3"/>
    <row r="21" s="23" customFormat="1" x14ac:dyDescent="0.3"/>
    <row r="22" s="23" customFormat="1" x14ac:dyDescent="0.3"/>
    <row r="23" s="23" customFormat="1" x14ac:dyDescent="0.3"/>
    <row r="24" s="23" customFormat="1" x14ac:dyDescent="0.3"/>
    <row r="25" s="23" customFormat="1" x14ac:dyDescent="0.3"/>
    <row r="26" s="23" customFormat="1" x14ac:dyDescent="0.3"/>
    <row r="27" s="23" customFormat="1" x14ac:dyDescent="0.3"/>
    <row r="28" s="23" customFormat="1" x14ac:dyDescent="0.3"/>
    <row r="29" s="23" customFormat="1" x14ac:dyDescent="0.3"/>
    <row r="30" s="23" customFormat="1" x14ac:dyDescent="0.3"/>
    <row r="31" s="23" customFormat="1" x14ac:dyDescent="0.3"/>
    <row r="32" s="23" customFormat="1" x14ac:dyDescent="0.3"/>
    <row r="33" s="23" customFormat="1" x14ac:dyDescent="0.3"/>
    <row r="34" s="23" customFormat="1" x14ac:dyDescent="0.3"/>
    <row r="35" s="23" customFormat="1" x14ac:dyDescent="0.3"/>
    <row r="36" s="23" customFormat="1" x14ac:dyDescent="0.3"/>
    <row r="37" s="23" customFormat="1" x14ac:dyDescent="0.3"/>
    <row r="38" s="23" customFormat="1" x14ac:dyDescent="0.3"/>
    <row r="39" s="23" customFormat="1" x14ac:dyDescent="0.3"/>
    <row r="40" s="23" customFormat="1" x14ac:dyDescent="0.3"/>
    <row r="41" s="23" customFormat="1" x14ac:dyDescent="0.3"/>
    <row r="42" s="23" customFormat="1" x14ac:dyDescent="0.3"/>
    <row r="43" s="23" customFormat="1" x14ac:dyDescent="0.3"/>
    <row r="44" s="23" customFormat="1" x14ac:dyDescent="0.3"/>
    <row r="45" s="23" customFormat="1" x14ac:dyDescent="0.3"/>
    <row r="46" s="23" customFormat="1" x14ac:dyDescent="0.3"/>
    <row r="47" s="23" customFormat="1" x14ac:dyDescent="0.3"/>
    <row r="48" s="23" customFormat="1" x14ac:dyDescent="0.3"/>
    <row r="49" spans="1:9" s="23" customFormat="1" x14ac:dyDescent="0.3"/>
    <row r="50" spans="1:9" s="23" customFormat="1" x14ac:dyDescent="0.3"/>
    <row r="51" spans="1:9" s="23" customFormat="1" x14ac:dyDescent="0.3"/>
    <row r="52" spans="1:9" s="23" customFormat="1" x14ac:dyDescent="0.3"/>
    <row r="53" spans="1:9" s="23" customFormat="1" x14ac:dyDescent="0.3"/>
    <row r="54" spans="1:9" s="23" customFormat="1" x14ac:dyDescent="0.3"/>
    <row r="55" spans="1:9" s="23" customFormat="1" x14ac:dyDescent="0.3"/>
    <row r="56" spans="1:9" s="23" customFormat="1" x14ac:dyDescent="0.3"/>
    <row r="57" spans="1:9" ht="15" thickBot="1" x14ac:dyDescent="0.35"/>
    <row r="58" spans="1:9" x14ac:dyDescent="0.3">
      <c r="A58" s="135" t="s">
        <v>8</v>
      </c>
      <c r="B58" s="136"/>
      <c r="C58" s="137"/>
      <c r="D58" s="26"/>
      <c r="E58" s="27"/>
      <c r="F58" s="27" t="s">
        <v>9</v>
      </c>
      <c r="G58" s="27"/>
      <c r="H58" s="27"/>
      <c r="I58" s="28"/>
    </row>
    <row r="59" spans="1:9" x14ac:dyDescent="0.3">
      <c r="A59" s="29" t="s">
        <v>10</v>
      </c>
      <c r="B59" s="29" t="s">
        <v>11</v>
      </c>
      <c r="C59" s="29" t="s">
        <v>12</v>
      </c>
      <c r="D59" s="30" t="s">
        <v>13</v>
      </c>
      <c r="E59" s="31"/>
      <c r="F59" s="31"/>
      <c r="G59" s="31"/>
      <c r="H59" s="31"/>
      <c r="I59" s="32"/>
    </row>
    <row r="60" spans="1:9" x14ac:dyDescent="0.3">
      <c r="A60" s="33">
        <f>A12</f>
        <v>1.9439999999999999E-2</v>
      </c>
      <c r="B60" s="29" t="s">
        <v>14</v>
      </c>
      <c r="C60" s="29">
        <v>0.7</v>
      </c>
      <c r="D60" s="18" t="s">
        <v>15</v>
      </c>
      <c r="E60">
        <v>53</v>
      </c>
      <c r="F60" t="s">
        <v>16</v>
      </c>
      <c r="I60" s="20"/>
    </row>
    <row r="61" spans="1:9" ht="15" thickBot="1" x14ac:dyDescent="0.35">
      <c r="A61" s="34">
        <f>(1160/10000)-A60</f>
        <v>9.6560000000000007E-2</v>
      </c>
      <c r="B61" s="35" t="s">
        <v>17</v>
      </c>
      <c r="C61" s="35">
        <v>0.5</v>
      </c>
      <c r="D61" s="18" t="s">
        <v>18</v>
      </c>
      <c r="E61">
        <f>35-15</f>
        <v>20</v>
      </c>
      <c r="F61" t="s">
        <v>19</v>
      </c>
      <c r="I61" s="20"/>
    </row>
    <row r="62" spans="1:9" x14ac:dyDescent="0.3">
      <c r="A62" s="36" t="s">
        <v>20</v>
      </c>
      <c r="B62" s="24" t="s">
        <v>21</v>
      </c>
      <c r="C62" s="25" t="s">
        <v>22</v>
      </c>
      <c r="D62" s="37" t="s">
        <v>23</v>
      </c>
      <c r="E62" s="38">
        <f>0.6*E60*E61^-0.5</f>
        <v>7.1106961684493308</v>
      </c>
      <c r="F62" s="39" t="s">
        <v>24</v>
      </c>
      <c r="G62" s="39"/>
      <c r="H62" s="39"/>
      <c r="I62" s="40"/>
    </row>
    <row r="63" spans="1:9" ht="15" thickBot="1" x14ac:dyDescent="0.35">
      <c r="A63" s="41">
        <f>A60+A61</f>
        <v>0.11600000000000001</v>
      </c>
      <c r="B63" s="42">
        <f>((A60*C60)+(A61*C61))/A63</f>
        <v>0.53351724137931034</v>
      </c>
      <c r="C63" s="43">
        <f>B63+(B63*0.25)</f>
        <v>0.66689655172413786</v>
      </c>
      <c r="D63" s="15" t="s">
        <v>25</v>
      </c>
      <c r="E63" s="16"/>
      <c r="F63" s="16"/>
      <c r="G63" s="16"/>
      <c r="H63" s="16"/>
      <c r="I63" s="22"/>
    </row>
    <row r="64" spans="1:9" ht="15" thickBot="1" x14ac:dyDescent="0.35">
      <c r="A64" s="21"/>
    </row>
    <row r="65" spans="1:9" x14ac:dyDescent="0.3">
      <c r="A65" s="26" t="s">
        <v>26</v>
      </c>
      <c r="B65" s="27" t="s">
        <v>27</v>
      </c>
      <c r="C65" s="27" t="s">
        <v>28</v>
      </c>
      <c r="D65" s="27" t="s">
        <v>29</v>
      </c>
      <c r="E65" s="28" t="s">
        <v>30</v>
      </c>
    </row>
    <row r="66" spans="1:9" ht="15" thickBot="1" x14ac:dyDescent="0.35">
      <c r="A66" s="44">
        <f>B66*C66*D66*E66</f>
        <v>22.743839999999999</v>
      </c>
      <c r="B66" s="45">
        <f>C63</f>
        <v>0.66689655172413786</v>
      </c>
      <c r="C66" s="16">
        <v>210</v>
      </c>
      <c r="D66" s="46">
        <f>A63</f>
        <v>0.11600000000000001</v>
      </c>
      <c r="E66" s="22">
        <v>1.4</v>
      </c>
    </row>
    <row r="68" spans="1:9" ht="15" thickBot="1" x14ac:dyDescent="0.35"/>
    <row r="69" spans="1:9" x14ac:dyDescent="0.3">
      <c r="A69" s="138" t="s">
        <v>31</v>
      </c>
      <c r="B69" s="139"/>
      <c r="C69" s="140"/>
      <c r="D69" s="26"/>
      <c r="E69" s="27"/>
      <c r="F69" s="27" t="s">
        <v>9</v>
      </c>
      <c r="G69" s="27"/>
      <c r="H69" s="27"/>
      <c r="I69" s="28"/>
    </row>
    <row r="70" spans="1:9" x14ac:dyDescent="0.3">
      <c r="A70" s="47" t="s">
        <v>10</v>
      </c>
      <c r="B70" s="47" t="s">
        <v>11</v>
      </c>
      <c r="C70" s="47" t="s">
        <v>12</v>
      </c>
      <c r="D70" s="30" t="s">
        <v>13</v>
      </c>
      <c r="E70" s="31"/>
      <c r="F70" s="31"/>
      <c r="G70" s="31"/>
      <c r="H70" s="31"/>
      <c r="I70" s="32"/>
    </row>
    <row r="71" spans="1:9" x14ac:dyDescent="0.3">
      <c r="A71" s="47">
        <f>2727/10000-A72-A73-A74</f>
        <v>4.9659999999999982E-2</v>
      </c>
      <c r="B71" s="47" t="s">
        <v>32</v>
      </c>
      <c r="C71" s="47">
        <v>0.5</v>
      </c>
      <c r="D71" s="18"/>
      <c r="I71" s="20"/>
    </row>
    <row r="72" spans="1:9" x14ac:dyDescent="0.3">
      <c r="A72" s="48">
        <f>C12</f>
        <v>1.0440000000000001E-2</v>
      </c>
      <c r="B72" s="47" t="s">
        <v>14</v>
      </c>
      <c r="C72" s="47">
        <v>0.7</v>
      </c>
      <c r="D72" s="18" t="s">
        <v>15</v>
      </c>
      <c r="E72">
        <v>80</v>
      </c>
      <c r="F72" t="s">
        <v>16</v>
      </c>
      <c r="I72" s="20"/>
    </row>
    <row r="73" spans="1:9" x14ac:dyDescent="0.3">
      <c r="A73" s="49">
        <f>136/10000</f>
        <v>1.3599999999999999E-2</v>
      </c>
      <c r="B73" s="50" t="s">
        <v>33</v>
      </c>
      <c r="C73" s="50">
        <v>0.9</v>
      </c>
      <c r="D73" s="18"/>
      <c r="I73" s="20"/>
    </row>
    <row r="74" spans="1:9" ht="15" thickBot="1" x14ac:dyDescent="0.35">
      <c r="A74" s="49">
        <f>(1812+178)/10000</f>
        <v>0.19900000000000001</v>
      </c>
      <c r="B74" s="50" t="s">
        <v>34</v>
      </c>
      <c r="C74" s="50">
        <v>0.7</v>
      </c>
      <c r="D74" s="18" t="s">
        <v>18</v>
      </c>
      <c r="E74">
        <f>55-35</f>
        <v>20</v>
      </c>
      <c r="F74" t="s">
        <v>35</v>
      </c>
      <c r="I74" s="20"/>
    </row>
    <row r="75" spans="1:9" x14ac:dyDescent="0.3">
      <c r="A75" s="51" t="s">
        <v>20</v>
      </c>
      <c r="B75" s="27" t="s">
        <v>21</v>
      </c>
      <c r="C75" s="28" t="s">
        <v>22</v>
      </c>
      <c r="D75" s="37" t="s">
        <v>23</v>
      </c>
      <c r="E75" s="38">
        <f>0.6*E72*E74^-0.5</f>
        <v>10.733126291998991</v>
      </c>
      <c r="F75" s="39" t="s">
        <v>24</v>
      </c>
      <c r="G75" s="39"/>
      <c r="H75" s="39"/>
      <c r="I75" s="40"/>
    </row>
    <row r="76" spans="1:9" ht="15" thickBot="1" x14ac:dyDescent="0.35">
      <c r="A76" s="52">
        <f>A72+A74</f>
        <v>0.20944000000000002</v>
      </c>
      <c r="B76" s="45">
        <f>((A72*C72)+(A73*C73)+(A74*C74))/A76</f>
        <v>0.75844155844155847</v>
      </c>
      <c r="C76" s="53">
        <f>B76+(B76*0.25)</f>
        <v>0.94805194805194803</v>
      </c>
      <c r="D76" s="15" t="s">
        <v>36</v>
      </c>
      <c r="E76" s="16"/>
      <c r="F76" s="16"/>
      <c r="G76" s="16"/>
      <c r="H76" s="16"/>
      <c r="I76" s="22"/>
    </row>
    <row r="77" spans="1:9" ht="15" thickBot="1" x14ac:dyDescent="0.35"/>
    <row r="78" spans="1:9" x14ac:dyDescent="0.3">
      <c r="A78" s="26" t="s">
        <v>26</v>
      </c>
      <c r="B78" s="27" t="s">
        <v>27</v>
      </c>
      <c r="C78" s="27" t="s">
        <v>28</v>
      </c>
      <c r="D78" s="27" t="s">
        <v>29</v>
      </c>
      <c r="E78" s="28" t="s">
        <v>30</v>
      </c>
    </row>
    <row r="79" spans="1:9" ht="15" thickBot="1" x14ac:dyDescent="0.35">
      <c r="A79" s="54">
        <f>B79*C79*D79*E79</f>
        <v>51.427039999999998</v>
      </c>
      <c r="B79" s="45">
        <f>C76</f>
        <v>0.94805194805194803</v>
      </c>
      <c r="C79" s="16">
        <v>185</v>
      </c>
      <c r="D79" s="46">
        <f>A76</f>
        <v>0.20944000000000002</v>
      </c>
      <c r="E79" s="22">
        <v>1.4</v>
      </c>
    </row>
    <row r="82" spans="1:9" ht="15" thickBot="1" x14ac:dyDescent="0.35"/>
    <row r="83" spans="1:9" x14ac:dyDescent="0.3">
      <c r="A83" s="141" t="s">
        <v>37</v>
      </c>
      <c r="B83" s="142"/>
      <c r="C83" s="143"/>
      <c r="D83" s="26"/>
      <c r="E83" s="27"/>
      <c r="F83" s="27" t="s">
        <v>9</v>
      </c>
      <c r="G83" s="27"/>
      <c r="H83" s="27"/>
      <c r="I83" s="28"/>
    </row>
    <row r="84" spans="1:9" x14ac:dyDescent="0.3">
      <c r="A84" s="47" t="s">
        <v>10</v>
      </c>
      <c r="B84" s="47" t="s">
        <v>11</v>
      </c>
      <c r="C84" s="47" t="s">
        <v>12</v>
      </c>
      <c r="D84" s="30" t="s">
        <v>13</v>
      </c>
      <c r="E84" s="31"/>
      <c r="F84" s="31"/>
      <c r="G84" s="31"/>
      <c r="H84" s="31"/>
      <c r="I84" s="32"/>
    </row>
    <row r="85" spans="1:9" x14ac:dyDescent="0.3">
      <c r="A85" s="48">
        <f>E12</f>
        <v>2.7000000000000001E-3</v>
      </c>
      <c r="B85" s="47" t="s">
        <v>14</v>
      </c>
      <c r="C85" s="47">
        <v>0.7</v>
      </c>
      <c r="D85" s="18" t="s">
        <v>15</v>
      </c>
      <c r="E85">
        <v>115</v>
      </c>
      <c r="F85" t="s">
        <v>16</v>
      </c>
      <c r="I85" s="20"/>
    </row>
    <row r="86" spans="1:9" ht="15" thickBot="1" x14ac:dyDescent="0.35">
      <c r="A86" s="49">
        <f>(3084/10000)</f>
        <v>0.30840000000000001</v>
      </c>
      <c r="B86" s="50" t="s">
        <v>38</v>
      </c>
      <c r="C86" s="50">
        <v>0.3</v>
      </c>
      <c r="D86" s="18" t="s">
        <v>18</v>
      </c>
      <c r="E86">
        <f>56-46</f>
        <v>10</v>
      </c>
      <c r="F86" t="s">
        <v>39</v>
      </c>
      <c r="I86" s="20"/>
    </row>
    <row r="87" spans="1:9" x14ac:dyDescent="0.3">
      <c r="A87" s="51" t="s">
        <v>20</v>
      </c>
      <c r="B87" s="27" t="s">
        <v>21</v>
      </c>
      <c r="C87" s="28" t="s">
        <v>22</v>
      </c>
      <c r="D87" s="37" t="s">
        <v>23</v>
      </c>
      <c r="E87" s="38">
        <f>0.6*E85*E86^-0.5</f>
        <v>21.819715855161817</v>
      </c>
      <c r="F87" s="39" t="s">
        <v>24</v>
      </c>
      <c r="G87" s="39"/>
      <c r="H87" s="39"/>
      <c r="I87" s="40"/>
    </row>
    <row r="88" spans="1:9" ht="15" thickBot="1" x14ac:dyDescent="0.35">
      <c r="A88" s="52">
        <f>A85+A86</f>
        <v>0.31109999999999999</v>
      </c>
      <c r="B88" s="45">
        <f>((A85*C85)+(A86*C86))/A88</f>
        <v>0.30347155255544844</v>
      </c>
      <c r="C88" s="53">
        <f>B88+(B88*0.25)</f>
        <v>0.37933944069431058</v>
      </c>
      <c r="D88" s="15" t="s">
        <v>40</v>
      </c>
      <c r="E88" s="16"/>
      <c r="F88" s="16"/>
      <c r="G88" s="16"/>
      <c r="H88" s="16"/>
      <c r="I88" s="22"/>
    </row>
    <row r="89" spans="1:9" ht="15" thickBot="1" x14ac:dyDescent="0.35"/>
    <row r="90" spans="1:9" x14ac:dyDescent="0.3">
      <c r="A90" s="55" t="s">
        <v>26</v>
      </c>
      <c r="B90" s="27" t="s">
        <v>27</v>
      </c>
      <c r="C90" s="27" t="s">
        <v>28</v>
      </c>
      <c r="D90" s="27" t="s">
        <v>29</v>
      </c>
      <c r="E90" s="28" t="s">
        <v>30</v>
      </c>
    </row>
    <row r="91" spans="1:9" ht="15" thickBot="1" x14ac:dyDescent="0.35">
      <c r="A91" s="56">
        <f>B91*C91*D91*E91</f>
        <v>21.478275000000004</v>
      </c>
      <c r="B91" s="45">
        <f>C88</f>
        <v>0.37933944069431058</v>
      </c>
      <c r="C91" s="16">
        <v>130</v>
      </c>
      <c r="D91" s="46">
        <f>A88</f>
        <v>0.31109999999999999</v>
      </c>
      <c r="E91" s="22">
        <v>1.4</v>
      </c>
    </row>
    <row r="92" spans="1:9" ht="15" thickBot="1" x14ac:dyDescent="0.35">
      <c r="A92" s="57"/>
      <c r="B92" s="21"/>
      <c r="D92" s="58"/>
    </row>
    <row r="93" spans="1:9" x14ac:dyDescent="0.3">
      <c r="A93" s="144" t="s">
        <v>41</v>
      </c>
      <c r="B93" s="145"/>
      <c r="C93" s="146"/>
      <c r="D93" s="26"/>
      <c r="E93" s="27"/>
      <c r="F93" s="27" t="s">
        <v>9</v>
      </c>
      <c r="G93" s="27"/>
      <c r="H93" s="27"/>
      <c r="I93" s="28"/>
    </row>
    <row r="94" spans="1:9" x14ac:dyDescent="0.3">
      <c r="A94" s="47" t="s">
        <v>10</v>
      </c>
      <c r="B94" s="47" t="s">
        <v>11</v>
      </c>
      <c r="C94" s="47" t="s">
        <v>12</v>
      </c>
      <c r="D94" s="30" t="s">
        <v>13</v>
      </c>
      <c r="E94" s="31"/>
      <c r="F94" s="31"/>
      <c r="G94" s="31"/>
      <c r="H94" s="31"/>
      <c r="I94" s="32"/>
    </row>
    <row r="95" spans="1:9" x14ac:dyDescent="0.3">
      <c r="A95" s="48">
        <f>H12</f>
        <v>1.89E-2</v>
      </c>
      <c r="B95" s="47" t="s">
        <v>14</v>
      </c>
      <c r="C95" s="47">
        <v>0.7</v>
      </c>
      <c r="D95" s="18" t="s">
        <v>15</v>
      </c>
      <c r="E95">
        <v>96</v>
      </c>
      <c r="F95" t="s">
        <v>16</v>
      </c>
      <c r="I95" s="20"/>
    </row>
    <row r="96" spans="1:9" ht="15" thickBot="1" x14ac:dyDescent="0.35">
      <c r="A96" s="49">
        <f>(3864/10000)-A95</f>
        <v>0.36750000000000005</v>
      </c>
      <c r="B96" s="50" t="s">
        <v>38</v>
      </c>
      <c r="C96" s="50">
        <v>0.3</v>
      </c>
      <c r="D96" s="18" t="s">
        <v>18</v>
      </c>
      <c r="E96">
        <f>55-47</f>
        <v>8</v>
      </c>
      <c r="F96" t="s">
        <v>168</v>
      </c>
      <c r="I96" s="20"/>
    </row>
    <row r="97" spans="1:9" x14ac:dyDescent="0.3">
      <c r="A97" s="51" t="s">
        <v>20</v>
      </c>
      <c r="B97" s="27" t="s">
        <v>21</v>
      </c>
      <c r="C97" s="28" t="s">
        <v>22</v>
      </c>
      <c r="D97" s="37" t="s">
        <v>23</v>
      </c>
      <c r="E97" s="38">
        <f>0.6*E95*E96^-0.5</f>
        <v>20.364675298172564</v>
      </c>
      <c r="F97" s="39" t="s">
        <v>24</v>
      </c>
      <c r="G97" s="39"/>
      <c r="H97" s="39"/>
      <c r="I97" s="40"/>
    </row>
    <row r="98" spans="1:9" ht="15" thickBot="1" x14ac:dyDescent="0.35">
      <c r="A98" s="52">
        <f>A95+A96</f>
        <v>0.38640000000000008</v>
      </c>
      <c r="B98" s="45">
        <f>((A95*C95)+(A96*C96))/A98</f>
        <v>0.31956521739130428</v>
      </c>
      <c r="C98" s="53">
        <f>B98+(B98*0.25)</f>
        <v>0.39945652173913038</v>
      </c>
      <c r="D98" s="15" t="s">
        <v>169</v>
      </c>
      <c r="E98" s="16"/>
      <c r="F98" s="16"/>
      <c r="G98" s="16"/>
      <c r="H98" s="16"/>
      <c r="I98" s="22"/>
    </row>
    <row r="99" spans="1:9" ht="15" thickBot="1" x14ac:dyDescent="0.35">
      <c r="A99" s="58"/>
      <c r="B99" s="21"/>
      <c r="C99" s="21"/>
    </row>
    <row r="100" spans="1:9" x14ac:dyDescent="0.3">
      <c r="A100" s="55" t="s">
        <v>26</v>
      </c>
      <c r="B100" s="27" t="s">
        <v>27</v>
      </c>
      <c r="C100" s="27" t="s">
        <v>28</v>
      </c>
      <c r="D100" s="27" t="s">
        <v>29</v>
      </c>
      <c r="E100" s="28" t="s">
        <v>30</v>
      </c>
    </row>
    <row r="101" spans="1:9" ht="15" thickBot="1" x14ac:dyDescent="0.35">
      <c r="A101" s="56">
        <f>B101*C101*D101*E101</f>
        <v>29.539502999999996</v>
      </c>
      <c r="B101" s="45">
        <f>C98</f>
        <v>0.39945652173913038</v>
      </c>
      <c r="C101" s="16">
        <v>136.69999999999999</v>
      </c>
      <c r="D101" s="46">
        <f>A98</f>
        <v>0.38640000000000008</v>
      </c>
      <c r="E101" s="22">
        <v>1.4</v>
      </c>
      <c r="F101" s="58"/>
      <c r="G101" s="21"/>
      <c r="H101" s="21"/>
    </row>
    <row r="102" spans="1:9" ht="15" thickBot="1" x14ac:dyDescent="0.35">
      <c r="A102" s="59"/>
      <c r="B102" s="21"/>
      <c r="C102" s="21"/>
      <c r="F102" s="58"/>
      <c r="G102" s="21"/>
      <c r="H102" s="21"/>
    </row>
    <row r="103" spans="1:9" x14ac:dyDescent="0.3">
      <c r="A103" s="147" t="s">
        <v>42</v>
      </c>
      <c r="B103" s="148"/>
      <c r="C103" s="149"/>
      <c r="D103" s="26"/>
      <c r="E103" s="27"/>
      <c r="F103" s="27" t="s">
        <v>9</v>
      </c>
      <c r="G103" s="27"/>
      <c r="H103" s="27"/>
      <c r="I103" s="28"/>
    </row>
    <row r="104" spans="1:9" x14ac:dyDescent="0.3">
      <c r="A104" s="47" t="s">
        <v>10</v>
      </c>
      <c r="B104" s="47" t="s">
        <v>11</v>
      </c>
      <c r="C104" s="47" t="s">
        <v>12</v>
      </c>
      <c r="D104" s="30" t="s">
        <v>13</v>
      </c>
      <c r="E104" s="31"/>
      <c r="F104" s="31"/>
      <c r="G104" s="31"/>
      <c r="H104" s="31"/>
      <c r="I104" s="32"/>
    </row>
    <row r="105" spans="1:9" x14ac:dyDescent="0.3">
      <c r="A105" s="48">
        <f>G12</f>
        <v>1.728E-2</v>
      </c>
      <c r="B105" s="47" t="s">
        <v>14</v>
      </c>
      <c r="C105" s="47">
        <v>0.7</v>
      </c>
      <c r="D105" s="18" t="s">
        <v>15</v>
      </c>
      <c r="E105">
        <v>96</v>
      </c>
      <c r="F105" t="s">
        <v>16</v>
      </c>
      <c r="I105" s="20"/>
    </row>
    <row r="106" spans="1:9" ht="15" thickBot="1" x14ac:dyDescent="0.35">
      <c r="A106" s="49">
        <f>(2550/10000)-A105</f>
        <v>0.23772000000000001</v>
      </c>
      <c r="B106" s="50" t="s">
        <v>38</v>
      </c>
      <c r="C106" s="50">
        <v>0.3</v>
      </c>
      <c r="D106" s="18" t="s">
        <v>18</v>
      </c>
      <c r="E106">
        <f>54-47</f>
        <v>7</v>
      </c>
      <c r="F106" t="s">
        <v>167</v>
      </c>
      <c r="I106" s="20"/>
    </row>
    <row r="107" spans="1:9" x14ac:dyDescent="0.3">
      <c r="A107" s="51" t="s">
        <v>20</v>
      </c>
      <c r="B107" s="27" t="s">
        <v>21</v>
      </c>
      <c r="C107" s="28" t="s">
        <v>22</v>
      </c>
      <c r="D107" s="37" t="s">
        <v>23</v>
      </c>
      <c r="E107" s="38">
        <f>0.6*E105*E106^-0.5</f>
        <v>21.770753645331485</v>
      </c>
      <c r="F107" s="39" t="s">
        <v>24</v>
      </c>
      <c r="G107" s="39"/>
      <c r="H107" s="39"/>
      <c r="I107" s="40"/>
    </row>
    <row r="108" spans="1:9" ht="15" thickBot="1" x14ac:dyDescent="0.35">
      <c r="A108" s="52">
        <f>A105+A106</f>
        <v>0.255</v>
      </c>
      <c r="B108" s="45">
        <f>((A105*C105)+(A106*C106))/A108</f>
        <v>0.32710588235294119</v>
      </c>
      <c r="C108" s="53">
        <f>B108+(B108*0.25)</f>
        <v>0.40888235294117647</v>
      </c>
      <c r="D108" s="15" t="s">
        <v>40</v>
      </c>
      <c r="E108" s="16"/>
      <c r="F108" s="16"/>
      <c r="G108" s="16"/>
      <c r="H108" s="16"/>
      <c r="I108" s="22"/>
    </row>
    <row r="109" spans="1:9" ht="15" thickBot="1" x14ac:dyDescent="0.35">
      <c r="A109" s="58"/>
      <c r="B109" s="21"/>
      <c r="C109" s="21"/>
    </row>
    <row r="110" spans="1:9" x14ac:dyDescent="0.3">
      <c r="A110" s="26" t="s">
        <v>26</v>
      </c>
      <c r="B110" s="27" t="s">
        <v>27</v>
      </c>
      <c r="C110" s="27" t="s">
        <v>28</v>
      </c>
      <c r="D110" s="27" t="s">
        <v>29</v>
      </c>
      <c r="E110" s="28" t="s">
        <v>30</v>
      </c>
    </row>
    <row r="111" spans="1:9" ht="15" thickBot="1" x14ac:dyDescent="0.35">
      <c r="A111" s="54">
        <f>B111*C111*D111*E111</f>
        <v>18.976230000000001</v>
      </c>
      <c r="B111" s="45">
        <f>C108</f>
        <v>0.40888235294117647</v>
      </c>
      <c r="C111" s="16">
        <v>130</v>
      </c>
      <c r="D111" s="46">
        <f>A108</f>
        <v>0.255</v>
      </c>
      <c r="E111" s="22">
        <v>1.4</v>
      </c>
    </row>
    <row r="112" spans="1:9" ht="15" thickBot="1" x14ac:dyDescent="0.35">
      <c r="A112" s="57"/>
      <c r="B112" s="21"/>
      <c r="D112" s="58"/>
    </row>
    <row r="113" spans="1:12" ht="29.4" thickBot="1" x14ac:dyDescent="0.6">
      <c r="A113" s="60"/>
      <c r="B113" s="60"/>
      <c r="D113" s="61" t="s">
        <v>43</v>
      </c>
      <c r="E113" s="62"/>
      <c r="F113" s="176"/>
    </row>
    <row r="114" spans="1:12" ht="15" thickBot="1" x14ac:dyDescent="0.35"/>
    <row r="115" spans="1:12" ht="21" x14ac:dyDescent="0.4">
      <c r="A115" s="1" t="s">
        <v>44</v>
      </c>
      <c r="B115" s="28"/>
      <c r="C115" s="120"/>
    </row>
    <row r="116" spans="1:12" ht="15" thickBot="1" x14ac:dyDescent="0.35">
      <c r="A116" s="15"/>
      <c r="B116" s="22"/>
      <c r="C116" s="120"/>
    </row>
    <row r="117" spans="1:12" ht="15" thickBot="1" x14ac:dyDescent="0.35"/>
    <row r="118" spans="1:12" ht="18.600000000000001" thickBot="1" x14ac:dyDescent="0.4">
      <c r="A118" s="150" t="s">
        <v>45</v>
      </c>
      <c r="B118" s="151"/>
      <c r="D118" s="156" t="s">
        <v>46</v>
      </c>
      <c r="E118" s="157"/>
      <c r="F118" s="158"/>
      <c r="H118" s="26" t="s">
        <v>47</v>
      </c>
      <c r="I118" s="27"/>
      <c r="J118" s="27"/>
      <c r="K118" s="27"/>
      <c r="L118" s="28"/>
    </row>
    <row r="119" spans="1:12" x14ac:dyDescent="0.3">
      <c r="A119" s="63" t="s">
        <v>15</v>
      </c>
      <c r="B119" s="64">
        <f>B6-13</f>
        <v>95</v>
      </c>
      <c r="D119" s="37" t="s">
        <v>15</v>
      </c>
      <c r="E119" s="65"/>
      <c r="F119" s="20">
        <v>159.19999999999999</v>
      </c>
      <c r="H119" s="18"/>
      <c r="L119" s="20"/>
    </row>
    <row r="120" spans="1:12" ht="15" thickBot="1" x14ac:dyDescent="0.35">
      <c r="A120" s="66" t="s">
        <v>48</v>
      </c>
      <c r="B120" s="67">
        <v>15</v>
      </c>
      <c r="D120" s="68" t="s">
        <v>48</v>
      </c>
      <c r="E120" s="69"/>
      <c r="F120" s="20">
        <v>48</v>
      </c>
      <c r="H120" s="15" t="s">
        <v>170</v>
      </c>
      <c r="I120" s="16"/>
      <c r="J120" s="70">
        <f>A111</f>
        <v>18.976230000000001</v>
      </c>
      <c r="K120" s="16" t="s">
        <v>49</v>
      </c>
      <c r="L120" s="22"/>
    </row>
    <row r="121" spans="1:12" ht="15" thickBot="1" x14ac:dyDescent="0.35">
      <c r="A121" s="66" t="s">
        <v>50</v>
      </c>
      <c r="B121" s="67">
        <v>35</v>
      </c>
      <c r="D121" s="37" t="s">
        <v>50</v>
      </c>
      <c r="E121" s="65"/>
      <c r="F121" s="20">
        <v>49</v>
      </c>
      <c r="H121" s="18"/>
      <c r="L121" s="20"/>
    </row>
    <row r="122" spans="1:12" x14ac:dyDescent="0.3">
      <c r="A122" s="66" t="s">
        <v>51</v>
      </c>
      <c r="B122" s="67">
        <v>40</v>
      </c>
      <c r="D122" s="68" t="s">
        <v>52</v>
      </c>
      <c r="E122" s="69"/>
      <c r="F122" s="20">
        <v>25</v>
      </c>
      <c r="H122" s="26" t="s">
        <v>53</v>
      </c>
      <c r="I122" s="27"/>
      <c r="J122" s="27"/>
      <c r="K122" s="27"/>
      <c r="L122" s="28"/>
    </row>
    <row r="123" spans="1:12" x14ac:dyDescent="0.3">
      <c r="A123" s="66" t="s">
        <v>28</v>
      </c>
      <c r="B123" s="71">
        <f>(B121-B120)/B119</f>
        <v>0.21052631578947367</v>
      </c>
      <c r="D123" s="37" t="s">
        <v>28</v>
      </c>
      <c r="E123" s="65"/>
      <c r="F123" s="72">
        <f>(F121-F120)/F119</f>
        <v>6.2814070351758797E-3</v>
      </c>
      <c r="H123" s="18"/>
      <c r="L123" s="20"/>
    </row>
    <row r="124" spans="1:12" ht="15" thickBot="1" x14ac:dyDescent="0.35">
      <c r="A124" s="66" t="s">
        <v>189</v>
      </c>
      <c r="B124" s="73">
        <f>G154</f>
        <v>3.5999999999999997E-2</v>
      </c>
      <c r="D124" s="68" t="s">
        <v>54</v>
      </c>
      <c r="E124" s="69"/>
      <c r="F124" s="72">
        <f>J172</f>
        <v>6.4583900360868043E-2</v>
      </c>
      <c r="H124" s="15" t="s">
        <v>171</v>
      </c>
      <c r="I124" s="16"/>
      <c r="J124" s="70">
        <f>A101</f>
        <v>29.539502999999996</v>
      </c>
      <c r="K124" s="16" t="s">
        <v>49</v>
      </c>
      <c r="L124" s="22"/>
    </row>
    <row r="125" spans="1:12" ht="15" thickBot="1" x14ac:dyDescent="0.35">
      <c r="A125" s="66" t="s">
        <v>55</v>
      </c>
      <c r="B125" s="71">
        <f>B124/(2*F154+E154)</f>
        <v>6.2068965517241365E-2</v>
      </c>
      <c r="D125" s="18" t="s">
        <v>56</v>
      </c>
      <c r="E125" s="74"/>
      <c r="F125" s="72">
        <f>F124/(2*J169+J168)</f>
        <v>8.1440114866048699E-2</v>
      </c>
      <c r="H125" s="18"/>
      <c r="L125" s="20"/>
    </row>
    <row r="126" spans="1:12" x14ac:dyDescent="0.3">
      <c r="A126" s="26" t="s">
        <v>57</v>
      </c>
      <c r="B126" s="75">
        <f>B122*B124*(B125^(2/3))*(B123^0.5)*1000</f>
        <v>103.57748433076007</v>
      </c>
      <c r="D126" s="26" t="s">
        <v>57</v>
      </c>
      <c r="E126" s="27"/>
      <c r="F126" s="75">
        <f>F122*F124*(F125^(2/3))*(F123^0.5)*1000</f>
        <v>24.042797472586301</v>
      </c>
      <c r="H126" s="26" t="s">
        <v>59</v>
      </c>
      <c r="I126" s="27"/>
      <c r="J126" s="27"/>
      <c r="K126" s="27"/>
      <c r="L126" s="28"/>
    </row>
    <row r="127" spans="1:12" ht="15" thickBot="1" x14ac:dyDescent="0.35">
      <c r="A127" s="15" t="s">
        <v>60</v>
      </c>
      <c r="B127" s="76">
        <f>B122*(B125^0.66667)*(B123^0.5)</f>
        <v>2.8771256857402494</v>
      </c>
      <c r="D127" s="15" t="s">
        <v>61</v>
      </c>
      <c r="E127" s="16"/>
      <c r="F127" s="53">
        <f>F122*(F125^(2/3))*(F123^0.5)</f>
        <v>0.37227230529969735</v>
      </c>
      <c r="H127" s="18"/>
      <c r="L127" s="20"/>
    </row>
    <row r="128" spans="1:12" ht="15" thickBot="1" x14ac:dyDescent="0.35">
      <c r="A128" s="123" t="s">
        <v>188</v>
      </c>
      <c r="B128" s="100">
        <f>0.1*0.15</f>
        <v>1.4999999999999999E-2</v>
      </c>
      <c r="D128" s="120"/>
      <c r="E128" s="120"/>
      <c r="F128" s="121"/>
      <c r="H128" s="15" t="s">
        <v>172</v>
      </c>
      <c r="I128" s="16"/>
      <c r="J128" s="70">
        <f>A91</f>
        <v>21.478275000000004</v>
      </c>
      <c r="K128" s="16" t="s">
        <v>49</v>
      </c>
      <c r="L128" s="22"/>
    </row>
    <row r="129" spans="1:13" x14ac:dyDescent="0.3">
      <c r="A129" s="123" t="s">
        <v>55</v>
      </c>
      <c r="B129" s="100">
        <f>B128/(2*0.15+0.1)</f>
        <v>3.7499999999999999E-2</v>
      </c>
      <c r="D129" s="120"/>
      <c r="E129" s="120"/>
      <c r="F129" s="121"/>
      <c r="H129" s="18"/>
      <c r="I129" s="120"/>
      <c r="J129" s="177"/>
      <c r="K129" s="120"/>
      <c r="L129" s="20"/>
    </row>
    <row r="130" spans="1:13" ht="15" thickBot="1" x14ac:dyDescent="0.35">
      <c r="A130" s="192" t="s">
        <v>187</v>
      </c>
      <c r="B130" s="193">
        <f>B122*B128*(B129^(2/3))*(B123^0.5)*1000</f>
        <v>30.843142761072919</v>
      </c>
      <c r="D130" s="120"/>
      <c r="E130" s="120"/>
      <c r="F130" s="121"/>
      <c r="H130" s="18"/>
      <c r="L130" s="20"/>
    </row>
    <row r="131" spans="1:13" ht="15" thickBot="1" x14ac:dyDescent="0.35">
      <c r="H131" s="26" t="s">
        <v>64</v>
      </c>
      <c r="I131" s="27"/>
      <c r="J131" s="27"/>
      <c r="K131" s="27"/>
      <c r="L131" s="28"/>
    </row>
    <row r="132" spans="1:13" ht="18.600000000000001" thickBot="1" x14ac:dyDescent="0.4">
      <c r="A132" s="152" t="s">
        <v>62</v>
      </c>
      <c r="B132" s="153"/>
      <c r="D132" s="159" t="s">
        <v>63</v>
      </c>
      <c r="E132" s="160"/>
      <c r="F132" s="161"/>
      <c r="H132" s="18"/>
      <c r="J132" s="57"/>
      <c r="L132" s="20"/>
    </row>
    <row r="133" spans="1:13" ht="15" thickBot="1" x14ac:dyDescent="0.35">
      <c r="A133" s="63" t="s">
        <v>15</v>
      </c>
      <c r="B133" s="64">
        <f>60+9</f>
        <v>69</v>
      </c>
      <c r="D133" s="37" t="s">
        <v>15</v>
      </c>
      <c r="E133" s="65"/>
      <c r="F133" s="20">
        <v>122</v>
      </c>
      <c r="H133" s="15" t="s">
        <v>173</v>
      </c>
      <c r="I133" s="16"/>
      <c r="J133" s="70">
        <f>A79</f>
        <v>51.427039999999998</v>
      </c>
      <c r="K133" s="16" t="s">
        <v>49</v>
      </c>
      <c r="L133" s="22"/>
    </row>
    <row r="134" spans="1:13" ht="15" thickBot="1" x14ac:dyDescent="0.35">
      <c r="A134" s="66" t="s">
        <v>48</v>
      </c>
      <c r="B134" s="67">
        <v>35</v>
      </c>
      <c r="D134" s="68" t="s">
        <v>48</v>
      </c>
      <c r="E134" s="69"/>
      <c r="F134" s="20">
        <v>49</v>
      </c>
      <c r="H134" s="18"/>
      <c r="L134" s="20"/>
    </row>
    <row r="135" spans="1:13" x14ac:dyDescent="0.3">
      <c r="A135" s="66" t="s">
        <v>50</v>
      </c>
      <c r="B135" s="67">
        <v>46</v>
      </c>
      <c r="D135" s="37" t="s">
        <v>50</v>
      </c>
      <c r="E135" s="65"/>
      <c r="F135" s="20">
        <v>52</v>
      </c>
      <c r="H135" s="26" t="s">
        <v>66</v>
      </c>
      <c r="I135" s="27"/>
      <c r="J135" s="27"/>
      <c r="K135" s="27"/>
      <c r="L135" s="28"/>
    </row>
    <row r="136" spans="1:13" x14ac:dyDescent="0.3">
      <c r="A136" s="66" t="s">
        <v>51</v>
      </c>
      <c r="B136" s="67">
        <v>40</v>
      </c>
      <c r="D136" s="68" t="s">
        <v>65</v>
      </c>
      <c r="E136" s="69"/>
      <c r="F136" s="20">
        <v>25</v>
      </c>
      <c r="H136" s="18"/>
      <c r="J136" s="57"/>
      <c r="L136" s="20"/>
    </row>
    <row r="137" spans="1:13" ht="15" thickBot="1" x14ac:dyDescent="0.35">
      <c r="A137" s="66" t="s">
        <v>28</v>
      </c>
      <c r="B137" s="71">
        <f>(B135-B134)/B133</f>
        <v>0.15942028985507245</v>
      </c>
      <c r="D137" s="37" t="s">
        <v>28</v>
      </c>
      <c r="E137" s="65"/>
      <c r="F137" s="72">
        <f>(F135-F134)/F133</f>
        <v>2.4590163934426229E-2</v>
      </c>
      <c r="H137" s="15" t="s">
        <v>174</v>
      </c>
      <c r="I137" s="16"/>
      <c r="J137" s="70">
        <f>A66</f>
        <v>22.743839999999999</v>
      </c>
      <c r="K137" s="16" t="s">
        <v>49</v>
      </c>
      <c r="L137" s="22"/>
    </row>
    <row r="138" spans="1:13" x14ac:dyDescent="0.3">
      <c r="A138" s="66" t="s">
        <v>186</v>
      </c>
      <c r="B138" s="73">
        <f>M152</f>
        <v>2.8454207005323279E-2</v>
      </c>
      <c r="D138" s="68" t="s">
        <v>54</v>
      </c>
      <c r="E138" s="69"/>
      <c r="F138" s="72">
        <f>G172</f>
        <v>5.2814684331153827E-2</v>
      </c>
    </row>
    <row r="139" spans="1:13" ht="15" thickBot="1" x14ac:dyDescent="0.35">
      <c r="A139" s="66" t="s">
        <v>56</v>
      </c>
      <c r="B139" s="73">
        <f>B138/(2*M149+M148)</f>
        <v>8.4397134598644216E-2</v>
      </c>
      <c r="D139" s="18" t="s">
        <v>56</v>
      </c>
      <c r="E139" s="74"/>
      <c r="F139" s="72">
        <f>F138/(2*G169+G168)</f>
        <v>7.4015771003195396E-2</v>
      </c>
    </row>
    <row r="140" spans="1:13" x14ac:dyDescent="0.3">
      <c r="A140" s="66" t="s">
        <v>67</v>
      </c>
      <c r="B140" s="73">
        <f>L154</f>
        <v>0.03</v>
      </c>
      <c r="D140" s="26" t="s">
        <v>57</v>
      </c>
      <c r="E140" s="27"/>
      <c r="F140" s="75">
        <f>F136*F138*(F139^(2/3))*(F137^0.5)*1000</f>
        <v>36.499892668703716</v>
      </c>
    </row>
    <row r="141" spans="1:13" ht="15" thickBot="1" x14ac:dyDescent="0.35">
      <c r="A141" s="66" t="s">
        <v>56</v>
      </c>
      <c r="B141" s="73">
        <f>B140/(2*K154+J154)</f>
        <v>5.4545454545454536E-2</v>
      </c>
      <c r="D141" s="15" t="s">
        <v>60</v>
      </c>
      <c r="E141" s="16"/>
      <c r="F141" s="53">
        <f>F136*(F139^(2/3))*(F137^0.5)</f>
        <v>0.6910936443328034</v>
      </c>
    </row>
    <row r="142" spans="1:13" x14ac:dyDescent="0.3">
      <c r="A142" s="26" t="s">
        <v>180</v>
      </c>
      <c r="B142" s="75">
        <f>B136*B140*(B141^(2/3))*(B137^0.5)*1000</f>
        <v>68.911560838223693</v>
      </c>
      <c r="F142" s="21"/>
    </row>
    <row r="143" spans="1:13" ht="15" thickBot="1" x14ac:dyDescent="0.35">
      <c r="A143" s="15" t="s">
        <v>60</v>
      </c>
      <c r="B143" s="77">
        <f>B136*(B141^0.66667)*(B137^0.5)</f>
        <v>2.2970297564379787</v>
      </c>
    </row>
    <row r="144" spans="1:13" ht="15" thickBot="1" x14ac:dyDescent="0.35">
      <c r="D144" s="132" t="s">
        <v>68</v>
      </c>
      <c r="E144" s="133"/>
      <c r="F144" s="169" t="s">
        <v>45</v>
      </c>
      <c r="G144" s="133"/>
      <c r="H144" s="134"/>
      <c r="I144" s="138" t="s">
        <v>68</v>
      </c>
      <c r="J144" s="139"/>
      <c r="K144" s="170" t="s">
        <v>69</v>
      </c>
      <c r="L144" s="139"/>
      <c r="M144" s="140"/>
    </row>
    <row r="145" spans="1:13" ht="18.600000000000001" thickBot="1" x14ac:dyDescent="0.4">
      <c r="A145" s="154" t="s">
        <v>72</v>
      </c>
      <c r="B145" s="155"/>
      <c r="D145" s="17" t="s">
        <v>183</v>
      </c>
      <c r="E145" s="3"/>
      <c r="F145" s="55" t="s">
        <v>70</v>
      </c>
      <c r="G145" s="17" t="s">
        <v>182</v>
      </c>
      <c r="H145" s="3"/>
      <c r="I145" s="26" t="s">
        <v>183</v>
      </c>
      <c r="J145" s="27"/>
      <c r="K145" s="26" t="s">
        <v>70</v>
      </c>
      <c r="L145" s="78" t="s">
        <v>182</v>
      </c>
      <c r="M145" s="79"/>
    </row>
    <row r="146" spans="1:13" x14ac:dyDescent="0.3">
      <c r="A146" s="63" t="s">
        <v>15</v>
      </c>
      <c r="B146" s="64">
        <v>13</v>
      </c>
      <c r="D146" s="63" t="s">
        <v>73</v>
      </c>
      <c r="E146" s="80">
        <v>0.50497999999999998</v>
      </c>
      <c r="F146" s="81" t="s">
        <v>74</v>
      </c>
      <c r="G146" s="65" t="s">
        <v>75</v>
      </c>
      <c r="H146" s="64">
        <v>0.83581000000000005</v>
      </c>
      <c r="I146" s="66" t="s">
        <v>73</v>
      </c>
      <c r="J146" s="82">
        <v>0.50497999999999998</v>
      </c>
      <c r="K146" s="18" t="s">
        <v>74</v>
      </c>
      <c r="L146" s="47" t="s">
        <v>75</v>
      </c>
      <c r="M146" s="67">
        <v>0.83581000000000005</v>
      </c>
    </row>
    <row r="147" spans="1:13" x14ac:dyDescent="0.3">
      <c r="A147" s="66" t="s">
        <v>48</v>
      </c>
      <c r="B147" s="67">
        <v>48</v>
      </c>
      <c r="D147" s="66" t="s">
        <v>76</v>
      </c>
      <c r="E147" s="82">
        <v>0.1</v>
      </c>
      <c r="F147" s="81" t="s">
        <v>77</v>
      </c>
      <c r="G147" s="69" t="s">
        <v>76</v>
      </c>
      <c r="H147" s="67">
        <v>0.12</v>
      </c>
      <c r="I147" s="66" t="s">
        <v>76</v>
      </c>
      <c r="J147" s="82">
        <v>0.12</v>
      </c>
      <c r="K147" s="18" t="s">
        <v>77</v>
      </c>
      <c r="L147" s="47" t="s">
        <v>76</v>
      </c>
      <c r="M147" s="67">
        <v>0.12</v>
      </c>
    </row>
    <row r="148" spans="1:13" x14ac:dyDescent="0.3">
      <c r="A148" s="66" t="s">
        <v>50</v>
      </c>
      <c r="B148" s="67">
        <v>49</v>
      </c>
      <c r="D148" s="66" t="s">
        <v>78</v>
      </c>
      <c r="E148" s="82">
        <v>0.05</v>
      </c>
      <c r="F148" s="81" t="s">
        <v>79</v>
      </c>
      <c r="G148" s="69" t="s">
        <v>78</v>
      </c>
      <c r="H148" s="67">
        <v>0.05</v>
      </c>
      <c r="I148" s="66" t="s">
        <v>78</v>
      </c>
      <c r="J148" s="82">
        <v>0.05</v>
      </c>
      <c r="K148" s="18" t="s">
        <v>79</v>
      </c>
      <c r="L148" s="47" t="s">
        <v>78</v>
      </c>
      <c r="M148" s="67">
        <v>0.05</v>
      </c>
    </row>
    <row r="149" spans="1:13" ht="15" thickBot="1" x14ac:dyDescent="0.35">
      <c r="A149" s="66" t="s">
        <v>82</v>
      </c>
      <c r="B149" s="67">
        <v>25</v>
      </c>
      <c r="D149" s="66" t="s">
        <v>80</v>
      </c>
      <c r="E149" s="83">
        <f>(E147)/E146</f>
        <v>0.19802764465919445</v>
      </c>
      <c r="F149" s="84" t="s">
        <v>81</v>
      </c>
      <c r="G149" s="69" t="s">
        <v>80</v>
      </c>
      <c r="H149" s="71">
        <f>(H147)/H146</f>
        <v>0.14357330015194839</v>
      </c>
      <c r="I149" s="66" t="s">
        <v>80</v>
      </c>
      <c r="J149" s="83">
        <f>(J147)/J146</f>
        <v>0.23763317359103331</v>
      </c>
      <c r="K149" s="15" t="s">
        <v>81</v>
      </c>
      <c r="L149" s="47" t="s">
        <v>80</v>
      </c>
      <c r="M149" s="71">
        <f>(M147)/M146</f>
        <v>0.14357330015194839</v>
      </c>
    </row>
    <row r="150" spans="1:13" x14ac:dyDescent="0.3">
      <c r="A150" s="66" t="s">
        <v>28</v>
      </c>
      <c r="B150" s="71">
        <f>(B148-B147)/B146</f>
        <v>7.6923076923076927E-2</v>
      </c>
      <c r="D150" s="66" t="s">
        <v>83</v>
      </c>
      <c r="E150" s="85">
        <f>SQRT(E149^2+E147^2)</f>
        <v>0.22184442307452354</v>
      </c>
      <c r="G150" s="47" t="s">
        <v>83</v>
      </c>
      <c r="H150" s="86">
        <f>SQRT(H149^2+H147^2)</f>
        <v>0.18711839171102734</v>
      </c>
      <c r="I150" s="66" t="s">
        <v>83</v>
      </c>
      <c r="J150" s="85">
        <f>SQRT(J149^2+J147^2)</f>
        <v>0.26621330768942819</v>
      </c>
      <c r="L150" s="47" t="s">
        <v>83</v>
      </c>
      <c r="M150" s="86">
        <f>SQRT(M149^2+M147^2)</f>
        <v>0.18711839171102734</v>
      </c>
    </row>
    <row r="151" spans="1:13" x14ac:dyDescent="0.3">
      <c r="A151" s="66" t="s">
        <v>54</v>
      </c>
      <c r="B151" s="73">
        <f>B172</f>
        <v>3.1676864118856833E-2</v>
      </c>
      <c r="D151" s="66" t="s">
        <v>84</v>
      </c>
      <c r="E151" s="85">
        <f>2*E150+E148</f>
        <v>0.49368884614904707</v>
      </c>
      <c r="G151" s="47" t="s">
        <v>84</v>
      </c>
      <c r="H151" s="71">
        <f>2*H150+H148</f>
        <v>0.42423678342205468</v>
      </c>
      <c r="I151" s="66" t="s">
        <v>84</v>
      </c>
      <c r="J151" s="85">
        <f>2*J150+J148</f>
        <v>0.58242661537885643</v>
      </c>
      <c r="L151" s="47" t="s">
        <v>84</v>
      </c>
      <c r="M151" s="71">
        <f>2*M150+M148</f>
        <v>0.42423678342205468</v>
      </c>
    </row>
    <row r="152" spans="1:13" ht="15" thickBot="1" x14ac:dyDescent="0.35">
      <c r="A152" s="66" t="s">
        <v>56</v>
      </c>
      <c r="B152" s="67">
        <f>B151/(2*B169+B168)</f>
        <v>5.8161827823549367E-2</v>
      </c>
      <c r="D152" s="87" t="s">
        <v>29</v>
      </c>
      <c r="E152" s="49">
        <f>1/2*(E148+E151)*E147</f>
        <v>2.7184442307452358E-2</v>
      </c>
      <c r="G152" s="50" t="s">
        <v>29</v>
      </c>
      <c r="H152" s="88">
        <f>1/2*(H148+H151)*H147</f>
        <v>2.8454207005323279E-2</v>
      </c>
      <c r="I152" s="12" t="s">
        <v>29</v>
      </c>
      <c r="J152" s="89">
        <f>1/2*(J148+J151)*J147</f>
        <v>3.7945596922731389E-2</v>
      </c>
      <c r="K152" s="16"/>
      <c r="L152" s="13" t="s">
        <v>29</v>
      </c>
      <c r="M152" s="90">
        <f>1/2*(M148+M151)*M147</f>
        <v>2.8454207005323279E-2</v>
      </c>
    </row>
    <row r="153" spans="1:13" x14ac:dyDescent="0.3">
      <c r="A153" s="26" t="s">
        <v>57</v>
      </c>
      <c r="B153" s="75">
        <f>B149*B151*(B152^(2/3))*(B150^0.5)*1000</f>
        <v>32.971285386484254</v>
      </c>
      <c r="D153" s="26" t="s">
        <v>85</v>
      </c>
      <c r="E153" s="27" t="s">
        <v>15</v>
      </c>
      <c r="F153" s="27" t="s">
        <v>18</v>
      </c>
      <c r="G153" s="27" t="s">
        <v>29</v>
      </c>
      <c r="H153" s="28"/>
      <c r="I153" s="18" t="s">
        <v>85</v>
      </c>
      <c r="J153" t="s">
        <v>15</v>
      </c>
      <c r="K153" t="s">
        <v>18</v>
      </c>
      <c r="L153" s="20" t="s">
        <v>29</v>
      </c>
      <c r="M153" s="20"/>
    </row>
    <row r="154" spans="1:13" ht="15" thickBot="1" x14ac:dyDescent="0.35">
      <c r="A154" s="15" t="s">
        <v>61</v>
      </c>
      <c r="B154" s="76">
        <f>B149*(B152^0.66667)*(B150^0.5)</f>
        <v>1.0408534329236836</v>
      </c>
      <c r="D154" s="15" t="s">
        <v>86</v>
      </c>
      <c r="E154" s="16">
        <v>0.18</v>
      </c>
      <c r="F154" s="45">
        <v>0.2</v>
      </c>
      <c r="G154" s="16">
        <f>E154*F154</f>
        <v>3.5999999999999997E-2</v>
      </c>
      <c r="H154" s="22"/>
      <c r="I154" s="15" t="s">
        <v>86</v>
      </c>
      <c r="J154" s="16">
        <v>0.15</v>
      </c>
      <c r="K154" s="16">
        <v>0.2</v>
      </c>
      <c r="L154" s="22">
        <f>J154*K154</f>
        <v>0.03</v>
      </c>
      <c r="M154" s="22"/>
    </row>
    <row r="155" spans="1:13" ht="15" thickBot="1" x14ac:dyDescent="0.35"/>
    <row r="156" spans="1:13" ht="15" thickBot="1" x14ac:dyDescent="0.35">
      <c r="A156" s="162" t="s">
        <v>68</v>
      </c>
      <c r="B156" s="163"/>
      <c r="C156" s="164" t="s">
        <v>87</v>
      </c>
      <c r="D156" s="142"/>
      <c r="E156" s="143"/>
      <c r="F156" s="144" t="s">
        <v>68</v>
      </c>
      <c r="G156" s="145"/>
      <c r="H156" s="165" t="s">
        <v>88</v>
      </c>
      <c r="I156" s="166" t="s">
        <v>89</v>
      </c>
      <c r="J156" s="167"/>
      <c r="K156" s="168" t="s">
        <v>90</v>
      </c>
    </row>
    <row r="157" spans="1:13" ht="15" thickBot="1" x14ac:dyDescent="0.35">
      <c r="A157" s="91" t="s">
        <v>183</v>
      </c>
      <c r="B157" s="92"/>
      <c r="C157" s="91" t="s">
        <v>91</v>
      </c>
      <c r="D157" s="17" t="s">
        <v>185</v>
      </c>
      <c r="E157" s="3"/>
      <c r="F157" s="18" t="s">
        <v>183</v>
      </c>
      <c r="H157" s="55" t="s">
        <v>70</v>
      </c>
      <c r="I157" s="26" t="s">
        <v>183</v>
      </c>
      <c r="J157" s="27"/>
      <c r="K157" s="55" t="s">
        <v>91</v>
      </c>
    </row>
    <row r="158" spans="1:13" x14ac:dyDescent="0.3">
      <c r="A158" s="66" t="s">
        <v>92</v>
      </c>
      <c r="B158" s="82">
        <v>0.50497999999999998</v>
      </c>
      <c r="C158" s="18" t="s">
        <v>74</v>
      </c>
      <c r="D158" s="93" t="s">
        <v>93</v>
      </c>
      <c r="E158" s="64">
        <v>0.64944999999999997</v>
      </c>
      <c r="F158" s="66" t="s">
        <v>73</v>
      </c>
      <c r="G158" s="82">
        <v>0.50497999999999998</v>
      </c>
      <c r="H158" s="81" t="s">
        <v>74</v>
      </c>
      <c r="I158" s="66" t="s">
        <v>73</v>
      </c>
      <c r="J158" s="82">
        <v>0.50497999999999998</v>
      </c>
      <c r="K158" s="81" t="s">
        <v>74</v>
      </c>
    </row>
    <row r="159" spans="1:13" x14ac:dyDescent="0.3">
      <c r="A159" s="66" t="s">
        <v>76</v>
      </c>
      <c r="B159" s="82">
        <v>0.12</v>
      </c>
      <c r="C159" s="18" t="s">
        <v>77</v>
      </c>
      <c r="D159" s="47" t="s">
        <v>76</v>
      </c>
      <c r="E159" s="67">
        <v>0.12</v>
      </c>
      <c r="F159" s="66" t="s">
        <v>76</v>
      </c>
      <c r="G159" s="82">
        <v>0.11</v>
      </c>
      <c r="H159" s="81" t="s">
        <v>94</v>
      </c>
      <c r="I159" s="66" t="s">
        <v>76</v>
      </c>
      <c r="J159" s="82">
        <v>0.12</v>
      </c>
      <c r="K159" s="81" t="s">
        <v>94</v>
      </c>
    </row>
    <row r="160" spans="1:13" x14ac:dyDescent="0.3">
      <c r="A160" s="66" t="s">
        <v>95</v>
      </c>
      <c r="B160" s="82">
        <v>0.05</v>
      </c>
      <c r="C160" s="18" t="s">
        <v>79</v>
      </c>
      <c r="D160" s="47" t="s">
        <v>95</v>
      </c>
      <c r="E160" s="67">
        <v>0.05</v>
      </c>
      <c r="F160" s="66" t="s">
        <v>78</v>
      </c>
      <c r="G160" s="82">
        <v>0.05</v>
      </c>
      <c r="H160" s="81" t="s">
        <v>79</v>
      </c>
      <c r="I160" s="66" t="s">
        <v>78</v>
      </c>
      <c r="J160" s="82">
        <v>0.05</v>
      </c>
      <c r="K160" s="81" t="s">
        <v>77</v>
      </c>
    </row>
    <row r="161" spans="1:11" ht="15" thickBot="1" x14ac:dyDescent="0.35">
      <c r="A161" s="66" t="s">
        <v>96</v>
      </c>
      <c r="B161" s="83">
        <f>(B159)/B158</f>
        <v>0.23763317359103331</v>
      </c>
      <c r="C161" s="15" t="s">
        <v>81</v>
      </c>
      <c r="D161" s="94" t="s">
        <v>80</v>
      </c>
      <c r="E161" s="71">
        <f>(E159)/E158</f>
        <v>0.18477172992532143</v>
      </c>
      <c r="F161" s="66" t="s">
        <v>80</v>
      </c>
      <c r="G161" s="83">
        <f>(G159)/G158</f>
        <v>0.21783040912511387</v>
      </c>
      <c r="H161" s="81" t="s">
        <v>81</v>
      </c>
      <c r="I161" s="66" t="s">
        <v>80</v>
      </c>
      <c r="J161" s="83">
        <f>(J159)/J158</f>
        <v>0.23763317359103331</v>
      </c>
      <c r="K161" s="81" t="s">
        <v>79</v>
      </c>
    </row>
    <row r="162" spans="1:11" ht="15" thickBot="1" x14ac:dyDescent="0.35">
      <c r="A162" s="66" t="s">
        <v>83</v>
      </c>
      <c r="B162" s="85">
        <f>SQRT(B161^2+B159^2)</f>
        <v>0.26621330768942819</v>
      </c>
      <c r="D162" s="47" t="s">
        <v>83</v>
      </c>
      <c r="E162" s="71">
        <f>SQRT(E161^2+E159^2)</f>
        <v>0.22031929597653474</v>
      </c>
      <c r="F162" s="66" t="s">
        <v>83</v>
      </c>
      <c r="G162" s="83">
        <f>SQRT(G161^2+G159^2)</f>
        <v>0.24402886538197585</v>
      </c>
      <c r="H162" s="84" t="s">
        <v>77</v>
      </c>
      <c r="I162" s="66" t="s">
        <v>83</v>
      </c>
      <c r="J162" s="95">
        <f>SQRT(J161^2+J159^2)</f>
        <v>0.26621330768942819</v>
      </c>
      <c r="K162" s="84" t="s">
        <v>81</v>
      </c>
    </row>
    <row r="163" spans="1:11" x14ac:dyDescent="0.3">
      <c r="A163" s="66" t="s">
        <v>84</v>
      </c>
      <c r="B163" s="85">
        <f>2*B162+B160</f>
        <v>0.58242661537885643</v>
      </c>
      <c r="D163" s="47" t="s">
        <v>84</v>
      </c>
      <c r="E163" s="71">
        <f>2*E162+E160</f>
        <v>0.49063859195306947</v>
      </c>
      <c r="F163" s="66" t="s">
        <v>84</v>
      </c>
      <c r="G163" s="94">
        <f>2*G162+G160</f>
        <v>0.53805773076395169</v>
      </c>
      <c r="H163" s="20"/>
      <c r="I163" s="66" t="s">
        <v>84</v>
      </c>
      <c r="J163" s="94">
        <f>2*J162+J160</f>
        <v>0.58242661537885643</v>
      </c>
      <c r="K163" s="20"/>
    </row>
    <row r="164" spans="1:11" ht="15" thickBot="1" x14ac:dyDescent="0.35">
      <c r="A164" s="12" t="s">
        <v>29</v>
      </c>
      <c r="B164" s="89">
        <f>1/2*(B160+B163)*B159</f>
        <v>3.7945596922731389E-2</v>
      </c>
      <c r="C164" s="16"/>
      <c r="D164" s="13" t="s">
        <v>29</v>
      </c>
      <c r="E164" s="96">
        <f>1/2*(B160+E163)*B159</f>
        <v>3.2438315517184173E-2</v>
      </c>
      <c r="F164" s="12" t="s">
        <v>29</v>
      </c>
      <c r="G164" s="89">
        <f>1/2*(G160+G163)*G159</f>
        <v>3.2343175192017348E-2</v>
      </c>
      <c r="H164" s="22"/>
      <c r="I164" s="12" t="s">
        <v>29</v>
      </c>
      <c r="J164" s="89">
        <f>1/2*(J160+J163)*J159</f>
        <v>3.7945596922731389E-2</v>
      </c>
      <c r="K164" s="22"/>
    </row>
    <row r="165" spans="1:11" ht="15" thickBot="1" x14ac:dyDescent="0.35">
      <c r="A165" s="175" t="s">
        <v>184</v>
      </c>
      <c r="B165" s="28"/>
      <c r="F165" s="175" t="s">
        <v>184</v>
      </c>
      <c r="G165" s="28"/>
      <c r="I165" s="26" t="s">
        <v>184</v>
      </c>
      <c r="J165" s="28"/>
    </row>
    <row r="166" spans="1:11" x14ac:dyDescent="0.3">
      <c r="A166" s="8" t="s">
        <v>97</v>
      </c>
      <c r="B166" s="79">
        <v>0.40433999999999998</v>
      </c>
      <c r="F166" s="8" t="s">
        <v>97</v>
      </c>
      <c r="G166" s="79">
        <v>0.40433999999999998</v>
      </c>
      <c r="I166" s="8" t="s">
        <v>97</v>
      </c>
      <c r="J166" s="79">
        <v>0.40433999999999998</v>
      </c>
    </row>
    <row r="167" spans="1:11" x14ac:dyDescent="0.3">
      <c r="A167" s="66" t="s">
        <v>76</v>
      </c>
      <c r="B167" s="67">
        <v>0.1</v>
      </c>
      <c r="F167" s="66" t="s">
        <v>76</v>
      </c>
      <c r="G167" s="67">
        <v>0.12</v>
      </c>
      <c r="I167" s="66" t="s">
        <v>76</v>
      </c>
      <c r="J167" s="67">
        <v>0.13</v>
      </c>
    </row>
    <row r="168" spans="1:11" x14ac:dyDescent="0.3">
      <c r="A168" s="66" t="s">
        <v>78</v>
      </c>
      <c r="B168" s="67">
        <v>0.05</v>
      </c>
      <c r="F168" s="66" t="s">
        <v>78</v>
      </c>
      <c r="G168" s="67">
        <v>0.12</v>
      </c>
      <c r="I168" s="66" t="s">
        <v>78</v>
      </c>
      <c r="J168" s="67">
        <v>0.15</v>
      </c>
    </row>
    <row r="169" spans="1:11" x14ac:dyDescent="0.3">
      <c r="A169" s="66" t="s">
        <v>80</v>
      </c>
      <c r="B169" s="71">
        <f>(B167)/B166</f>
        <v>0.2473166147301776</v>
      </c>
      <c r="F169" s="66" t="s">
        <v>80</v>
      </c>
      <c r="G169" s="71">
        <f>(G167)/G166</f>
        <v>0.29677993767621308</v>
      </c>
      <c r="I169" s="66" t="s">
        <v>80</v>
      </c>
      <c r="J169" s="71">
        <f>(J167)/J166</f>
        <v>0.32151159914923089</v>
      </c>
    </row>
    <row r="170" spans="1:11" x14ac:dyDescent="0.3">
      <c r="A170" s="66" t="s">
        <v>83</v>
      </c>
      <c r="B170" s="71">
        <f>SQRT(B169^2+B167^2)</f>
        <v>0.2667686411885683</v>
      </c>
      <c r="F170" s="66" t="s">
        <v>83</v>
      </c>
      <c r="G170" s="71">
        <f>SQRT(G169^2+G167^2)</f>
        <v>0.32012236942628192</v>
      </c>
      <c r="I170" s="66" t="s">
        <v>83</v>
      </c>
      <c r="J170" s="71">
        <f>SQRT(J169^2+J167^2)</f>
        <v>0.34679923354513881</v>
      </c>
    </row>
    <row r="171" spans="1:11" x14ac:dyDescent="0.3">
      <c r="A171" s="66" t="s">
        <v>84</v>
      </c>
      <c r="B171" s="71">
        <f>2*B170+B168</f>
        <v>0.58353728237713665</v>
      </c>
      <c r="F171" s="66" t="s">
        <v>84</v>
      </c>
      <c r="G171" s="71">
        <f>2*G170+G168</f>
        <v>0.76024473885256383</v>
      </c>
      <c r="I171" s="66" t="s">
        <v>84</v>
      </c>
      <c r="J171" s="71">
        <f>2*J170+J168</f>
        <v>0.84359846709027764</v>
      </c>
    </row>
    <row r="172" spans="1:11" ht="15" thickBot="1" x14ac:dyDescent="0.35">
      <c r="A172" s="12" t="s">
        <v>29</v>
      </c>
      <c r="B172" s="90">
        <f>1/2*(B168+B171)*B167</f>
        <v>3.1676864118856833E-2</v>
      </c>
      <c r="F172" s="12" t="s">
        <v>29</v>
      </c>
      <c r="G172" s="90">
        <f>1/2*(G168+G171)*G167</f>
        <v>5.2814684331153827E-2</v>
      </c>
      <c r="I172" s="12" t="s">
        <v>29</v>
      </c>
      <c r="J172" s="90">
        <f>1/2*(J168+J171)*J167</f>
        <v>6.4583900360868043E-2</v>
      </c>
    </row>
    <row r="173" spans="1:11" ht="15" thickBot="1" x14ac:dyDescent="0.35">
      <c r="F173" s="120"/>
      <c r="G173" s="115"/>
    </row>
    <row r="174" spans="1:11" ht="24" thickBot="1" x14ac:dyDescent="0.5">
      <c r="C174" s="206" t="s">
        <v>176</v>
      </c>
      <c r="D174" s="207"/>
      <c r="E174" s="120"/>
      <c r="F174" s="120"/>
      <c r="G174" s="120"/>
    </row>
    <row r="175" spans="1:11" ht="24" thickBot="1" x14ac:dyDescent="0.5">
      <c r="C175" s="60"/>
      <c r="D175" s="60"/>
    </row>
    <row r="176" spans="1:11" ht="18.600000000000001" thickBot="1" x14ac:dyDescent="0.4">
      <c r="A176" s="208" t="s">
        <v>98</v>
      </c>
      <c r="B176" s="209"/>
      <c r="C176" s="209"/>
      <c r="D176" s="210"/>
    </row>
    <row r="177" spans="1:10" ht="15" thickBot="1" x14ac:dyDescent="0.35">
      <c r="B177" s="21"/>
    </row>
    <row r="178" spans="1:10" ht="18.600000000000001" thickBot="1" x14ac:dyDescent="0.4">
      <c r="A178" s="211" t="s">
        <v>177</v>
      </c>
      <c r="B178" s="214"/>
      <c r="C178" s="213"/>
    </row>
    <row r="179" spans="1:10" ht="15" thickBot="1" x14ac:dyDescent="0.35">
      <c r="A179" s="97" t="s">
        <v>10</v>
      </c>
      <c r="B179" s="98" t="s">
        <v>11</v>
      </c>
      <c r="C179" s="99" t="s">
        <v>12</v>
      </c>
    </row>
    <row r="180" spans="1:10" ht="15" thickBot="1" x14ac:dyDescent="0.35">
      <c r="A180" s="63">
        <f>13020/10000</f>
        <v>1.302</v>
      </c>
      <c r="B180" s="93" t="s">
        <v>99</v>
      </c>
      <c r="C180" s="64">
        <v>0.3</v>
      </c>
    </row>
    <row r="181" spans="1:10" x14ac:dyDescent="0.3">
      <c r="A181" s="102">
        <f>A187-A182-A183-A180</f>
        <v>0.3584999999999996</v>
      </c>
      <c r="B181" s="47" t="s">
        <v>17</v>
      </c>
      <c r="C181" s="67">
        <v>0.5</v>
      </c>
      <c r="D181" s="26"/>
      <c r="E181" s="27"/>
      <c r="F181" s="27" t="s">
        <v>9</v>
      </c>
      <c r="G181" s="27"/>
      <c r="H181" s="27"/>
      <c r="I181" s="28"/>
    </row>
    <row r="182" spans="1:10" x14ac:dyDescent="0.3">
      <c r="A182" s="66">
        <v>0.35</v>
      </c>
      <c r="B182" s="47" t="s">
        <v>100</v>
      </c>
      <c r="C182" s="67">
        <v>0.7</v>
      </c>
      <c r="D182" s="30" t="s">
        <v>13</v>
      </c>
      <c r="E182" s="31"/>
      <c r="F182" s="31"/>
      <c r="G182" s="31"/>
      <c r="H182" s="31"/>
      <c r="I182" s="32"/>
    </row>
    <row r="183" spans="1:10" x14ac:dyDescent="0.3">
      <c r="A183" s="102">
        <f>(45+150)/10000</f>
        <v>1.95E-2</v>
      </c>
      <c r="B183" s="47" t="s">
        <v>101</v>
      </c>
      <c r="C183" s="67">
        <v>0.9</v>
      </c>
      <c r="D183" s="18" t="s">
        <v>15</v>
      </c>
      <c r="E183" s="120">
        <v>240</v>
      </c>
      <c r="F183" s="120" t="s">
        <v>16</v>
      </c>
      <c r="G183" s="120"/>
      <c r="H183" s="120"/>
      <c r="I183" s="20"/>
    </row>
    <row r="184" spans="1:10" x14ac:dyDescent="0.3">
      <c r="A184" s="66"/>
      <c r="B184" s="47" t="s">
        <v>102</v>
      </c>
      <c r="C184" s="67">
        <v>0.7</v>
      </c>
      <c r="D184" s="18" t="s">
        <v>18</v>
      </c>
      <c r="E184" s="120">
        <f>56-15</f>
        <v>41</v>
      </c>
      <c r="F184" s="120" t="s">
        <v>106</v>
      </c>
      <c r="G184" s="120"/>
      <c r="H184" s="120"/>
      <c r="I184" s="20"/>
    </row>
    <row r="185" spans="1:10" ht="15" thickBot="1" x14ac:dyDescent="0.35">
      <c r="A185" s="66"/>
      <c r="B185" s="47"/>
      <c r="C185" s="67"/>
      <c r="D185" s="37" t="s">
        <v>23</v>
      </c>
      <c r="E185" s="38">
        <f>0.6*E183*E184^-0.5</f>
        <v>22.489021711959275</v>
      </c>
      <c r="F185" s="39" t="s">
        <v>24</v>
      </c>
      <c r="G185" s="39"/>
      <c r="H185" s="39"/>
      <c r="I185" s="40"/>
      <c r="J185" s="120"/>
    </row>
    <row r="186" spans="1:10" ht="15" thickBot="1" x14ac:dyDescent="0.35">
      <c r="A186" s="26" t="s">
        <v>104</v>
      </c>
      <c r="B186" s="27" t="s">
        <v>105</v>
      </c>
      <c r="C186" s="28"/>
      <c r="D186" s="15" t="s">
        <v>160</v>
      </c>
      <c r="E186" s="16"/>
      <c r="F186" s="16"/>
      <c r="G186" s="16"/>
      <c r="H186" s="16"/>
      <c r="I186" s="22"/>
      <c r="J186" s="120"/>
    </row>
    <row r="187" spans="1:10" ht="15" thickBot="1" x14ac:dyDescent="0.35">
      <c r="A187" s="15">
        <f>2.03</f>
        <v>2.0299999999999998</v>
      </c>
      <c r="B187" s="45">
        <f>(A180*C180+A181*C181+A182*C182+A183*C183+A185*C185)/A187</f>
        <v>0.41004926108374373</v>
      </c>
      <c r="C187" s="53"/>
      <c r="J187" s="120"/>
    </row>
    <row r="188" spans="1:10" x14ac:dyDescent="0.3">
      <c r="A188" s="26" t="s">
        <v>107</v>
      </c>
      <c r="B188" s="27" t="s">
        <v>21</v>
      </c>
      <c r="C188" s="27" t="s">
        <v>108</v>
      </c>
      <c r="D188" s="27" t="s">
        <v>29</v>
      </c>
      <c r="E188" s="28" t="s">
        <v>30</v>
      </c>
      <c r="J188" s="120"/>
    </row>
    <row r="189" spans="1:10" ht="15" thickBot="1" x14ac:dyDescent="0.35">
      <c r="A189" s="54">
        <f>B189*C189*D189*E189</f>
        <v>145.66999999999993</v>
      </c>
      <c r="B189" s="45">
        <f>B187</f>
        <v>0.41004926108374373</v>
      </c>
      <c r="C189" s="16">
        <v>125</v>
      </c>
      <c r="D189" s="16">
        <f>A187</f>
        <v>2.0299999999999998</v>
      </c>
      <c r="E189" s="22">
        <v>1.4</v>
      </c>
      <c r="F189" s="119"/>
      <c r="G189" s="120"/>
      <c r="H189" s="120"/>
      <c r="I189" s="120"/>
      <c r="J189" s="120"/>
    </row>
    <row r="190" spans="1:10" x14ac:dyDescent="0.3">
      <c r="F190" s="120"/>
      <c r="G190" s="120"/>
      <c r="H190" s="120"/>
      <c r="I190" s="120"/>
      <c r="J190" s="120"/>
    </row>
    <row r="191" spans="1:10" ht="15" thickBot="1" x14ac:dyDescent="0.35"/>
    <row r="192" spans="1:10" ht="18.600000000000001" thickBot="1" x14ac:dyDescent="0.4">
      <c r="A192" s="211" t="s">
        <v>178</v>
      </c>
      <c r="B192" s="212"/>
      <c r="C192" s="213"/>
      <c r="E192" s="26"/>
      <c r="F192" s="27"/>
      <c r="G192" s="27" t="s">
        <v>9</v>
      </c>
      <c r="H192" s="28"/>
      <c r="I192" s="120"/>
      <c r="J192" s="120"/>
    </row>
    <row r="193" spans="1:10" ht="15" thickBot="1" x14ac:dyDescent="0.35">
      <c r="A193" s="97" t="s">
        <v>10</v>
      </c>
      <c r="B193" s="98" t="s">
        <v>11</v>
      </c>
      <c r="C193" s="99" t="s">
        <v>12</v>
      </c>
      <c r="E193" s="30" t="s">
        <v>13</v>
      </c>
      <c r="F193" s="31"/>
      <c r="G193" s="31"/>
      <c r="H193" s="32"/>
      <c r="I193" s="120"/>
      <c r="J193" s="120"/>
    </row>
    <row r="194" spans="1:10" x14ac:dyDescent="0.3">
      <c r="A194" s="101">
        <f>A180-E12-G12</f>
        <v>1.2820200000000002</v>
      </c>
      <c r="B194" s="93" t="s">
        <v>99</v>
      </c>
      <c r="C194" s="64">
        <v>0.3</v>
      </c>
      <c r="E194" s="18" t="s">
        <v>15</v>
      </c>
      <c r="F194" s="120">
        <v>240</v>
      </c>
      <c r="G194" s="120" t="s">
        <v>16</v>
      </c>
      <c r="H194" s="20"/>
      <c r="I194" s="120"/>
      <c r="J194" s="120"/>
    </row>
    <row r="195" spans="1:10" x14ac:dyDescent="0.3">
      <c r="A195" s="102">
        <f>A181-A12-C12</f>
        <v>0.32861999999999958</v>
      </c>
      <c r="B195" s="47" t="s">
        <v>17</v>
      </c>
      <c r="C195" s="67">
        <v>0.5</v>
      </c>
      <c r="E195" s="18" t="s">
        <v>18</v>
      </c>
      <c r="F195" s="120">
        <f>56-15</f>
        <v>41</v>
      </c>
      <c r="G195" s="120" t="s">
        <v>106</v>
      </c>
      <c r="H195" s="20"/>
      <c r="I195" s="120"/>
      <c r="J195" s="120"/>
    </row>
    <row r="196" spans="1:10" x14ac:dyDescent="0.3">
      <c r="A196" s="102">
        <f>A182</f>
        <v>0.35</v>
      </c>
      <c r="B196" s="47" t="s">
        <v>100</v>
      </c>
      <c r="C196" s="67">
        <v>0.7</v>
      </c>
      <c r="E196" s="37" t="s">
        <v>23</v>
      </c>
      <c r="F196" s="38">
        <f>0.6*F194*F195^-0.5</f>
        <v>22.489021711959275</v>
      </c>
      <c r="G196" s="39" t="s">
        <v>24</v>
      </c>
      <c r="H196" s="40"/>
      <c r="I196" s="120"/>
      <c r="J196" s="120"/>
    </row>
    <row r="197" spans="1:10" ht="15" thickBot="1" x14ac:dyDescent="0.35">
      <c r="A197" s="102">
        <f>A183</f>
        <v>1.95E-2</v>
      </c>
      <c r="B197" s="47" t="s">
        <v>101</v>
      </c>
      <c r="C197" s="67">
        <v>0.9</v>
      </c>
      <c r="E197" s="15" t="s">
        <v>160</v>
      </c>
      <c r="F197" s="16"/>
      <c r="G197" s="16"/>
      <c r="H197" s="22"/>
      <c r="I197" s="120"/>
      <c r="J197" s="120"/>
    </row>
    <row r="198" spans="1:10" ht="15" thickBot="1" x14ac:dyDescent="0.35">
      <c r="A198" s="102">
        <f>A12+C12+E12+G12</f>
        <v>4.9860000000000002E-2</v>
      </c>
      <c r="B198" s="47" t="s">
        <v>102</v>
      </c>
      <c r="C198" s="67">
        <v>0.7</v>
      </c>
      <c r="I198" s="120"/>
      <c r="J198" s="120"/>
    </row>
    <row r="199" spans="1:10" ht="15" thickBot="1" x14ac:dyDescent="0.35">
      <c r="A199" s="66"/>
      <c r="B199" s="47"/>
      <c r="C199" s="67"/>
      <c r="E199" s="26"/>
      <c r="F199" s="27"/>
      <c r="G199" s="27" t="s">
        <v>9</v>
      </c>
      <c r="H199" s="28"/>
      <c r="I199" s="120"/>
      <c r="J199" s="120"/>
    </row>
    <row r="200" spans="1:10" x14ac:dyDescent="0.3">
      <c r="A200" s="26" t="s">
        <v>109</v>
      </c>
      <c r="B200" s="27" t="s">
        <v>105</v>
      </c>
      <c r="C200" s="28" t="s">
        <v>110</v>
      </c>
      <c r="E200" s="30" t="s">
        <v>103</v>
      </c>
      <c r="F200" s="31"/>
      <c r="G200" s="31"/>
      <c r="H200" s="32"/>
      <c r="I200" s="120"/>
      <c r="J200" s="120"/>
    </row>
    <row r="201" spans="1:10" ht="15" thickBot="1" x14ac:dyDescent="0.35">
      <c r="A201" s="104">
        <f>SUM(A194:A199)</f>
        <v>2.0299999999999998</v>
      </c>
      <c r="B201" s="46">
        <f>((A194*C194)+(A195*C195)+(A196*C196)+(A197*C197)+(A198*C198)+(A199*C199))/A201</f>
        <v>0.41693004926108368</v>
      </c>
      <c r="C201" s="53">
        <f>B201+(B201*0.25)</f>
        <v>0.52116256157635465</v>
      </c>
      <c r="E201" s="18" t="s">
        <v>15</v>
      </c>
      <c r="F201" s="120">
        <v>225</v>
      </c>
      <c r="G201" s="120" t="s">
        <v>16</v>
      </c>
      <c r="H201" s="20"/>
      <c r="I201" s="120"/>
      <c r="J201" s="120"/>
    </row>
    <row r="202" spans="1:10" x14ac:dyDescent="0.3">
      <c r="A202" s="18"/>
      <c r="B202" s="120"/>
      <c r="C202" s="20"/>
      <c r="E202" s="18" t="s">
        <v>18</v>
      </c>
      <c r="F202" s="120">
        <f>56-32</f>
        <v>24</v>
      </c>
      <c r="G202" s="120" t="s">
        <v>154</v>
      </c>
      <c r="H202" s="20"/>
      <c r="I202" s="120"/>
      <c r="J202" s="120"/>
    </row>
    <row r="203" spans="1:10" x14ac:dyDescent="0.3">
      <c r="A203" s="114" t="s">
        <v>161</v>
      </c>
      <c r="B203" s="115"/>
      <c r="C203" s="100"/>
      <c r="E203" s="37" t="s">
        <v>23</v>
      </c>
      <c r="F203" s="38">
        <f>0.6*F201*F202^-0.5</f>
        <v>27.556759606310756</v>
      </c>
      <c r="G203" s="39" t="s">
        <v>24</v>
      </c>
      <c r="H203" s="40"/>
      <c r="I203" s="120"/>
      <c r="J203" s="120"/>
    </row>
    <row r="204" spans="1:10" ht="15" thickBot="1" x14ac:dyDescent="0.35">
      <c r="A204" s="18" t="s">
        <v>135</v>
      </c>
      <c r="B204" s="115">
        <f>A195-1160/10000</f>
        <v>0.21261999999999959</v>
      </c>
      <c r="C204" s="100">
        <v>0.5</v>
      </c>
      <c r="E204" s="15" t="s">
        <v>164</v>
      </c>
      <c r="F204" s="16"/>
      <c r="G204" s="16"/>
      <c r="H204" s="22"/>
      <c r="I204" s="120"/>
      <c r="J204" s="120"/>
    </row>
    <row r="205" spans="1:10" x14ac:dyDescent="0.3">
      <c r="A205" s="18" t="s">
        <v>33</v>
      </c>
      <c r="B205" s="120">
        <f>150/10000</f>
        <v>1.4999999999999999E-2</v>
      </c>
      <c r="C205" s="20">
        <v>0.9</v>
      </c>
      <c r="I205" s="120"/>
      <c r="J205" s="120"/>
    </row>
    <row r="206" spans="1:10" x14ac:dyDescent="0.3">
      <c r="A206" s="18" t="s">
        <v>134</v>
      </c>
      <c r="B206" s="121" t="s">
        <v>162</v>
      </c>
      <c r="C206" s="100" t="s">
        <v>163</v>
      </c>
      <c r="I206" s="120"/>
      <c r="J206" s="120"/>
    </row>
    <row r="207" spans="1:10" ht="15" thickBot="1" x14ac:dyDescent="0.35">
      <c r="A207" s="104">
        <f>B204+A196+A198-A12+A194</f>
        <v>1.8750599999999997</v>
      </c>
      <c r="B207" s="46">
        <f>((A194*C194)+(B204*C204)+(A196*C196)+(B205*C205)+(A198*C198))/A207</f>
        <v>0.41828954806779506</v>
      </c>
      <c r="C207" s="53">
        <f>B207+(B207*0.25)</f>
        <v>0.52286193508474388</v>
      </c>
      <c r="I207" s="120"/>
      <c r="J207" s="120"/>
    </row>
    <row r="208" spans="1:10" ht="15" thickBot="1" x14ac:dyDescent="0.35"/>
    <row r="209" spans="1:10" x14ac:dyDescent="0.3">
      <c r="A209" s="26" t="s">
        <v>111</v>
      </c>
      <c r="B209" s="27" t="s">
        <v>27</v>
      </c>
      <c r="C209" s="27" t="s">
        <v>112</v>
      </c>
      <c r="D209" s="27" t="s">
        <v>29</v>
      </c>
      <c r="E209" s="28" t="s">
        <v>113</v>
      </c>
    </row>
    <row r="210" spans="1:10" x14ac:dyDescent="0.3">
      <c r="A210" s="105">
        <f>B210*C210*D210*E210</f>
        <v>148.11439999999996</v>
      </c>
      <c r="B210" s="106">
        <f>B201</f>
        <v>0.41693004926108368</v>
      </c>
      <c r="C210" s="39">
        <v>125</v>
      </c>
      <c r="D210" s="107">
        <f>A201</f>
        <v>2.0299999999999998</v>
      </c>
      <c r="E210" s="40">
        <v>1.4</v>
      </c>
    </row>
    <row r="211" spans="1:10" x14ac:dyDescent="0.3">
      <c r="A211" s="18" t="s">
        <v>158</v>
      </c>
      <c r="B211" s="21">
        <f>C207</f>
        <v>0.52286193508474388</v>
      </c>
      <c r="C211">
        <v>102</v>
      </c>
      <c r="D211" s="21">
        <f>A207</f>
        <v>1.8750599999999997</v>
      </c>
      <c r="E211" s="20">
        <v>1.4</v>
      </c>
    </row>
    <row r="212" spans="1:10" ht="15" thickBot="1" x14ac:dyDescent="0.35">
      <c r="A212" s="54">
        <f>B211*C211*D211*E210</f>
        <v>140.00076299999992</v>
      </c>
      <c r="B212" s="16"/>
      <c r="C212" s="16"/>
      <c r="D212" s="16"/>
      <c r="E212" s="22"/>
    </row>
    <row r="213" spans="1:10" ht="15" thickBot="1" x14ac:dyDescent="0.35">
      <c r="A213" s="126"/>
      <c r="B213" s="120"/>
      <c r="C213" s="120"/>
      <c r="D213" s="120"/>
      <c r="E213" s="120"/>
    </row>
    <row r="214" spans="1:10" ht="24" thickBot="1" x14ac:dyDescent="0.5">
      <c r="A214" s="126"/>
      <c r="B214" s="120"/>
      <c r="C214" s="194" t="s">
        <v>179</v>
      </c>
      <c r="D214" s="179"/>
      <c r="E214" s="179"/>
      <c r="F214" s="180"/>
    </row>
    <row r="215" spans="1:10" x14ac:dyDescent="0.3">
      <c r="A215" s="126"/>
      <c r="B215" s="120"/>
      <c r="C215" s="120"/>
      <c r="D215" s="120"/>
      <c r="E215" s="120"/>
    </row>
    <row r="216" spans="1:10" ht="15" thickBot="1" x14ac:dyDescent="0.35">
      <c r="A216" s="126"/>
      <c r="B216" s="120"/>
      <c r="C216" s="120"/>
    </row>
    <row r="217" spans="1:10" ht="18.600000000000001" thickBot="1" x14ac:dyDescent="0.4">
      <c r="A217" s="171" t="s">
        <v>202</v>
      </c>
      <c r="B217" s="172"/>
      <c r="C217" s="173"/>
      <c r="E217" s="26"/>
      <c r="F217" s="27"/>
      <c r="G217" s="27" t="s">
        <v>9</v>
      </c>
      <c r="H217" s="27"/>
      <c r="I217" s="27"/>
      <c r="J217" s="28"/>
    </row>
    <row r="218" spans="1:10" ht="15" thickBot="1" x14ac:dyDescent="0.35">
      <c r="A218" s="97" t="s">
        <v>10</v>
      </c>
      <c r="B218" s="98" t="s">
        <v>11</v>
      </c>
      <c r="C218" s="99" t="s">
        <v>12</v>
      </c>
      <c r="E218" s="30" t="s">
        <v>13</v>
      </c>
      <c r="F218" s="31"/>
      <c r="G218" s="31"/>
      <c r="H218" s="31"/>
      <c r="I218" s="31"/>
      <c r="J218" s="32"/>
    </row>
    <row r="219" spans="1:10" x14ac:dyDescent="0.3">
      <c r="A219" s="101">
        <f>A227-A223-A221-A220</f>
        <v>1.2984800000000001</v>
      </c>
      <c r="B219" s="93" t="s">
        <v>99</v>
      </c>
      <c r="C219" s="64">
        <v>0.3</v>
      </c>
      <c r="E219" s="18" t="s">
        <v>15</v>
      </c>
      <c r="F219">
        <v>180</v>
      </c>
      <c r="G219" t="s">
        <v>16</v>
      </c>
      <c r="J219" s="20"/>
    </row>
    <row r="220" spans="1:10" x14ac:dyDescent="0.3">
      <c r="A220" s="102">
        <f>620/10000</f>
        <v>6.2E-2</v>
      </c>
      <c r="B220" s="47" t="s">
        <v>17</v>
      </c>
      <c r="C220" s="67">
        <v>0.5</v>
      </c>
      <c r="E220" s="18" t="s">
        <v>18</v>
      </c>
      <c r="F220">
        <f>56-32</f>
        <v>24</v>
      </c>
      <c r="G220" t="s">
        <v>154</v>
      </c>
      <c r="J220" s="20" t="s">
        <v>16</v>
      </c>
    </row>
    <row r="221" spans="1:10" x14ac:dyDescent="0.3">
      <c r="A221" s="102">
        <f>441/10000</f>
        <v>4.41E-2</v>
      </c>
      <c r="B221" s="47" t="s">
        <v>153</v>
      </c>
      <c r="C221" s="67">
        <v>0.7</v>
      </c>
      <c r="E221" s="37" t="s">
        <v>23</v>
      </c>
      <c r="F221" s="38">
        <f>0.6*270*F220^-0.5</f>
        <v>33.06811152757291</v>
      </c>
      <c r="G221" s="39" t="s">
        <v>24</v>
      </c>
      <c r="H221" s="39"/>
      <c r="I221" s="39"/>
      <c r="J221" s="40"/>
    </row>
    <row r="222" spans="1:10" ht="15" thickBot="1" x14ac:dyDescent="0.35">
      <c r="A222" s="66"/>
      <c r="B222" s="47"/>
      <c r="C222" s="67"/>
      <c r="E222" s="15" t="s">
        <v>155</v>
      </c>
      <c r="F222" s="16"/>
      <c r="G222" s="16"/>
      <c r="H222" s="16"/>
      <c r="I222" s="16"/>
      <c r="J222" s="22"/>
    </row>
    <row r="223" spans="1:10" x14ac:dyDescent="0.3">
      <c r="A223" s="102">
        <f>G12+E12+C12</f>
        <v>3.0420000000000003E-2</v>
      </c>
      <c r="B223" s="47" t="s">
        <v>102</v>
      </c>
      <c r="C223" s="67">
        <v>0.7</v>
      </c>
    </row>
    <row r="224" spans="1:10" x14ac:dyDescent="0.3">
      <c r="A224" s="66"/>
      <c r="B224" s="47"/>
      <c r="C224" s="67"/>
    </row>
    <row r="225" spans="1:9" ht="15" thickBot="1" x14ac:dyDescent="0.35">
      <c r="A225" s="18"/>
      <c r="C225" s="20"/>
    </row>
    <row r="226" spans="1:9" x14ac:dyDescent="0.3">
      <c r="A226" s="26" t="s">
        <v>109</v>
      </c>
      <c r="B226" s="27" t="s">
        <v>105</v>
      </c>
      <c r="C226" s="28" t="s">
        <v>110</v>
      </c>
    </row>
    <row r="227" spans="1:9" ht="15" thickBot="1" x14ac:dyDescent="0.35">
      <c r="A227" s="103">
        <f>1.435</f>
        <v>1.4350000000000001</v>
      </c>
      <c r="B227" s="46">
        <f>((A219*C219)+(A220*C220)+(A221*C221)+(A222*C222)+(A223*C223)+(A224*C224))/A227</f>
        <v>0.32941324041811848</v>
      </c>
      <c r="C227" s="53">
        <f>B227+(B227*0.25)</f>
        <v>0.4117665505226481</v>
      </c>
    </row>
    <row r="228" spans="1:9" ht="15" thickBot="1" x14ac:dyDescent="0.35"/>
    <row r="229" spans="1:9" x14ac:dyDescent="0.3">
      <c r="A229" s="26" t="s">
        <v>111</v>
      </c>
      <c r="B229" s="27" t="s">
        <v>27</v>
      </c>
      <c r="C229" s="27" t="s">
        <v>112</v>
      </c>
      <c r="D229" s="27" t="s">
        <v>29</v>
      </c>
      <c r="E229" s="28" t="s">
        <v>113</v>
      </c>
    </row>
    <row r="230" spans="1:9" x14ac:dyDescent="0.3">
      <c r="A230" s="105">
        <f>B230*C230*D230*E230</f>
        <v>82.723900000000015</v>
      </c>
      <c r="B230" s="106">
        <f>C227</f>
        <v>0.4117665505226481</v>
      </c>
      <c r="C230" s="39">
        <v>100</v>
      </c>
      <c r="D230" s="107">
        <f>A227</f>
        <v>1.4350000000000001</v>
      </c>
      <c r="E230" s="40">
        <v>1.4</v>
      </c>
    </row>
    <row r="231" spans="1:9" ht="15" thickBot="1" x14ac:dyDescent="0.35"/>
    <row r="232" spans="1:9" ht="24" thickBot="1" x14ac:dyDescent="0.5">
      <c r="A232" s="194" t="s">
        <v>114</v>
      </c>
      <c r="B232" s="195"/>
    </row>
    <row r="233" spans="1:9" ht="15" thickBot="1" x14ac:dyDescent="0.35">
      <c r="A233" s="15" t="s">
        <v>159</v>
      </c>
      <c r="B233" s="196">
        <f>A230</f>
        <v>82.723900000000015</v>
      </c>
    </row>
    <row r="234" spans="1:9" ht="15" thickBot="1" x14ac:dyDescent="0.35"/>
    <row r="235" spans="1:9" ht="15" thickBot="1" x14ac:dyDescent="0.35">
      <c r="A235" s="26" t="s">
        <v>115</v>
      </c>
      <c r="B235" s="28"/>
    </row>
    <row r="236" spans="1:9" x14ac:dyDescent="0.3">
      <c r="A236" s="8" t="s">
        <v>15</v>
      </c>
      <c r="B236" s="79">
        <v>67</v>
      </c>
    </row>
    <row r="237" spans="1:9" ht="15" thickBot="1" x14ac:dyDescent="0.35">
      <c r="A237" s="66" t="s">
        <v>48</v>
      </c>
      <c r="B237" s="67">
        <v>31</v>
      </c>
    </row>
    <row r="238" spans="1:9" ht="15" thickBot="1" x14ac:dyDescent="0.35">
      <c r="A238" s="66" t="s">
        <v>50</v>
      </c>
      <c r="B238" s="67">
        <v>48</v>
      </c>
      <c r="D238" s="178" t="s">
        <v>68</v>
      </c>
      <c r="E238" s="179"/>
      <c r="F238" s="197" t="s">
        <v>201</v>
      </c>
      <c r="G238" s="180"/>
      <c r="H238" s="17" t="s">
        <v>195</v>
      </c>
      <c r="I238" s="3"/>
    </row>
    <row r="239" spans="1:9" x14ac:dyDescent="0.3">
      <c r="A239" s="66" t="s">
        <v>116</v>
      </c>
      <c r="B239" s="67">
        <v>40</v>
      </c>
      <c r="D239" s="18" t="s">
        <v>71</v>
      </c>
      <c r="E239" s="120"/>
      <c r="F239" s="81" t="s">
        <v>70</v>
      </c>
      <c r="G239" s="20"/>
      <c r="H239" s="26" t="s">
        <v>71</v>
      </c>
      <c r="I239" s="28"/>
    </row>
    <row r="240" spans="1:9" x14ac:dyDescent="0.3">
      <c r="A240" s="66" t="s">
        <v>28</v>
      </c>
      <c r="B240" s="71">
        <f>(B238-B237)/B236</f>
        <v>0.2537313432835821</v>
      </c>
      <c r="D240" s="30" t="s">
        <v>75</v>
      </c>
      <c r="E240" s="31">
        <v>0.83581000000000005</v>
      </c>
      <c r="F240" s="81" t="s">
        <v>74</v>
      </c>
      <c r="G240" s="20"/>
      <c r="H240" s="30" t="s">
        <v>75</v>
      </c>
      <c r="I240" s="32">
        <v>0.83581000000000005</v>
      </c>
    </row>
    <row r="241" spans="1:9" x14ac:dyDescent="0.3">
      <c r="A241" s="66" t="s">
        <v>200</v>
      </c>
      <c r="B241" s="73">
        <f>E246</f>
        <v>6.5084698445817629E-2</v>
      </c>
      <c r="D241" s="18" t="s">
        <v>76</v>
      </c>
      <c r="E241" s="120">
        <v>0.15</v>
      </c>
      <c r="F241" s="81" t="s">
        <v>77</v>
      </c>
      <c r="G241" s="20"/>
      <c r="H241" s="18" t="s">
        <v>76</v>
      </c>
      <c r="I241" s="20">
        <v>7.9000000000000001E-2</v>
      </c>
    </row>
    <row r="242" spans="1:9" ht="15" thickBot="1" x14ac:dyDescent="0.35">
      <c r="A242" s="66" t="s">
        <v>56</v>
      </c>
      <c r="B242" s="71">
        <f>B241/(2*E243+E242)</f>
        <v>0.1164444920776922</v>
      </c>
      <c r="D242" s="18" t="s">
        <v>78</v>
      </c>
      <c r="E242" s="120">
        <v>0.2</v>
      </c>
      <c r="F242" s="81" t="s">
        <v>79</v>
      </c>
      <c r="G242" s="20"/>
      <c r="H242" s="18" t="s">
        <v>78</v>
      </c>
      <c r="I242" s="20">
        <v>0.2</v>
      </c>
    </row>
    <row r="243" spans="1:9" ht="15" thickBot="1" x14ac:dyDescent="0.35">
      <c r="A243" s="8" t="s">
        <v>58</v>
      </c>
      <c r="B243" s="110">
        <f>B239*B241*(B242^(2/3))*(B240^0.5)*1000</f>
        <v>312.70770452425745</v>
      </c>
      <c r="D243" s="18" t="s">
        <v>80</v>
      </c>
      <c r="E243" s="121">
        <f>(E241)/E240</f>
        <v>0.1794666251899355</v>
      </c>
      <c r="F243" s="84" t="s">
        <v>81</v>
      </c>
      <c r="G243" s="20"/>
      <c r="H243" s="18" t="s">
        <v>80</v>
      </c>
      <c r="I243" s="100">
        <f>(I241)/I240</f>
        <v>9.4519089266699358E-2</v>
      </c>
    </row>
    <row r="244" spans="1:9" ht="15" thickBot="1" x14ac:dyDescent="0.35">
      <c r="A244" s="12" t="s">
        <v>61</v>
      </c>
      <c r="B244" s="112">
        <f>B239*(B242^0.66667)*(B240^0.5)</f>
        <v>4.8045926396313128</v>
      </c>
      <c r="D244" s="18" t="s">
        <v>83</v>
      </c>
      <c r="E244" s="108">
        <f>SQRT(E243^2+E241^2)</f>
        <v>0.23389798963878419</v>
      </c>
      <c r="F244" s="120"/>
      <c r="G244" s="20"/>
      <c r="H244" s="18" t="s">
        <v>83</v>
      </c>
      <c r="I244" s="117">
        <f>SQRT(I243^2+I241^2)</f>
        <v>0.123186274543093</v>
      </c>
    </row>
    <row r="245" spans="1:9" x14ac:dyDescent="0.3">
      <c r="A245" s="113" t="s">
        <v>117</v>
      </c>
      <c r="B245">
        <f>G248</f>
        <v>6.9999999999999993E-2</v>
      </c>
      <c r="D245" s="18" t="s">
        <v>84</v>
      </c>
      <c r="E245" s="109">
        <f>2*E244+E242</f>
        <v>0.6677959792775684</v>
      </c>
      <c r="F245" s="120"/>
      <c r="G245" s="20"/>
      <c r="H245" s="18" t="s">
        <v>84</v>
      </c>
      <c r="I245" s="100">
        <f>2*I244+I242</f>
        <v>0.44637254908618601</v>
      </c>
    </row>
    <row r="246" spans="1:9" ht="15" thickBot="1" x14ac:dyDescent="0.35">
      <c r="A246" s="113" t="s">
        <v>56</v>
      </c>
      <c r="B246" s="21">
        <f>B245/(2*F248+E248)</f>
        <v>9.3333333333333324E-2</v>
      </c>
      <c r="D246" s="37" t="s">
        <v>29</v>
      </c>
      <c r="E246" s="111">
        <f>1/2*(E242+E245)*E241</f>
        <v>6.5084698445817629E-2</v>
      </c>
      <c r="F246" s="120"/>
      <c r="G246" s="20"/>
      <c r="H246" s="37" t="s">
        <v>29</v>
      </c>
      <c r="I246" s="186">
        <f>1/2*(I242+I245)*I241</f>
        <v>2.5531715688904347E-2</v>
      </c>
    </row>
    <row r="247" spans="1:9" x14ac:dyDescent="0.3">
      <c r="A247" s="8" t="s">
        <v>180</v>
      </c>
      <c r="B247" s="110">
        <f>B239*B245*(B246^(2/3))*(B240^0.5)*1000</f>
        <v>290.20369767220109</v>
      </c>
      <c r="D247" s="18" t="s">
        <v>85</v>
      </c>
      <c r="E247" s="120" t="s">
        <v>15</v>
      </c>
      <c r="F247" s="27" t="s">
        <v>18</v>
      </c>
      <c r="G247" s="28" t="s">
        <v>29</v>
      </c>
      <c r="H247" s="123"/>
      <c r="I247" s="20"/>
    </row>
    <row r="248" spans="1:9" ht="15" thickBot="1" x14ac:dyDescent="0.35">
      <c r="A248" s="12" t="s">
        <v>60</v>
      </c>
      <c r="B248" s="112">
        <f>B239*(B246^0.66667)*(B240^0.5)</f>
        <v>4.1457343363660035</v>
      </c>
      <c r="D248" s="15" t="s">
        <v>86</v>
      </c>
      <c r="E248" s="16">
        <v>0.35</v>
      </c>
      <c r="F248" s="45">
        <v>0.2</v>
      </c>
      <c r="G248" s="22">
        <f>E248*F248</f>
        <v>6.9999999999999993E-2</v>
      </c>
      <c r="H248" s="16"/>
      <c r="I248" s="22"/>
    </row>
    <row r="249" spans="1:9" x14ac:dyDescent="0.3">
      <c r="A249" s="66" t="s">
        <v>194</v>
      </c>
      <c r="B249" s="73">
        <f>I246</f>
        <v>2.5531715688904347E-2</v>
      </c>
    </row>
    <row r="250" spans="1:9" ht="15" thickBot="1" x14ac:dyDescent="0.35">
      <c r="A250" s="66" t="s">
        <v>56</v>
      </c>
      <c r="B250" s="71">
        <f>B249/(2*I243+I242)</f>
        <v>6.5627789501673445E-2</v>
      </c>
    </row>
    <row r="251" spans="1:9" x14ac:dyDescent="0.3">
      <c r="A251" s="8" t="s">
        <v>197</v>
      </c>
      <c r="B251" s="110">
        <f>B239*B249*(B250^(2/3))*(B240^0.5)*1000</f>
        <v>83.698736358367228</v>
      </c>
    </row>
    <row r="252" spans="1:9" ht="15" thickBot="1" x14ac:dyDescent="0.35">
      <c r="A252" s="12" t="s">
        <v>61</v>
      </c>
      <c r="B252" s="112">
        <f>B247*(B250^0.66667)*(B248^0.5)</f>
        <v>96.137225417323307</v>
      </c>
    </row>
    <row r="253" spans="1:9" x14ac:dyDescent="0.3">
      <c r="B253" s="59"/>
    </row>
    <row r="254" spans="1:9" ht="15" thickBot="1" x14ac:dyDescent="0.35">
      <c r="B254" s="59"/>
    </row>
    <row r="255" spans="1:9" ht="29.4" thickBot="1" x14ac:dyDescent="0.6">
      <c r="B255" s="57"/>
      <c r="C255" s="187" t="s">
        <v>118</v>
      </c>
      <c r="D255" s="188"/>
      <c r="E255" s="189"/>
    </row>
    <row r="256" spans="1:9" ht="16.2" customHeight="1" thickBot="1" x14ac:dyDescent="0.6">
      <c r="B256" s="57"/>
      <c r="C256" s="199"/>
      <c r="D256" s="199"/>
      <c r="E256" s="199"/>
    </row>
    <row r="257" spans="1:9" ht="16.8" customHeight="1" x14ac:dyDescent="0.55000000000000004">
      <c r="A257" s="26" t="s">
        <v>203</v>
      </c>
      <c r="B257" s="200"/>
      <c r="C257" s="199"/>
      <c r="D257" s="199"/>
      <c r="E257" s="199"/>
    </row>
    <row r="258" spans="1:9" ht="16.2" customHeight="1" x14ac:dyDescent="0.55000000000000004">
      <c r="A258" s="201"/>
      <c r="B258" s="202"/>
      <c r="C258" s="199"/>
      <c r="D258" s="199"/>
      <c r="E258" s="199"/>
    </row>
    <row r="259" spans="1:9" ht="15" customHeight="1" x14ac:dyDescent="0.55000000000000004">
      <c r="A259" s="201"/>
      <c r="B259" s="203"/>
      <c r="C259" s="199"/>
      <c r="D259" s="199"/>
      <c r="E259" s="199"/>
    </row>
    <row r="260" spans="1:9" ht="15" thickBot="1" x14ac:dyDescent="0.35">
      <c r="A260" s="204"/>
      <c r="B260" s="205"/>
    </row>
    <row r="261" spans="1:9" ht="18.600000000000001" thickBot="1" x14ac:dyDescent="0.4">
      <c r="A261" s="183" t="s">
        <v>191</v>
      </c>
      <c r="B261" s="182"/>
      <c r="D261" s="184" t="s">
        <v>192</v>
      </c>
      <c r="E261" s="185"/>
      <c r="F261" s="182"/>
      <c r="G261" s="17" t="s">
        <v>152</v>
      </c>
      <c r="H261" s="3"/>
      <c r="I261" s="191" t="s">
        <v>151</v>
      </c>
    </row>
    <row r="262" spans="1:9" x14ac:dyDescent="0.3">
      <c r="A262" s="18" t="s">
        <v>119</v>
      </c>
      <c r="B262" s="116">
        <f>J128+J124+J120</f>
        <v>69.994008000000008</v>
      </c>
      <c r="D262" s="18" t="s">
        <v>133</v>
      </c>
      <c r="E262" s="119">
        <f>A212</f>
        <v>140.00076299999992</v>
      </c>
      <c r="F262" s="20"/>
      <c r="G262" s="18"/>
      <c r="H262" s="20"/>
      <c r="I262" s="81"/>
    </row>
    <row r="263" spans="1:9" x14ac:dyDescent="0.3">
      <c r="A263" s="18" t="s">
        <v>127</v>
      </c>
      <c r="B263" s="100">
        <f>B262/1000</f>
        <v>6.999400800000001E-2</v>
      </c>
      <c r="D263" s="18" t="s">
        <v>139</v>
      </c>
      <c r="E263" s="121">
        <f>E262/1000</f>
        <v>0.14000076299999992</v>
      </c>
      <c r="F263" s="20"/>
      <c r="G263" s="18"/>
      <c r="H263" s="20"/>
      <c r="I263" s="81"/>
    </row>
    <row r="264" spans="1:9" x14ac:dyDescent="0.3">
      <c r="A264" s="18" t="s">
        <v>15</v>
      </c>
      <c r="B264" s="20">
        <v>23</v>
      </c>
      <c r="D264" s="18" t="s">
        <v>15</v>
      </c>
      <c r="E264" s="120">
        <v>55</v>
      </c>
      <c r="F264" s="20"/>
      <c r="G264" s="18">
        <v>30</v>
      </c>
      <c r="H264" s="20"/>
      <c r="I264" s="81">
        <f>E264-G264</f>
        <v>25</v>
      </c>
    </row>
    <row r="265" spans="1:9" x14ac:dyDescent="0.3">
      <c r="A265" s="18" t="s">
        <v>126</v>
      </c>
      <c r="B265" s="117">
        <f>49-46</f>
        <v>3</v>
      </c>
      <c r="D265" s="18" t="s">
        <v>50</v>
      </c>
      <c r="E265" s="120">
        <v>32</v>
      </c>
      <c r="F265" s="20"/>
      <c r="G265" s="18">
        <v>32</v>
      </c>
      <c r="H265" s="20"/>
      <c r="I265" s="81">
        <v>30</v>
      </c>
    </row>
    <row r="266" spans="1:9" x14ac:dyDescent="0.3">
      <c r="A266" s="18" t="s">
        <v>132</v>
      </c>
      <c r="B266" s="72">
        <f>B265/B264</f>
        <v>0.13043478260869565</v>
      </c>
      <c r="D266" s="18" t="s">
        <v>136</v>
      </c>
      <c r="E266" s="120">
        <v>15</v>
      </c>
      <c r="F266" s="20"/>
      <c r="G266" s="18">
        <v>30</v>
      </c>
      <c r="H266" s="20"/>
      <c r="I266" s="81">
        <v>15</v>
      </c>
    </row>
    <row r="267" spans="1:9" x14ac:dyDescent="0.3">
      <c r="A267" s="18" t="s">
        <v>50</v>
      </c>
      <c r="B267" s="20">
        <v>49</v>
      </c>
      <c r="D267" s="18" t="s">
        <v>126</v>
      </c>
      <c r="E267" s="120">
        <f>E265-E266</f>
        <v>17</v>
      </c>
      <c r="F267" s="20"/>
      <c r="G267" s="18">
        <f>G265-G266</f>
        <v>2</v>
      </c>
      <c r="H267" s="20"/>
      <c r="I267" s="81">
        <f>15</f>
        <v>15</v>
      </c>
    </row>
    <row r="268" spans="1:9" x14ac:dyDescent="0.3">
      <c r="A268" s="18" t="s">
        <v>48</v>
      </c>
      <c r="B268" s="20">
        <v>46</v>
      </c>
      <c r="D268" s="18" t="s">
        <v>137</v>
      </c>
      <c r="E268" s="121">
        <f>E267/E264</f>
        <v>0.30909090909090908</v>
      </c>
      <c r="F268" s="20"/>
      <c r="G268" s="18">
        <f>G267/G264</f>
        <v>6.6666666666666666E-2</v>
      </c>
      <c r="H268" s="20"/>
      <c r="I268" s="174">
        <f>I267/I264</f>
        <v>0.6</v>
      </c>
    </row>
    <row r="269" spans="1:9" x14ac:dyDescent="0.3">
      <c r="A269" s="18" t="s">
        <v>121</v>
      </c>
      <c r="B269" s="20">
        <v>0.4</v>
      </c>
      <c r="D269" s="18" t="s">
        <v>138</v>
      </c>
      <c r="E269" s="120">
        <v>200</v>
      </c>
      <c r="F269" s="20"/>
      <c r="G269" s="18">
        <v>0.25</v>
      </c>
      <c r="H269" s="20"/>
      <c r="I269" s="81">
        <v>0.25</v>
      </c>
    </row>
    <row r="270" spans="1:9" x14ac:dyDescent="0.3">
      <c r="A270" s="18" t="s">
        <v>122</v>
      </c>
      <c r="B270" s="20">
        <v>200</v>
      </c>
      <c r="D270" s="18" t="s">
        <v>120</v>
      </c>
      <c r="E270" s="120">
        <v>0.4</v>
      </c>
      <c r="F270" s="20"/>
      <c r="G270" s="18">
        <v>0.4</v>
      </c>
      <c r="H270" s="20"/>
      <c r="I270" s="81">
        <v>0.4</v>
      </c>
    </row>
    <row r="271" spans="1:9" x14ac:dyDescent="0.3">
      <c r="A271" s="18" t="s">
        <v>124</v>
      </c>
      <c r="B271" s="20">
        <f>B269/B270</f>
        <v>2E-3</v>
      </c>
      <c r="D271" s="18" t="s">
        <v>124</v>
      </c>
      <c r="E271" s="120">
        <f>E270/E269</f>
        <v>2E-3</v>
      </c>
      <c r="F271" s="20"/>
      <c r="G271" s="18">
        <f>G270/(G269*1000)</f>
        <v>1.6000000000000001E-3</v>
      </c>
      <c r="H271" s="20"/>
      <c r="I271" s="81">
        <v>1.6000000000000001E-3</v>
      </c>
    </row>
    <row r="272" spans="1:9" x14ac:dyDescent="0.3">
      <c r="A272" s="18" t="s">
        <v>125</v>
      </c>
      <c r="B272" s="20">
        <v>2.4E-2</v>
      </c>
      <c r="D272" s="18" t="s">
        <v>123</v>
      </c>
      <c r="E272" s="120">
        <v>2.4E-2</v>
      </c>
      <c r="F272" s="20"/>
      <c r="G272" s="18">
        <v>2.1999999999999999E-2</v>
      </c>
      <c r="H272" s="20"/>
      <c r="I272" s="81">
        <v>2.1999999999999999E-2</v>
      </c>
    </row>
    <row r="273" spans="1:9" x14ac:dyDescent="0.3">
      <c r="A273" s="18"/>
      <c r="B273" s="20"/>
      <c r="D273" s="18"/>
      <c r="E273" s="120"/>
      <c r="F273" s="20"/>
      <c r="G273" s="18"/>
      <c r="H273" s="20"/>
      <c r="I273" s="81"/>
    </row>
    <row r="274" spans="1:9" x14ac:dyDescent="0.3">
      <c r="A274" s="18" t="s">
        <v>128</v>
      </c>
      <c r="B274" s="118">
        <f>(B272*B264*(B263^2)*8)/(9.81*(3.14159265359^2)*B265)</f>
        <v>7.4483621218681732E-5</v>
      </c>
      <c r="D274" s="18" t="s">
        <v>128</v>
      </c>
      <c r="E274" s="122">
        <f>(E272*E264*(E263^2)*8)/(9.81*PI()^2*E267)</f>
        <v>1.2574972651352402E-4</v>
      </c>
      <c r="F274" s="20"/>
      <c r="G274" s="18">
        <f>(G272*G264*(E263^2)*8)/(9.81*(PI()^2)*G267)</f>
        <v>5.3443633768247704E-4</v>
      </c>
      <c r="H274" s="20"/>
      <c r="I274" s="128">
        <f>(I272*I264*(E263^2)*8)/(9.81*PI()^2*I267)</f>
        <v>5.9381815298053007E-5</v>
      </c>
    </row>
    <row r="275" spans="1:9" ht="15" thickBot="1" x14ac:dyDescent="0.35">
      <c r="A275" s="18" t="s">
        <v>129</v>
      </c>
      <c r="B275" s="20">
        <v>0.158</v>
      </c>
      <c r="D275" s="18" t="s">
        <v>129</v>
      </c>
      <c r="E275" s="120">
        <v>0.16700000000000001</v>
      </c>
      <c r="F275" s="20"/>
      <c r="G275" s="18">
        <v>0.221</v>
      </c>
      <c r="H275" s="20"/>
      <c r="I275" s="81">
        <v>0.14299999999999999</v>
      </c>
    </row>
    <row r="276" spans="1:9" ht="15" thickBot="1" x14ac:dyDescent="0.35">
      <c r="A276" s="198" t="s">
        <v>130</v>
      </c>
      <c r="B276" s="28"/>
      <c r="D276" s="18" t="s">
        <v>146</v>
      </c>
      <c r="E276" s="120">
        <f>0.2</f>
        <v>0.2</v>
      </c>
      <c r="F276" s="20">
        <v>0.25</v>
      </c>
      <c r="G276" s="18">
        <v>0.25</v>
      </c>
      <c r="H276" s="20"/>
      <c r="I276" s="81"/>
    </row>
    <row r="277" spans="1:9" ht="15" thickBot="1" x14ac:dyDescent="0.35">
      <c r="A277" s="18" t="s">
        <v>131</v>
      </c>
      <c r="B277" s="20">
        <v>145</v>
      </c>
      <c r="D277" s="18"/>
      <c r="E277" s="120"/>
      <c r="F277" s="20"/>
      <c r="G277" s="18"/>
      <c r="H277" s="20"/>
      <c r="I277" s="81"/>
    </row>
    <row r="278" spans="1:9" ht="15" thickBot="1" x14ac:dyDescent="0.35">
      <c r="A278" s="18" t="s">
        <v>141</v>
      </c>
      <c r="B278" s="72">
        <f>B262/B277</f>
        <v>0.48271729655172418</v>
      </c>
      <c r="D278" s="191" t="s">
        <v>140</v>
      </c>
      <c r="E278" s="28"/>
      <c r="F278" s="55"/>
      <c r="G278" s="26"/>
      <c r="H278" s="28"/>
      <c r="I278" s="55"/>
    </row>
    <row r="279" spans="1:9" x14ac:dyDescent="0.3">
      <c r="A279" s="18" t="s">
        <v>142</v>
      </c>
      <c r="B279" s="20">
        <v>0.54</v>
      </c>
      <c r="D279" s="18" t="s">
        <v>131</v>
      </c>
      <c r="E279" s="20">
        <f>0.224*1000</f>
        <v>224</v>
      </c>
      <c r="F279" s="81">
        <f>408</f>
        <v>408</v>
      </c>
      <c r="G279" s="18">
        <v>190</v>
      </c>
      <c r="H279" s="20"/>
      <c r="I279" s="81">
        <v>567</v>
      </c>
    </row>
    <row r="280" spans="1:9" x14ac:dyDescent="0.3">
      <c r="A280" s="18" t="s">
        <v>143</v>
      </c>
      <c r="B280" s="20">
        <v>0.85</v>
      </c>
      <c r="D280" s="18" t="s">
        <v>141</v>
      </c>
      <c r="E280" s="72">
        <f>E262/E279</f>
        <v>0.62500340624999962</v>
      </c>
      <c r="F280" s="129">
        <f>E262/F279</f>
        <v>0.34313912499999982</v>
      </c>
      <c r="G280" s="127">
        <f>E262/G279</f>
        <v>0.73684612105263114</v>
      </c>
      <c r="H280" s="20"/>
      <c r="I280" s="129">
        <f>E262/I279</f>
        <v>0.24691492592592579</v>
      </c>
    </row>
    <row r="281" spans="1:9" x14ac:dyDescent="0.3">
      <c r="A281" s="18" t="s">
        <v>144</v>
      </c>
      <c r="B281" s="100">
        <f>(B277/1000)/((PI()*0.2)/4)</f>
        <v>0.92309866993299294</v>
      </c>
      <c r="D281" s="18" t="s">
        <v>142</v>
      </c>
      <c r="E281" s="20">
        <v>0.62</v>
      </c>
      <c r="F281" s="81">
        <v>0.45</v>
      </c>
      <c r="G281" s="18">
        <v>0.7</v>
      </c>
      <c r="H281" s="20"/>
      <c r="I281" s="130">
        <v>0.4</v>
      </c>
    </row>
    <row r="282" spans="1:9" ht="15" thickBot="1" x14ac:dyDescent="0.35">
      <c r="A282" s="15" t="s">
        <v>145</v>
      </c>
      <c r="B282" s="53">
        <f>B280*B281</f>
        <v>0.78463386944304403</v>
      </c>
      <c r="D282" s="18" t="s">
        <v>143</v>
      </c>
      <c r="E282" s="20">
        <v>0.92</v>
      </c>
      <c r="F282" s="81">
        <v>0.78</v>
      </c>
      <c r="G282" s="18">
        <v>0.98</v>
      </c>
      <c r="H282" s="20"/>
      <c r="I282" s="130">
        <v>0.72</v>
      </c>
    </row>
    <row r="283" spans="1:9" ht="15" thickBot="1" x14ac:dyDescent="0.35">
      <c r="D283" s="18" t="s">
        <v>144</v>
      </c>
      <c r="E283" s="100">
        <f>(E279/1000)/((PI()*0.2)/4)</f>
        <v>1.4260282901033823</v>
      </c>
      <c r="F283" s="129">
        <f>(F279/1000)/((3.14*0.25)/4)</f>
        <v>2.0789808917197452</v>
      </c>
      <c r="G283" s="114">
        <f>(G279/1000)/(PI()*0.25/4)</f>
        <v>0.96766205399872374</v>
      </c>
      <c r="H283" s="20"/>
      <c r="I283" s="81">
        <f>(I279/1000)/(PI()*0.25/4)</f>
        <v>2.887707287459349</v>
      </c>
    </row>
    <row r="284" spans="1:9" ht="16.2" thickBot="1" x14ac:dyDescent="0.35">
      <c r="A284" s="181" t="s">
        <v>190</v>
      </c>
      <c r="B284" s="182"/>
      <c r="D284" s="15" t="s">
        <v>145</v>
      </c>
      <c r="E284" s="76">
        <f>E282*E283</f>
        <v>1.3119460268951117</v>
      </c>
      <c r="F284" s="131">
        <f>F283*F282</f>
        <v>1.6216050955414014</v>
      </c>
      <c r="G284" s="104">
        <f>G283*G282</f>
        <v>0.94830881291874924</v>
      </c>
      <c r="H284" s="22"/>
      <c r="I284" s="131">
        <f>I282*I283</f>
        <v>2.0791492469707311</v>
      </c>
    </row>
    <row r="285" spans="1:9" ht="15" thickBot="1" x14ac:dyDescent="0.35">
      <c r="A285" s="18" t="s">
        <v>147</v>
      </c>
      <c r="B285" s="116">
        <f>J133</f>
        <v>51.427039999999998</v>
      </c>
    </row>
    <row r="286" spans="1:9" ht="16.2" thickBot="1" x14ac:dyDescent="0.35">
      <c r="A286" s="18" t="s">
        <v>148</v>
      </c>
      <c r="B286" s="20">
        <f>B285/1000</f>
        <v>5.142704E-2</v>
      </c>
      <c r="D286" s="181" t="s">
        <v>193</v>
      </c>
      <c r="E286" s="182"/>
    </row>
    <row r="287" spans="1:9" x14ac:dyDescent="0.3">
      <c r="A287" s="18" t="s">
        <v>15</v>
      </c>
      <c r="B287" s="20">
        <v>6</v>
      </c>
      <c r="D287" s="18" t="s">
        <v>156</v>
      </c>
      <c r="E287" s="116">
        <f>J137</f>
        <v>22.743839999999999</v>
      </c>
    </row>
    <row r="288" spans="1:9" x14ac:dyDescent="0.3">
      <c r="A288" s="18" t="s">
        <v>126</v>
      </c>
      <c r="B288" s="117">
        <f>B289*B287</f>
        <v>0.30000000000000004</v>
      </c>
      <c r="D288" s="18" t="s">
        <v>157</v>
      </c>
      <c r="E288" s="72">
        <f>E287/1000</f>
        <v>2.2743839999999998E-2</v>
      </c>
    </row>
    <row r="289" spans="1:5" x14ac:dyDescent="0.3">
      <c r="A289" s="18" t="s">
        <v>132</v>
      </c>
      <c r="B289" s="72">
        <f>5/100</f>
        <v>0.05</v>
      </c>
      <c r="D289" s="18" t="s">
        <v>15</v>
      </c>
      <c r="E289" s="20">
        <v>3</v>
      </c>
    </row>
    <row r="290" spans="1:5" x14ac:dyDescent="0.3">
      <c r="A290" s="18" t="s">
        <v>149</v>
      </c>
      <c r="B290" s="20"/>
      <c r="D290" s="18" t="s">
        <v>126</v>
      </c>
      <c r="E290" s="117">
        <f>E291*E289</f>
        <v>0.15000000000000002</v>
      </c>
    </row>
    <row r="291" spans="1:5" x14ac:dyDescent="0.3">
      <c r="A291" s="18"/>
      <c r="B291" s="20"/>
      <c r="D291" s="18" t="s">
        <v>132</v>
      </c>
      <c r="E291" s="72">
        <f>5/100</f>
        <v>0.05</v>
      </c>
    </row>
    <row r="292" spans="1:5" x14ac:dyDescent="0.3">
      <c r="A292" s="18" t="s">
        <v>121</v>
      </c>
      <c r="B292" s="20">
        <v>0.25</v>
      </c>
      <c r="D292" s="18" t="s">
        <v>149</v>
      </c>
      <c r="E292" s="20"/>
    </row>
    <row r="293" spans="1:5" x14ac:dyDescent="0.3">
      <c r="A293" s="18" t="s">
        <v>122</v>
      </c>
      <c r="B293" s="20">
        <v>200</v>
      </c>
      <c r="D293" s="18"/>
      <c r="E293" s="20"/>
    </row>
    <row r="294" spans="1:5" x14ac:dyDescent="0.3">
      <c r="A294" s="18" t="s">
        <v>124</v>
      </c>
      <c r="B294" s="118">
        <f>B292/B293</f>
        <v>1.25E-3</v>
      </c>
      <c r="D294" s="18" t="s">
        <v>121</v>
      </c>
      <c r="E294" s="20">
        <v>0.25</v>
      </c>
    </row>
    <row r="295" spans="1:5" x14ac:dyDescent="0.3">
      <c r="A295" s="18" t="s">
        <v>125</v>
      </c>
      <c r="B295" s="20">
        <v>2.1000000000000001E-2</v>
      </c>
      <c r="D295" s="18" t="s">
        <v>122</v>
      </c>
      <c r="E295" s="20">
        <v>150</v>
      </c>
    </row>
    <row r="296" spans="1:5" x14ac:dyDescent="0.3">
      <c r="A296" s="18"/>
      <c r="B296" s="20"/>
      <c r="D296" s="18" t="s">
        <v>124</v>
      </c>
      <c r="E296" s="118">
        <f>E294/E295</f>
        <v>1.6666666666666668E-3</v>
      </c>
    </row>
    <row r="297" spans="1:5" x14ac:dyDescent="0.3">
      <c r="A297" s="18" t="s">
        <v>128</v>
      </c>
      <c r="B297" s="118">
        <f>(B295*B287*(B286^2)*8)/(9.81*(PI()^2)*B288)</f>
        <v>9.178116819059373E-5</v>
      </c>
      <c r="D297" s="18" t="s">
        <v>125</v>
      </c>
      <c r="E297" s="20">
        <v>2.3E-2</v>
      </c>
    </row>
    <row r="298" spans="1:5" x14ac:dyDescent="0.3">
      <c r="A298" s="18" t="s">
        <v>129</v>
      </c>
      <c r="B298" s="20">
        <v>0.158</v>
      </c>
      <c r="D298" s="18"/>
      <c r="E298" s="20"/>
    </row>
    <row r="299" spans="1:5" ht="15" thickBot="1" x14ac:dyDescent="0.35">
      <c r="A299" s="123" t="s">
        <v>150</v>
      </c>
      <c r="B299" s="20">
        <v>0.2</v>
      </c>
      <c r="D299" s="18" t="s">
        <v>128</v>
      </c>
      <c r="E299" s="125">
        <f>(E297*E289*(E288^2)*8)/(9.81*(PI()^2)*E290)</f>
        <v>1.9661047339470303E-5</v>
      </c>
    </row>
    <row r="300" spans="1:5" ht="15" thickBot="1" x14ac:dyDescent="0.35">
      <c r="A300" s="191" t="s">
        <v>140</v>
      </c>
      <c r="B300" s="28"/>
      <c r="D300" s="18" t="s">
        <v>129</v>
      </c>
      <c r="E300" s="20">
        <v>0.115</v>
      </c>
    </row>
    <row r="301" spans="1:5" ht="15" thickBot="1" x14ac:dyDescent="0.35">
      <c r="A301" s="18" t="s">
        <v>131</v>
      </c>
      <c r="B301" s="20">
        <f>98</f>
        <v>98</v>
      </c>
      <c r="D301" s="123" t="s">
        <v>204</v>
      </c>
      <c r="E301" s="20">
        <v>0.13600000000000001</v>
      </c>
    </row>
    <row r="302" spans="1:5" ht="15" thickBot="1" x14ac:dyDescent="0.35">
      <c r="A302" s="18" t="s">
        <v>141</v>
      </c>
      <c r="B302" s="72">
        <f>B285/B301</f>
        <v>0.52476571428571428</v>
      </c>
      <c r="D302" s="191" t="s">
        <v>140</v>
      </c>
      <c r="E302" s="28"/>
    </row>
    <row r="303" spans="1:5" x14ac:dyDescent="0.3">
      <c r="A303" s="18" t="s">
        <v>142</v>
      </c>
      <c r="B303" s="20">
        <v>0.56999999999999995</v>
      </c>
      <c r="D303" s="18" t="s">
        <v>131</v>
      </c>
      <c r="E303" s="20">
        <f>32</f>
        <v>32</v>
      </c>
    </row>
    <row r="304" spans="1:5" x14ac:dyDescent="0.3">
      <c r="A304" s="18" t="s">
        <v>143</v>
      </c>
      <c r="B304" s="20">
        <v>0.89</v>
      </c>
      <c r="D304" s="18" t="s">
        <v>141</v>
      </c>
      <c r="E304" s="72">
        <f>E287/E303</f>
        <v>0.71074499999999996</v>
      </c>
    </row>
    <row r="305" spans="1:7" x14ac:dyDescent="0.3">
      <c r="A305" s="18" t="s">
        <v>144</v>
      </c>
      <c r="B305" s="100">
        <f>(B301/1000)/((PI()*0.2)/4)</f>
        <v>0.62388737692022977</v>
      </c>
      <c r="D305" s="18" t="s">
        <v>142</v>
      </c>
      <c r="E305" s="20">
        <v>0.68</v>
      </c>
    </row>
    <row r="306" spans="1:7" ht="15" thickBot="1" x14ac:dyDescent="0.35">
      <c r="A306" s="15" t="s">
        <v>145</v>
      </c>
      <c r="B306" s="124">
        <f>B304*B305</f>
        <v>0.55525976545900446</v>
      </c>
      <c r="D306" s="18" t="s">
        <v>143</v>
      </c>
      <c r="E306" s="20">
        <v>0.97</v>
      </c>
      <c r="G306" s="190" t="s">
        <v>198</v>
      </c>
    </row>
    <row r="307" spans="1:7" x14ac:dyDescent="0.3">
      <c r="D307" s="18" t="s">
        <v>144</v>
      </c>
      <c r="E307" s="100">
        <f>(E303/1000)/((PI()*0.136)/4)</f>
        <v>0.29958577523180296</v>
      </c>
    </row>
    <row r="308" spans="1:7" ht="15" thickBot="1" x14ac:dyDescent="0.35">
      <c r="D308" s="15" t="s">
        <v>145</v>
      </c>
      <c r="E308" s="124">
        <f>E306*E307</f>
        <v>0.29059820197484887</v>
      </c>
    </row>
    <row r="329" spans="1:1" x14ac:dyDescent="0.3">
      <c r="A329" s="190" t="s">
        <v>196</v>
      </c>
    </row>
    <row r="371" spans="1:1" x14ac:dyDescent="0.3">
      <c r="A371" s="190" t="s">
        <v>199</v>
      </c>
    </row>
  </sheetData>
  <hyperlinks>
    <hyperlink ref="A329" r:id="rId1" xr:uid="{0DFDA250-5107-4587-9ADF-87283E71488D}"/>
    <hyperlink ref="G306" r:id="rId2" xr:uid="{5EEC0A4C-5B5F-49F6-BAFC-2E20EC6EDFD9}"/>
    <hyperlink ref="A371" r:id="rId3" xr:uid="{FAD0EC26-595C-4737-9B68-6CFBC89D5338}"/>
  </hyperlinks>
  <pageMargins left="0.7" right="0.7" top="0.75" bottom="0.75" header="0.3" footer="0.3"/>
  <pageSetup paperSize="9" orientation="portrait" horizontalDpi="300" verticalDpi="300" r:id="rId4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F52085E1CA71747B8FC3D98882FBA31" ma:contentTypeVersion="9" ma:contentTypeDescription="Opprett et nytt dokument." ma:contentTypeScope="" ma:versionID="2ed11a2627f7489a59e7d7792c04a920">
  <xsd:schema xmlns:xsd="http://www.w3.org/2001/XMLSchema" xmlns:xs="http://www.w3.org/2001/XMLSchema" xmlns:p="http://schemas.microsoft.com/office/2006/metadata/properties" xmlns:ns3="aa917ce6-432e-4a06-b444-d4b4f925073d" xmlns:ns4="f5e7111b-50ed-4be4-b6e1-62d212277eca" targetNamespace="http://schemas.microsoft.com/office/2006/metadata/properties" ma:root="true" ma:fieldsID="253d0f223cad528648160f6dfdef4e1c" ns3:_="" ns4:_="">
    <xsd:import namespace="aa917ce6-432e-4a06-b444-d4b4f925073d"/>
    <xsd:import namespace="f5e7111b-50ed-4be4-b6e1-62d212277e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917ce6-432e-4a06-b444-d4b4f92507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7111b-50ed-4be4-b6e1-62d212277ec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for deling av tips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7E5D727-596B-45C9-9CE7-72FED31244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511A19-358F-40EF-9EA4-32AD62716E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917ce6-432e-4a06-b444-d4b4f925073d"/>
    <ds:schemaRef ds:uri="f5e7111b-50ed-4be4-b6e1-62d212277e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32D255-4C15-43DA-9807-4972CD0F77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 riise</dc:creator>
  <cp:lastModifiedBy>Elin riise</cp:lastModifiedBy>
  <dcterms:created xsi:type="dcterms:W3CDTF">2020-05-01T07:33:08Z</dcterms:created>
  <dcterms:modified xsi:type="dcterms:W3CDTF">2020-05-23T20:55:28Z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0x0101006F52085E1CA71747B8FC3D98882FBA31</vt:lpwstr>
  </property>
</Properties>
</file>