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vl365-my.sharepoint.com/personal/571976_stud_hvl_no/Documents/6 semester/bachelor/VA/"/>
    </mc:Choice>
  </mc:AlternateContent>
  <xr:revisionPtr revIDLastSave="81" documentId="10_ncr:40000_{EA6DED4E-C531-4E00-8442-8AAE6A741B18}" xr6:coauthVersionLast="45" xr6:coauthVersionMax="45" xr10:uidLastSave="{16929EEE-AD59-4344-BBAB-448C6E8FE4C3}"/>
  <bookViews>
    <workbookView xWindow="-108" yWindow="-108" windowWidth="23256" windowHeight="12576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1" l="1"/>
  <c r="E14" i="1" l="1"/>
  <c r="E46" i="1" l="1"/>
  <c r="E47" i="1" s="1"/>
  <c r="E48" i="1" s="1"/>
  <c r="E49" i="1" s="1"/>
  <c r="B46" i="1" s="1"/>
  <c r="B47" i="1" s="1"/>
  <c r="B49" i="1" s="1"/>
  <c r="F9" i="1"/>
  <c r="A9" i="1"/>
  <c r="B41" i="1"/>
  <c r="B45" i="1"/>
  <c r="B66" i="1"/>
  <c r="F72" i="1"/>
  <c r="F73" i="1" s="1"/>
  <c r="F56" i="1"/>
  <c r="F10" i="1"/>
  <c r="F57" i="1"/>
  <c r="A58" i="1"/>
  <c r="A73" i="1" s="1"/>
  <c r="A55" i="1"/>
  <c r="A74" i="1"/>
  <c r="B48" i="1" l="1"/>
  <c r="A71" i="1"/>
  <c r="A57" i="1"/>
  <c r="A72" i="1" s="1"/>
  <c r="A63" i="1" l="1"/>
  <c r="A76" i="1"/>
  <c r="A11" i="1"/>
  <c r="D14" i="1" s="1"/>
  <c r="B76" i="1" l="1"/>
  <c r="B79" i="1" s="1"/>
  <c r="D79" i="1"/>
  <c r="B63" i="1"/>
  <c r="D66" i="1"/>
  <c r="A66" i="1" s="1"/>
  <c r="B11" i="1"/>
  <c r="A79" i="1" l="1"/>
  <c r="C11" i="1"/>
  <c r="B14" i="1" s="1"/>
  <c r="A14" i="1" s="1"/>
  <c r="C76" i="1"/>
</calcChain>
</file>

<file path=xl/sharedStrings.xml><?xml version="1.0" encoding="utf-8"?>
<sst xmlns="http://schemas.openxmlformats.org/spreadsheetml/2006/main" count="105" uniqueCount="64">
  <si>
    <t>Avrenning og beregning delnedbørsfelt lilla</t>
  </si>
  <si>
    <t>Areal hektar</t>
  </si>
  <si>
    <t>arealdekke</t>
  </si>
  <si>
    <t>avrenningskoeffisient</t>
  </si>
  <si>
    <t>Grusvei</t>
  </si>
  <si>
    <t>tot areal</t>
  </si>
  <si>
    <t>c-midlere</t>
  </si>
  <si>
    <t>Avrenningskoeffisient for området med avrenning mot grusvei</t>
  </si>
  <si>
    <t>Park, plen, eng, dyrket mark</t>
  </si>
  <si>
    <t>Eneboligområde</t>
  </si>
  <si>
    <t>Asfalt vei</t>
  </si>
  <si>
    <t>Grusveier</t>
  </si>
  <si>
    <t>sum areal</t>
  </si>
  <si>
    <t>C-midlere</t>
  </si>
  <si>
    <t>Avrenning innenfor hele lilla nedbørsfelt beregnet med rasjonell formel</t>
  </si>
  <si>
    <t>lilla nedbørsfelt før grusvei</t>
  </si>
  <si>
    <t>Sum areal</t>
  </si>
  <si>
    <t>cmidlere (med 25%)</t>
  </si>
  <si>
    <t>lilla nedbørsfelt etter grusvei</t>
  </si>
  <si>
    <t xml:space="preserve">Plen, eng, dyrket mark </t>
  </si>
  <si>
    <t>For å finne I</t>
  </si>
  <si>
    <t>for å finne konsentrasjonstid min</t>
  </si>
  <si>
    <t>L</t>
  </si>
  <si>
    <t>m</t>
  </si>
  <si>
    <t>H</t>
  </si>
  <si>
    <t>tc</t>
  </si>
  <si>
    <t>min</t>
  </si>
  <si>
    <t>Q</t>
  </si>
  <si>
    <t>C</t>
  </si>
  <si>
    <t>I</t>
  </si>
  <si>
    <t>A</t>
  </si>
  <si>
    <t>Kf</t>
  </si>
  <si>
    <t>(høyest kvote 57 og laveste 43)</t>
  </si>
  <si>
    <t xml:space="preserve">Se i tabell og graf returperiode 20år og min 20 min </t>
  </si>
  <si>
    <t>laveste kvote</t>
  </si>
  <si>
    <t>høyeste kvote</t>
  </si>
  <si>
    <t>Ujevnsteinkleding M</t>
  </si>
  <si>
    <t>Grøft langs grusvei</t>
  </si>
  <si>
    <t>Vannhastighet (grøft 0,15x0,2)</t>
  </si>
  <si>
    <t>(høyest kvote 57 og laveste 53)</t>
  </si>
  <si>
    <t>Finne areal grøftetverrsnitt og R</t>
  </si>
  <si>
    <t>del 4 vest</t>
  </si>
  <si>
    <t>formler</t>
  </si>
  <si>
    <t>A=1/2(a+b)*h</t>
  </si>
  <si>
    <t>h</t>
  </si>
  <si>
    <t>O=a+b+c+d</t>
  </si>
  <si>
    <t xml:space="preserve">a </t>
  </si>
  <si>
    <t>x^2=c^2+h^2</t>
  </si>
  <si>
    <t>c</t>
  </si>
  <si>
    <t>b=2*x+a</t>
  </si>
  <si>
    <t>x</t>
  </si>
  <si>
    <t>c og d =h/sin(39</t>
  </si>
  <si>
    <t>b</t>
  </si>
  <si>
    <t>I (returperiode 50 år)</t>
  </si>
  <si>
    <t>c-midlere (med 20%)</t>
  </si>
  <si>
    <t>sin 26,5=</t>
  </si>
  <si>
    <t>kapasitet vannføring Q</t>
  </si>
  <si>
    <t>Areal grøftetverrsnitt (trapes)</t>
  </si>
  <si>
    <t>R = A/ (Våt omkrets)</t>
  </si>
  <si>
    <t xml:space="preserve"> </t>
  </si>
  <si>
    <t xml:space="preserve">Avrenning mot grusvei innenfor delnedbørsfelt med rasjonell formel </t>
  </si>
  <si>
    <t>Trapes med skråvinkel 26,5 grader (1:2)</t>
  </si>
  <si>
    <t xml:space="preserve">Se i tabell og graf returperiode 50år og min 19 min </t>
  </si>
  <si>
    <t>Kapasitetsberegning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</si>
</sst>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0" fillId="0" borderId="2" xfId="0" applyBorder="1"/>
    <xf numFmtId="0" fontId="0" fillId="0" borderId="3" xfId="0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0" fillId="0" borderId="0" xfId="0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164" fontId="0" fillId="2" borderId="7" xfId="0" applyNumberFormat="1" applyFill="1" applyBorder="1"/>
    <xf numFmtId="164" fontId="0" fillId="2" borderId="8" xfId="0" applyNumberFormat="1" applyFill="1" applyBorder="1"/>
    <xf numFmtId="0" fontId="0" fillId="2" borderId="8" xfId="0" applyFill="1" applyBorder="1"/>
    <xf numFmtId="2" fontId="0" fillId="2" borderId="4" xfId="0" applyNumberFormat="1" applyFill="1" applyBorder="1"/>
    <xf numFmtId="164" fontId="0" fillId="2" borderId="9" xfId="0" applyNumberFormat="1" applyFill="1" applyBorder="1"/>
    <xf numFmtId="2" fontId="0" fillId="2" borderId="10" xfId="0" applyNumberFormat="1" applyFill="1" applyBorder="1"/>
    <xf numFmtId="2" fontId="0" fillId="2" borderId="11" xfId="0" applyNumberFormat="1" applyFill="1" applyBorder="1"/>
    <xf numFmtId="2" fontId="0" fillId="0" borderId="0" xfId="0" applyNumberFormat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2" fontId="0" fillId="0" borderId="10" xfId="0" applyNumberFormat="1" applyBorder="1"/>
    <xf numFmtId="2" fontId="0" fillId="0" borderId="11" xfId="0" applyNumberFormat="1" applyBorder="1"/>
    <xf numFmtId="0" fontId="0" fillId="0" borderId="11" xfId="0" applyBorder="1"/>
    <xf numFmtId="2" fontId="0" fillId="0" borderId="15" xfId="0" applyNumberFormat="1" applyBorder="1"/>
    <xf numFmtId="2" fontId="0" fillId="0" borderId="18" xfId="0" applyNumberFormat="1" applyBorder="1"/>
    <xf numFmtId="164" fontId="0" fillId="0" borderId="10" xfId="0" applyNumberFormat="1" applyBorder="1"/>
    <xf numFmtId="0" fontId="0" fillId="0" borderId="22" xfId="0" applyBorder="1"/>
    <xf numFmtId="1" fontId="0" fillId="0" borderId="23" xfId="0" applyNumberFormat="1" applyBorder="1"/>
    <xf numFmtId="0" fontId="0" fillId="0" borderId="23" xfId="0" applyBorder="1"/>
    <xf numFmtId="0" fontId="0" fillId="0" borderId="24" xfId="0" applyBorder="1"/>
    <xf numFmtId="0" fontId="0" fillId="0" borderId="10" xfId="0" applyBorder="1"/>
    <xf numFmtId="2" fontId="0" fillId="0" borderId="0" xfId="0" applyNumberFormat="1" applyBorder="1"/>
    <xf numFmtId="2" fontId="0" fillId="0" borderId="9" xfId="0" applyNumberFormat="1" applyBorder="1"/>
    <xf numFmtId="165" fontId="4" fillId="3" borderId="9" xfId="0" applyNumberFormat="1" applyFont="1" applyFill="1" applyBorder="1"/>
    <xf numFmtId="2" fontId="0" fillId="0" borderId="19" xfId="0" applyNumberFormat="1" applyBorder="1"/>
    <xf numFmtId="1" fontId="0" fillId="3" borderId="6" xfId="0" applyNumberFormat="1" applyFill="1" applyBorder="1"/>
    <xf numFmtId="165" fontId="0" fillId="0" borderId="11" xfId="0" applyNumberFormat="1" applyBorder="1"/>
    <xf numFmtId="1" fontId="4" fillId="0" borderId="4" xfId="0" applyNumberFormat="1" applyFont="1" applyFill="1" applyBorder="1"/>
    <xf numFmtId="2" fontId="0" fillId="0" borderId="5" xfId="0" applyNumberFormat="1" applyBorder="1"/>
    <xf numFmtId="164" fontId="0" fillId="0" borderId="5" xfId="0" applyNumberFormat="1" applyBorder="1"/>
    <xf numFmtId="0" fontId="0" fillId="0" borderId="6" xfId="0" applyFill="1" applyBorder="1"/>
    <xf numFmtId="1" fontId="4" fillId="4" borderId="9" xfId="0" applyNumberFormat="1" applyFont="1" applyFill="1" applyBorder="1"/>
    <xf numFmtId="0" fontId="1" fillId="0" borderId="6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2" fontId="0" fillId="0" borderId="26" xfId="0" applyNumberFormat="1" applyBorder="1"/>
    <xf numFmtId="0" fontId="0" fillId="0" borderId="28" xfId="0" applyBorder="1"/>
    <xf numFmtId="2" fontId="0" fillId="0" borderId="7" xfId="0" applyNumberFormat="1" applyBorder="1"/>
    <xf numFmtId="0" fontId="0" fillId="0" borderId="29" xfId="0" applyBorder="1"/>
    <xf numFmtId="164" fontId="0" fillId="0" borderId="30" xfId="0" applyNumberFormat="1" applyBorder="1"/>
    <xf numFmtId="164" fontId="0" fillId="0" borderId="19" xfId="0" applyNumberFormat="1" applyBorder="1"/>
    <xf numFmtId="0" fontId="0" fillId="0" borderId="31" xfId="0" applyBorder="1"/>
    <xf numFmtId="0" fontId="0" fillId="0" borderId="1" xfId="0" applyBorder="1"/>
    <xf numFmtId="0" fontId="5" fillId="0" borderId="0" xfId="0" applyFont="1" applyAlignment="1">
      <alignment vertical="center"/>
    </xf>
    <xf numFmtId="164" fontId="0" fillId="0" borderId="0" xfId="0" applyNumberFormat="1" applyBorder="1"/>
    <xf numFmtId="0" fontId="6" fillId="0" borderId="4" xfId="0" applyFont="1" applyBorder="1"/>
    <xf numFmtId="1" fontId="4" fillId="0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9</xdr:col>
      <xdr:colOff>449580</xdr:colOff>
      <xdr:row>7</xdr:row>
      <xdr:rowOff>15240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E3DDA1B2-73F6-4AD5-9575-377D63C6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0120" y="1295400"/>
          <a:ext cx="2034540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53</xdr:row>
      <xdr:rowOff>0</xdr:rowOff>
    </xdr:from>
    <xdr:to>
      <xdr:col>9</xdr:col>
      <xdr:colOff>449580</xdr:colOff>
      <xdr:row>54</xdr:row>
      <xdr:rowOff>7620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B2090D92-1E81-480A-A622-DBF1FC2B5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0120" y="6126480"/>
          <a:ext cx="2034540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69</xdr:row>
      <xdr:rowOff>0</xdr:rowOff>
    </xdr:from>
    <xdr:to>
      <xdr:col>9</xdr:col>
      <xdr:colOff>449580</xdr:colOff>
      <xdr:row>70</xdr:row>
      <xdr:rowOff>7620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50A40F0F-41EB-4A27-A14C-3733022D5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0120" y="9159240"/>
          <a:ext cx="2034540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22860</xdr:colOff>
      <xdr:row>37</xdr:row>
      <xdr:rowOff>7620</xdr:rowOff>
    </xdr:from>
    <xdr:to>
      <xdr:col>0</xdr:col>
      <xdr:colOff>1851660</xdr:colOff>
      <xdr:row>37</xdr:row>
      <xdr:rowOff>182880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BB1CFA03-482D-425C-ADF9-C197449D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7094220"/>
          <a:ext cx="182880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1028700</xdr:colOff>
      <xdr:row>3</xdr:row>
      <xdr:rowOff>213360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EE21F979-5153-42D8-B207-16C8F5F64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840" y="685800"/>
          <a:ext cx="1028700" cy="213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114000</xdr:colOff>
      <xdr:row>14</xdr:row>
      <xdr:rowOff>88680</xdr:rowOff>
    </xdr:from>
    <xdr:to>
      <xdr:col>4</xdr:col>
      <xdr:colOff>326640</xdr:colOff>
      <xdr:row>34</xdr:row>
      <xdr:rowOff>31080</xdr:rowOff>
    </xdr:to>
    <xdr:pic>
      <xdr:nvPicPr>
        <xdr:cNvPr id="9" name="Bilde 8" descr="Et bilde som inneholder tekst, kart&#10;&#10;Automatisk generert beskrivelse">
          <a:extLst>
            <a:ext uri="{FF2B5EF4-FFF2-40B4-BE49-F238E27FC236}">
              <a16:creationId xmlns:a16="http://schemas.microsoft.com/office/drawing/2014/main" id="{0AFCCA3E-D747-4CBF-A618-2E5753361482}"/>
            </a:ext>
          </a:extLst>
        </xdr:cNvPr>
        <xdr:cNvPicPr/>
      </xdr:nvPicPr>
      <xdr:blipFill rotWithShape="1">
        <a:blip xmlns:r="http://schemas.openxmlformats.org/officeDocument/2006/relationships" r:embed="rId4"/>
        <a:srcRect l="-667" t="-1363" r="679" b="161"/>
        <a:stretch/>
      </xdr:blipFill>
      <xdr:spPr>
        <a:xfrm>
          <a:off x="114000" y="2885220"/>
          <a:ext cx="5760000" cy="3600000"/>
        </a:xfrm>
        <a:prstGeom prst="rect">
          <a:avLst/>
        </a:prstGeom>
        <a:noFill/>
        <a:ln>
          <a:noFill/>
          <a:prstDash/>
        </a:ln>
        <a:effectLst>
          <a:outerShdw blurRad="50800" dir="2700000" algn="tl" rotWithShape="0">
            <a:prstClr val="black">
              <a:alpha val="40000"/>
            </a:prstClr>
          </a:outerShdw>
          <a:softEdge rad="31750"/>
        </a:effectLst>
      </xdr:spPr>
    </xdr:pic>
    <xdr:clientData/>
  </xdr:twoCellAnchor>
  <xdr:twoCellAnchor editAs="oneCell">
    <xdr:from>
      <xdr:col>4</xdr:col>
      <xdr:colOff>876300</xdr:colOff>
      <xdr:row>14</xdr:row>
      <xdr:rowOff>144781</xdr:rowOff>
    </xdr:from>
    <xdr:to>
      <xdr:col>10</xdr:col>
      <xdr:colOff>441960</xdr:colOff>
      <xdr:row>33</xdr:row>
      <xdr:rowOff>167641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8D688F53-F91E-406B-8B2A-26401F63127E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73140" y="2941321"/>
          <a:ext cx="5463540" cy="349758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1</xdr:col>
      <xdr:colOff>281940</xdr:colOff>
      <xdr:row>36</xdr:row>
      <xdr:rowOff>236220</xdr:rowOff>
    </xdr:from>
    <xdr:to>
      <xdr:col>1</xdr:col>
      <xdr:colOff>1455420</xdr:colOff>
      <xdr:row>38</xdr:row>
      <xdr:rowOff>7620</xdr:rowOff>
    </xdr:to>
    <xdr:pic>
      <xdr:nvPicPr>
        <xdr:cNvPr id="11" name="Bilde 10">
          <a:extLst>
            <a:ext uri="{FF2B5EF4-FFF2-40B4-BE49-F238E27FC236}">
              <a16:creationId xmlns:a16="http://schemas.microsoft.com/office/drawing/2014/main" id="{CFCF591F-B1CB-4AAC-A603-B89B8C896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7056120"/>
          <a:ext cx="1173480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9"/>
  <sheetViews>
    <sheetView tabSelected="1" topLeftCell="A64" workbookViewId="0">
      <selection activeCell="A8" sqref="A8"/>
    </sheetView>
  </sheetViews>
  <sheetFormatPr baseColWidth="10" defaultRowHeight="14.4" x14ac:dyDescent="0.3"/>
  <cols>
    <col min="1" max="1" width="27.33203125" customWidth="1"/>
    <col min="2" max="2" width="22.6640625" customWidth="1"/>
    <col min="3" max="3" width="19.33203125" customWidth="1"/>
    <col min="5" max="5" width="21.109375" customWidth="1"/>
    <col min="6" max="6" width="15.44140625" customWidth="1"/>
    <col min="7" max="7" width="14.77734375" customWidth="1"/>
  </cols>
  <sheetData>
    <row r="1" spans="1:10" ht="15" thickBot="1" x14ac:dyDescent="0.35"/>
    <row r="2" spans="1:10" ht="24" thickBot="1" x14ac:dyDescent="0.5">
      <c r="B2" s="1" t="s">
        <v>0</v>
      </c>
      <c r="C2" s="2"/>
      <c r="D2" s="2"/>
      <c r="E2" s="3"/>
      <c r="F2" s="3"/>
      <c r="G2" s="4"/>
    </row>
    <row r="3" spans="1:10" ht="15" thickBot="1" x14ac:dyDescent="0.35"/>
    <row r="4" spans="1:10" ht="18.600000000000001" thickBot="1" x14ac:dyDescent="0.4">
      <c r="A4" s="5" t="s">
        <v>60</v>
      </c>
      <c r="B4" s="6"/>
      <c r="C4" s="6"/>
      <c r="D4" s="6"/>
      <c r="E4" s="4"/>
      <c r="F4" s="8"/>
      <c r="G4" s="8"/>
      <c r="H4" s="8"/>
      <c r="I4" s="8"/>
      <c r="J4" s="9"/>
    </row>
    <row r="5" spans="1:10" ht="15" thickBot="1" x14ac:dyDescent="0.35"/>
    <row r="6" spans="1:10" ht="15" thickBot="1" x14ac:dyDescent="0.35">
      <c r="A6" s="10" t="s">
        <v>7</v>
      </c>
      <c r="B6" s="11"/>
      <c r="C6" s="12"/>
      <c r="E6" s="72"/>
      <c r="F6" s="3"/>
      <c r="G6" s="3" t="s">
        <v>20</v>
      </c>
      <c r="H6" s="3"/>
      <c r="I6" s="3"/>
      <c r="J6" s="4"/>
    </row>
    <row r="7" spans="1:10" x14ac:dyDescent="0.3">
      <c r="A7" s="13" t="s">
        <v>1</v>
      </c>
      <c r="B7" s="13" t="s">
        <v>2</v>
      </c>
      <c r="C7" s="13" t="s">
        <v>3</v>
      </c>
      <c r="E7" s="34" t="s">
        <v>21</v>
      </c>
      <c r="F7" s="9"/>
      <c r="G7" s="9"/>
      <c r="I7" s="9"/>
      <c r="J7" s="35"/>
    </row>
    <row r="8" spans="1:10" x14ac:dyDescent="0.3">
      <c r="A8" s="14">
        <f>(66*1.8)/10000</f>
        <v>1.188E-2</v>
      </c>
      <c r="B8" s="13" t="s">
        <v>4</v>
      </c>
      <c r="C8" s="13">
        <v>0.7</v>
      </c>
      <c r="E8" s="34" t="s">
        <v>22</v>
      </c>
      <c r="F8">
        <v>64</v>
      </c>
      <c r="G8" t="s">
        <v>23</v>
      </c>
      <c r="J8" s="35"/>
    </row>
    <row r="9" spans="1:10" ht="15" thickBot="1" x14ac:dyDescent="0.35">
      <c r="A9" s="15">
        <f>(753/10000)-A8</f>
        <v>6.3420000000000004E-2</v>
      </c>
      <c r="B9" s="16" t="s">
        <v>19</v>
      </c>
      <c r="C9" s="16">
        <v>0.4</v>
      </c>
      <c r="E9" s="34" t="s">
        <v>24</v>
      </c>
      <c r="F9">
        <f>57-53</f>
        <v>4</v>
      </c>
      <c r="G9" t="s">
        <v>39</v>
      </c>
      <c r="J9" s="35"/>
    </row>
    <row r="10" spans="1:10" x14ac:dyDescent="0.3">
      <c r="A10" s="17" t="s">
        <v>5</v>
      </c>
      <c r="B10" s="11" t="s">
        <v>6</v>
      </c>
      <c r="C10" s="12" t="s">
        <v>54</v>
      </c>
      <c r="E10" s="45" t="s">
        <v>25</v>
      </c>
      <c r="F10" s="46">
        <f>0.6*F8*F9^-0.5</f>
        <v>19.2</v>
      </c>
      <c r="G10" s="47" t="s">
        <v>26</v>
      </c>
      <c r="H10" s="47"/>
      <c r="I10" s="47"/>
      <c r="J10" s="48"/>
    </row>
    <row r="11" spans="1:10" ht="15" thickBot="1" x14ac:dyDescent="0.35">
      <c r="A11" s="18">
        <f>A8+A9</f>
        <v>7.5300000000000006E-2</v>
      </c>
      <c r="B11" s="19">
        <f>((A8*C8)+(A9*C9))/A11</f>
        <v>0.44733067729083659</v>
      </c>
      <c r="C11" s="20">
        <f>B11+(B11*0.2)</f>
        <v>0.53679681274900393</v>
      </c>
      <c r="E11" s="38" t="s">
        <v>62</v>
      </c>
      <c r="F11" s="49"/>
      <c r="G11" s="49"/>
      <c r="H11" s="49"/>
      <c r="I11" s="49"/>
      <c r="J11" s="41"/>
    </row>
    <row r="12" spans="1:10" ht="15" thickBot="1" x14ac:dyDescent="0.35"/>
    <row r="13" spans="1:10" x14ac:dyDescent="0.3">
      <c r="A13" s="56" t="s">
        <v>27</v>
      </c>
      <c r="B13" s="57" t="s">
        <v>13</v>
      </c>
      <c r="C13" s="37" t="s">
        <v>53</v>
      </c>
      <c r="D13" s="58" t="s">
        <v>30</v>
      </c>
      <c r="E13" s="59" t="s">
        <v>31</v>
      </c>
    </row>
    <row r="14" spans="1:10" ht="15" thickBot="1" x14ac:dyDescent="0.35">
      <c r="A14" s="60">
        <f>B14*C14*D14*E14</f>
        <v>7.3565855999999989</v>
      </c>
      <c r="B14" s="39">
        <f>C11</f>
        <v>0.53679681274900393</v>
      </c>
      <c r="C14" s="49">
        <v>130</v>
      </c>
      <c r="D14" s="44">
        <f>A11</f>
        <v>7.5300000000000006E-2</v>
      </c>
      <c r="E14" s="41">
        <f>1.4</f>
        <v>1.4</v>
      </c>
    </row>
    <row r="36" spans="1:8" ht="15" thickBot="1" x14ac:dyDescent="0.35"/>
    <row r="37" spans="1:8" ht="21" x14ac:dyDescent="0.4">
      <c r="A37" s="75" t="s">
        <v>63</v>
      </c>
      <c r="B37" s="24"/>
    </row>
    <row r="38" spans="1:8" ht="16.8" customHeight="1" thickBot="1" x14ac:dyDescent="0.35">
      <c r="A38" s="76"/>
      <c r="B38" s="40"/>
      <c r="C38" s="9"/>
      <c r="D38" s="74"/>
      <c r="E38" s="9"/>
    </row>
    <row r="39" spans="1:8" ht="18.600000000000001" customHeight="1" thickBot="1" x14ac:dyDescent="0.35">
      <c r="A39" s="38"/>
    </row>
    <row r="40" spans="1:8" ht="18.600000000000001" thickBot="1" x14ac:dyDescent="0.4">
      <c r="A40" s="5" t="s">
        <v>37</v>
      </c>
      <c r="B40" s="4"/>
      <c r="H40" s="73" t="s">
        <v>59</v>
      </c>
    </row>
    <row r="41" spans="1:8" ht="15" thickBot="1" x14ac:dyDescent="0.35">
      <c r="A41" s="28" t="s">
        <v>22</v>
      </c>
      <c r="B41" s="30">
        <f>9.7+42.5+8</f>
        <v>60.2</v>
      </c>
      <c r="D41" s="36" t="s">
        <v>40</v>
      </c>
      <c r="E41" s="37"/>
      <c r="F41" s="61" t="s">
        <v>41</v>
      </c>
    </row>
    <row r="42" spans="1:8" ht="15" thickBot="1" x14ac:dyDescent="0.35">
      <c r="A42" s="31" t="s">
        <v>34</v>
      </c>
      <c r="B42" s="33">
        <v>51</v>
      </c>
      <c r="D42" s="34" t="s">
        <v>61</v>
      </c>
      <c r="F42" s="62" t="s">
        <v>42</v>
      </c>
    </row>
    <row r="43" spans="1:8" x14ac:dyDescent="0.3">
      <c r="A43" s="31" t="s">
        <v>35</v>
      </c>
      <c r="B43" s="33">
        <v>53</v>
      </c>
      <c r="D43" s="31" t="s">
        <v>55</v>
      </c>
      <c r="E43" s="71">
        <v>0.40433999999999998</v>
      </c>
      <c r="F43" s="64" t="s">
        <v>43</v>
      </c>
    </row>
    <row r="44" spans="1:8" x14ac:dyDescent="0.3">
      <c r="A44" s="31" t="s">
        <v>36</v>
      </c>
      <c r="B44" s="33">
        <v>30</v>
      </c>
      <c r="D44" s="31" t="s">
        <v>44</v>
      </c>
      <c r="E44" s="63">
        <v>7.0000000000000007E-2</v>
      </c>
      <c r="F44" s="64" t="s">
        <v>45</v>
      </c>
    </row>
    <row r="45" spans="1:8" x14ac:dyDescent="0.3">
      <c r="A45" s="31" t="s">
        <v>29</v>
      </c>
      <c r="B45" s="53">
        <f>(B43-B42)/B41</f>
        <v>3.3222591362126241E-2</v>
      </c>
      <c r="D45" s="31" t="s">
        <v>46</v>
      </c>
      <c r="E45" s="63">
        <v>0.05</v>
      </c>
      <c r="F45" s="64" t="s">
        <v>47</v>
      </c>
    </row>
    <row r="46" spans="1:8" x14ac:dyDescent="0.3">
      <c r="A46" s="31" t="s">
        <v>57</v>
      </c>
      <c r="B46" s="70">
        <f>E49</f>
        <v>1.6571663418239846E-2</v>
      </c>
      <c r="D46" s="31" t="s">
        <v>48</v>
      </c>
      <c r="E46" s="65">
        <f>(E44)/E43</f>
        <v>0.17312163031112432</v>
      </c>
      <c r="F46" s="64" t="s">
        <v>49</v>
      </c>
    </row>
    <row r="47" spans="1:8" ht="15" thickBot="1" x14ac:dyDescent="0.35">
      <c r="A47" s="31" t="s">
        <v>58</v>
      </c>
      <c r="B47" s="33">
        <f>B46/(2*E46+E45)</f>
        <v>4.1821943904399028E-2</v>
      </c>
      <c r="D47" s="31" t="s">
        <v>50</v>
      </c>
      <c r="E47" s="65">
        <f>SQRT(E46^2+E44^2)</f>
        <v>0.18673804883199779</v>
      </c>
      <c r="F47" s="66" t="s">
        <v>51</v>
      </c>
    </row>
    <row r="48" spans="1:8" x14ac:dyDescent="0.3">
      <c r="A48" s="36" t="s">
        <v>56</v>
      </c>
      <c r="B48" s="54">
        <f>B44*B46*(B47^(2/3))*(B45^0.5)*1000</f>
        <v>10.917928711782841</v>
      </c>
      <c r="D48" s="31" t="s">
        <v>52</v>
      </c>
      <c r="E48" s="67">
        <f>2*E47+E45</f>
        <v>0.42347609766399558</v>
      </c>
      <c r="F48" s="35"/>
    </row>
    <row r="49" spans="1:10" ht="15" thickBot="1" x14ac:dyDescent="0.35">
      <c r="A49" s="38" t="s">
        <v>38</v>
      </c>
      <c r="B49" s="55">
        <f>B44*(B47^0.66667)*(B45^0.5)</f>
        <v>0.65882421776273481</v>
      </c>
      <c r="D49" s="68" t="s">
        <v>30</v>
      </c>
      <c r="E49" s="69">
        <f>1/2*(E45+E48)*E44</f>
        <v>1.6571663418239846E-2</v>
      </c>
      <c r="F49" s="41"/>
    </row>
    <row r="50" spans="1:10" ht="15" thickBot="1" x14ac:dyDescent="0.35"/>
    <row r="51" spans="1:10" ht="18.600000000000001" thickBot="1" x14ac:dyDescent="0.4">
      <c r="A51" s="5" t="s">
        <v>14</v>
      </c>
      <c r="B51" s="6"/>
      <c r="C51" s="6"/>
      <c r="D51" s="7"/>
      <c r="E51" s="9"/>
    </row>
    <row r="52" spans="1:10" ht="15" thickBot="1" x14ac:dyDescent="0.35">
      <c r="B52" s="21"/>
    </row>
    <row r="53" spans="1:10" ht="18.600000000000001" thickBot="1" x14ac:dyDescent="0.4">
      <c r="A53" s="22" t="s">
        <v>15</v>
      </c>
      <c r="B53" s="23"/>
      <c r="C53" s="24"/>
      <c r="E53" s="72"/>
      <c r="F53" s="3"/>
      <c r="G53" s="3" t="s">
        <v>20</v>
      </c>
      <c r="H53" s="3"/>
      <c r="I53" s="3"/>
      <c r="J53" s="4"/>
    </row>
    <row r="54" spans="1:10" ht="15" thickBot="1" x14ac:dyDescent="0.35">
      <c r="A54" s="25" t="s">
        <v>1</v>
      </c>
      <c r="B54" s="26" t="s">
        <v>2</v>
      </c>
      <c r="C54" s="27" t="s">
        <v>3</v>
      </c>
      <c r="E54" s="34" t="s">
        <v>21</v>
      </c>
      <c r="F54" s="9"/>
      <c r="G54" s="9"/>
      <c r="I54" s="9"/>
      <c r="J54" s="35"/>
    </row>
    <row r="55" spans="1:10" x14ac:dyDescent="0.3">
      <c r="A55" s="28">
        <f>2104/10000</f>
        <v>0.2104</v>
      </c>
      <c r="B55" s="29" t="s">
        <v>8</v>
      </c>
      <c r="C55" s="30">
        <v>0.3</v>
      </c>
      <c r="E55" s="34" t="s">
        <v>22</v>
      </c>
      <c r="F55">
        <v>125</v>
      </c>
      <c r="G55" t="s">
        <v>23</v>
      </c>
      <c r="J55" s="35"/>
    </row>
    <row r="56" spans="1:10" x14ac:dyDescent="0.3">
      <c r="A56" s="31"/>
      <c r="B56" s="32"/>
      <c r="C56" s="33"/>
      <c r="E56" s="34" t="s">
        <v>24</v>
      </c>
      <c r="F56">
        <f>57-43</f>
        <v>14</v>
      </c>
      <c r="G56" t="s">
        <v>32</v>
      </c>
      <c r="J56" s="35" t="s">
        <v>23</v>
      </c>
    </row>
    <row r="57" spans="1:10" x14ac:dyDescent="0.3">
      <c r="A57" s="31">
        <f>0.36-A55-A58</f>
        <v>0.13329999999999997</v>
      </c>
      <c r="B57" s="32" t="s">
        <v>9</v>
      </c>
      <c r="C57" s="33">
        <v>0.7</v>
      </c>
      <c r="E57" s="45" t="s">
        <v>25</v>
      </c>
      <c r="F57" s="46">
        <f>0.6*F55*F56^-0.5</f>
        <v>20.044593143431829</v>
      </c>
      <c r="G57" s="47" t="s">
        <v>26</v>
      </c>
      <c r="H57" s="47"/>
      <c r="I57" s="47"/>
      <c r="J57" s="48"/>
    </row>
    <row r="58" spans="1:10" ht="15" thickBot="1" x14ac:dyDescent="0.35">
      <c r="A58" s="31">
        <f>163/10000</f>
        <v>1.6299999999999999E-2</v>
      </c>
      <c r="B58" s="32" t="s">
        <v>10</v>
      </c>
      <c r="C58" s="33">
        <v>0.9</v>
      </c>
      <c r="E58" s="38" t="s">
        <v>33</v>
      </c>
      <c r="F58" s="49"/>
      <c r="G58" s="49"/>
      <c r="H58" s="49"/>
      <c r="I58" s="49"/>
      <c r="J58" s="41"/>
    </row>
    <row r="59" spans="1:10" x14ac:dyDescent="0.3">
      <c r="A59" s="31"/>
      <c r="B59" s="32" t="s">
        <v>11</v>
      </c>
      <c r="C59" s="33">
        <v>0.7</v>
      </c>
    </row>
    <row r="60" spans="1:10" x14ac:dyDescent="0.3">
      <c r="A60" s="31"/>
      <c r="B60" s="32"/>
      <c r="C60" s="33"/>
    </row>
    <row r="61" spans="1:10" ht="15" thickBot="1" x14ac:dyDescent="0.35">
      <c r="A61" s="34"/>
      <c r="C61" s="35"/>
    </row>
    <row r="62" spans="1:10" x14ac:dyDescent="0.3">
      <c r="A62" s="36" t="s">
        <v>12</v>
      </c>
      <c r="B62" s="37" t="s">
        <v>13</v>
      </c>
      <c r="C62" s="24"/>
    </row>
    <row r="63" spans="1:10" ht="15" thickBot="1" x14ac:dyDescent="0.35">
      <c r="A63" s="38">
        <f>SUM(A55:A60)</f>
        <v>0.36</v>
      </c>
      <c r="B63" s="39">
        <f>(A55*C55+A56*C56+A57*C57+A58*C58+A60*C60)/A63</f>
        <v>0.47527777777777763</v>
      </c>
      <c r="C63" s="40"/>
    </row>
    <row r="64" spans="1:10" ht="15" thickBot="1" x14ac:dyDescent="0.35">
      <c r="A64" s="9"/>
      <c r="B64" s="50"/>
      <c r="C64" s="50"/>
    </row>
    <row r="65" spans="1:10" x14ac:dyDescent="0.3">
      <c r="A65" s="36" t="s">
        <v>27</v>
      </c>
      <c r="B65" s="37" t="s">
        <v>28</v>
      </c>
      <c r="C65" s="37" t="s">
        <v>29</v>
      </c>
      <c r="D65" s="37" t="s">
        <v>30</v>
      </c>
      <c r="E65" s="24" t="s">
        <v>31</v>
      </c>
    </row>
    <row r="66" spans="1:10" ht="15" thickBot="1" x14ac:dyDescent="0.35">
      <c r="A66" s="52">
        <f>B66*C66*D66*E66</f>
        <v>28.601075999999992</v>
      </c>
      <c r="B66" s="39">
        <f>B63</f>
        <v>0.47527777777777763</v>
      </c>
      <c r="C66" s="49">
        <v>119.4</v>
      </c>
      <c r="D66" s="44">
        <f>A63</f>
        <v>0.36</v>
      </c>
      <c r="E66" s="41">
        <v>1.4</v>
      </c>
    </row>
    <row r="68" spans="1:10" ht="15" thickBot="1" x14ac:dyDescent="0.35"/>
    <row r="69" spans="1:10" ht="18.600000000000001" thickBot="1" x14ac:dyDescent="0.4">
      <c r="A69" s="22" t="s">
        <v>18</v>
      </c>
      <c r="B69" s="37"/>
      <c r="C69" s="24"/>
      <c r="E69" s="72"/>
      <c r="F69" s="3"/>
      <c r="G69" s="3" t="s">
        <v>20</v>
      </c>
      <c r="H69" s="3"/>
      <c r="I69" s="3"/>
      <c r="J69" s="4"/>
    </row>
    <row r="70" spans="1:10" ht="15" thickBot="1" x14ac:dyDescent="0.35">
      <c r="A70" s="25" t="s">
        <v>1</v>
      </c>
      <c r="B70" s="26" t="s">
        <v>2</v>
      </c>
      <c r="C70" s="27" t="s">
        <v>3</v>
      </c>
      <c r="E70" s="34" t="s">
        <v>21</v>
      </c>
      <c r="F70" s="9"/>
      <c r="G70" s="9"/>
      <c r="I70" s="9"/>
      <c r="J70" s="35"/>
    </row>
    <row r="71" spans="1:10" x14ac:dyDescent="0.3">
      <c r="A71" s="42">
        <f>A55-A74</f>
        <v>0.19852</v>
      </c>
      <c r="B71" s="29" t="s">
        <v>8</v>
      </c>
      <c r="C71" s="30">
        <v>0.3</v>
      </c>
      <c r="E71" s="34" t="s">
        <v>22</v>
      </c>
      <c r="F71">
        <v>125</v>
      </c>
      <c r="G71" t="s">
        <v>23</v>
      </c>
      <c r="J71" s="35"/>
    </row>
    <row r="72" spans="1:10" x14ac:dyDescent="0.3">
      <c r="A72" s="43">
        <f>A57</f>
        <v>0.13329999999999997</v>
      </c>
      <c r="B72" s="32" t="s">
        <v>9</v>
      </c>
      <c r="C72" s="33">
        <v>0.7</v>
      </c>
      <c r="E72" s="34" t="s">
        <v>24</v>
      </c>
      <c r="F72">
        <f>57-43</f>
        <v>14</v>
      </c>
      <c r="G72" t="s">
        <v>32</v>
      </c>
      <c r="J72" s="35" t="s">
        <v>23</v>
      </c>
    </row>
    <row r="73" spans="1:10" x14ac:dyDescent="0.3">
      <c r="A73" s="31">
        <f>A58</f>
        <v>1.6299999999999999E-2</v>
      </c>
      <c r="B73" s="32" t="s">
        <v>10</v>
      </c>
      <c r="C73" s="33">
        <v>0.9</v>
      </c>
      <c r="E73" s="45" t="s">
        <v>25</v>
      </c>
      <c r="F73" s="46">
        <f>0.6*F71*F72^-0.5</f>
        <v>20.044593143431829</v>
      </c>
      <c r="G73" s="47" t="s">
        <v>26</v>
      </c>
      <c r="H73" s="47"/>
      <c r="I73" s="47"/>
      <c r="J73" s="48"/>
    </row>
    <row r="74" spans="1:10" ht="15" thickBot="1" x14ac:dyDescent="0.35">
      <c r="A74" s="43">
        <f>A8</f>
        <v>1.188E-2</v>
      </c>
      <c r="B74" s="32" t="s">
        <v>11</v>
      </c>
      <c r="C74" s="33">
        <v>0.7</v>
      </c>
      <c r="E74" s="38" t="s">
        <v>33</v>
      </c>
      <c r="F74" s="49"/>
      <c r="G74" s="49"/>
      <c r="H74" s="49"/>
      <c r="I74" s="49"/>
      <c r="J74" s="41"/>
    </row>
    <row r="75" spans="1:10" x14ac:dyDescent="0.3">
      <c r="A75" s="36" t="s">
        <v>16</v>
      </c>
      <c r="B75" s="37" t="s">
        <v>13</v>
      </c>
      <c r="C75" s="24" t="s">
        <v>17</v>
      </c>
    </row>
    <row r="76" spans="1:10" ht="15" thickBot="1" x14ac:dyDescent="0.35">
      <c r="A76" s="51">
        <f>SUM(A71:A74)</f>
        <v>0.36</v>
      </c>
      <c r="B76" s="39">
        <f>((A71*C71)+(A72*C72)+(A73*C73)+(A74*C74))/A76</f>
        <v>0.48847777777777768</v>
      </c>
      <c r="C76" s="40">
        <f>B76+(B76*0.25)</f>
        <v>0.61059722222222212</v>
      </c>
    </row>
    <row r="77" spans="1:10" ht="15" thickBot="1" x14ac:dyDescent="0.35"/>
    <row r="78" spans="1:10" x14ac:dyDescent="0.3">
      <c r="A78" s="36" t="s">
        <v>27</v>
      </c>
      <c r="B78" s="37" t="s">
        <v>28</v>
      </c>
      <c r="C78" s="37" t="s">
        <v>29</v>
      </c>
      <c r="D78" s="37" t="s">
        <v>30</v>
      </c>
      <c r="E78" s="24" t="s">
        <v>31</v>
      </c>
    </row>
    <row r="79" spans="1:10" ht="15" thickBot="1" x14ac:dyDescent="0.35">
      <c r="A79" s="52">
        <f>B79*C79*D79*E79</f>
        <v>29.395420319999992</v>
      </c>
      <c r="B79" s="39">
        <f>B76</f>
        <v>0.48847777777777768</v>
      </c>
      <c r="C79" s="49">
        <v>119.4</v>
      </c>
      <c r="D79" s="44">
        <f>A76</f>
        <v>0.36</v>
      </c>
      <c r="E79" s="41">
        <v>1.4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52085E1CA71747B8FC3D98882FBA31" ma:contentTypeVersion="9" ma:contentTypeDescription="Opprett et nytt dokument." ma:contentTypeScope="" ma:versionID="2ed11a2627f7489a59e7d7792c04a920">
  <xsd:schema xmlns:xsd="http://www.w3.org/2001/XMLSchema" xmlns:xs="http://www.w3.org/2001/XMLSchema" xmlns:p="http://schemas.microsoft.com/office/2006/metadata/properties" xmlns:ns3="aa917ce6-432e-4a06-b444-d4b4f925073d" xmlns:ns4="f5e7111b-50ed-4be4-b6e1-62d212277eca" targetNamespace="http://schemas.microsoft.com/office/2006/metadata/properties" ma:root="true" ma:fieldsID="253d0f223cad528648160f6dfdef4e1c" ns3:_="" ns4:_="">
    <xsd:import namespace="aa917ce6-432e-4a06-b444-d4b4f925073d"/>
    <xsd:import namespace="f5e7111b-50ed-4be4-b6e1-62d212277ec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917ce6-432e-4a06-b444-d4b4f92507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7111b-50ed-4be4-b6e1-62d212277ec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1A284C-1F24-4CFF-AAEB-41CFF8BE7D2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251C570-3CC1-4CFE-8B74-FF7B4A4DB9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E9685F-BB7C-42C8-840B-1D93BD524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917ce6-432e-4a06-b444-d4b4f925073d"/>
    <ds:schemaRef ds:uri="f5e7111b-50ed-4be4-b6e1-62d212277e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riise</dc:creator>
  <cp:lastModifiedBy>Elin riise</cp:lastModifiedBy>
  <dcterms:created xsi:type="dcterms:W3CDTF">2020-04-28T10:10:34Z</dcterms:created>
  <dcterms:modified xsi:type="dcterms:W3CDTF">2020-05-23T20:55:42Z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0x0101006F52085E1CA71747B8FC3D98882FBA31</vt:lpwstr>
  </property>
</Properties>
</file>