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vl365-my.sharepoint.com/personal/571976_stud_hvl_no/Documents/6 semester/bachelor/VA/"/>
    </mc:Choice>
  </mc:AlternateContent>
  <xr:revisionPtr revIDLastSave="75" documentId="10_ncr:40000_{541DE5FF-3C55-4982-A925-67D772C733E6}" xr6:coauthVersionLast="45" xr6:coauthVersionMax="45" xr10:uidLastSave="{0E892FA8-7839-45F4-A553-FD46CA316F14}"/>
  <bookViews>
    <workbookView xWindow="-108" yWindow="-108" windowWidth="23256" windowHeight="12576" xr2:uid="{00000000-000D-0000-FFFF-FFFF00000000}"/>
  </bookViews>
  <sheets>
    <sheet name="Ark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0" i="1" l="1"/>
  <c r="A57" i="1"/>
  <c r="A8" i="1"/>
  <c r="B82" i="1" l="1"/>
  <c r="B78" i="1"/>
  <c r="B71" i="1"/>
  <c r="B66" i="1"/>
  <c r="B65" i="1"/>
  <c r="B83" i="1" l="1"/>
  <c r="E16" i="1" l="1"/>
  <c r="E24" i="1"/>
  <c r="E25" i="1" s="1"/>
  <c r="E26" i="1" s="1"/>
  <c r="E27" i="1" s="1"/>
  <c r="B24" i="1" s="1"/>
  <c r="B25" i="1" s="1"/>
  <c r="A49" i="1"/>
  <c r="A52" i="1"/>
  <c r="F34" i="1"/>
  <c r="A33" i="1"/>
  <c r="A36" i="1"/>
  <c r="A51" i="1" s="1"/>
  <c r="A37" i="1"/>
  <c r="A35" i="1" s="1"/>
  <c r="A9" i="1"/>
  <c r="F9" i="1"/>
  <c r="F10" i="1" s="1"/>
  <c r="F51" i="1"/>
  <c r="F35" i="1"/>
  <c r="B23" i="1"/>
  <c r="A50" i="1" l="1"/>
  <c r="B27" i="1"/>
  <c r="B26" i="1"/>
  <c r="A54" i="1"/>
  <c r="D57" i="1" s="1"/>
  <c r="A40" i="1" l="1"/>
  <c r="B54" i="1"/>
  <c r="A11" i="1"/>
  <c r="D14" i="1" l="1"/>
  <c r="D16" i="1"/>
  <c r="D43" i="1"/>
  <c r="B40" i="1"/>
  <c r="B43" i="1" s="1"/>
  <c r="A43" i="1" s="1"/>
  <c r="C54" i="1"/>
  <c r="B57" i="1"/>
  <c r="B11" i="1"/>
  <c r="C11" i="1" l="1"/>
  <c r="B14" i="1" s="1"/>
  <c r="A14" i="1" s="1"/>
  <c r="B62" i="1" s="1"/>
  <c r="B16" i="1"/>
  <c r="A16" i="1" s="1"/>
  <c r="B63" i="1" l="1"/>
  <c r="B74" i="1" s="1"/>
  <c r="B79" i="1"/>
</calcChain>
</file>

<file path=xl/sharedStrings.xml><?xml version="1.0" encoding="utf-8"?>
<sst xmlns="http://schemas.openxmlformats.org/spreadsheetml/2006/main" count="133" uniqueCount="87">
  <si>
    <t>Avrenning og grøfter innenfor oransje nedbørsfelt</t>
  </si>
  <si>
    <t>Avrenningskoeffisient for området med avrenning mot grusvei</t>
  </si>
  <si>
    <t>For å finne I</t>
  </si>
  <si>
    <t>Areal hektar</t>
  </si>
  <si>
    <t>arealdekke</t>
  </si>
  <si>
    <t>avrenningskoeffisient</t>
  </si>
  <si>
    <t>for å finne konsentrasjonstid min</t>
  </si>
  <si>
    <t>Grusvei</t>
  </si>
  <si>
    <t>L</t>
  </si>
  <si>
    <t>m</t>
  </si>
  <si>
    <t xml:space="preserve">Plen, eng, dyrket mark </t>
  </si>
  <si>
    <t>H</t>
  </si>
  <si>
    <t>tot areal</t>
  </si>
  <si>
    <t>c-midlere</t>
  </si>
  <si>
    <t>c-midlere (med 25%)</t>
  </si>
  <si>
    <t>tc</t>
  </si>
  <si>
    <t>min</t>
  </si>
  <si>
    <t>Q</t>
  </si>
  <si>
    <t>C</t>
  </si>
  <si>
    <t>I</t>
  </si>
  <si>
    <t>A</t>
  </si>
  <si>
    <t>Kf</t>
  </si>
  <si>
    <t>Grøft langs grusvei</t>
  </si>
  <si>
    <t>laveste kvote</t>
  </si>
  <si>
    <t>høyeste kvote</t>
  </si>
  <si>
    <t>Ujevnsteinkleding M</t>
  </si>
  <si>
    <t>Park, plen, eng, dyrket mark</t>
  </si>
  <si>
    <t>Eneboligområde</t>
  </si>
  <si>
    <t>Asfalt vei</t>
  </si>
  <si>
    <t>Grusveier</t>
  </si>
  <si>
    <t>sum areal</t>
  </si>
  <si>
    <t>C-midlere</t>
  </si>
  <si>
    <t>Sum areal</t>
  </si>
  <si>
    <t>cmidlere (med 25%)</t>
  </si>
  <si>
    <t>Avrenning innenfor hele oransje nedbørsfelt beregnet med rasjonell formel</t>
  </si>
  <si>
    <t>Oransje nedbørsfelt etter grusvei</t>
  </si>
  <si>
    <t>Oransje nedbørsfelt før grusvei</t>
  </si>
  <si>
    <t>(høyest kvote 55 og laveste 49)</t>
  </si>
  <si>
    <t xml:space="preserve">Se i tabell og graf returperiode 100år og min 22 min </t>
  </si>
  <si>
    <t>Asfalt/tette flater</t>
  </si>
  <si>
    <t>(høyest kvote 55 og laveste 43)</t>
  </si>
  <si>
    <t>Finne areal grøftetverrsnitt og R</t>
  </si>
  <si>
    <t>del 4 vest</t>
  </si>
  <si>
    <t>Trapes med skråvinkel 33,7 grader</t>
  </si>
  <si>
    <t>formler</t>
  </si>
  <si>
    <t>sin 33,7=</t>
  </si>
  <si>
    <t>A=1/2(a+b)*h</t>
  </si>
  <si>
    <t>h</t>
  </si>
  <si>
    <t>O=a+b+c+d</t>
  </si>
  <si>
    <t xml:space="preserve">a </t>
  </si>
  <si>
    <t>x^2=c^2+h^2</t>
  </si>
  <si>
    <t>c</t>
  </si>
  <si>
    <t>b=2*x+a</t>
  </si>
  <si>
    <t>x</t>
  </si>
  <si>
    <t>c og d =h/sin(39</t>
  </si>
  <si>
    <t>b</t>
  </si>
  <si>
    <t>I (100 år)</t>
  </si>
  <si>
    <t>Dim stikkrenne</t>
  </si>
  <si>
    <t>Q l/s</t>
  </si>
  <si>
    <t>Qm^3/s</t>
  </si>
  <si>
    <t>hf</t>
  </si>
  <si>
    <t>i /m/m)</t>
  </si>
  <si>
    <t>samme fall som tverrfall vei (5%)</t>
  </si>
  <si>
    <t>k (plastrør)</t>
  </si>
  <si>
    <t>utgangspunkt D (fra colebrooks)</t>
  </si>
  <si>
    <t>k/D</t>
  </si>
  <si>
    <t>D^5</t>
  </si>
  <si>
    <t>D (m)</t>
  </si>
  <si>
    <t>selvrens</t>
  </si>
  <si>
    <t>Qfult</t>
  </si>
  <si>
    <t>Q/qfult</t>
  </si>
  <si>
    <t>h/d</t>
  </si>
  <si>
    <t>v/vfult</t>
  </si>
  <si>
    <t>Q/A</t>
  </si>
  <si>
    <t>V</t>
  </si>
  <si>
    <t>I (50 år)</t>
  </si>
  <si>
    <t>Areal grøftetverrsnitt (trapes)</t>
  </si>
  <si>
    <t>R = A/ (våt omkrets</t>
  </si>
  <si>
    <t>kapasitet vannføring Q</t>
  </si>
  <si>
    <t xml:space="preserve">Vannhastighet </t>
  </si>
  <si>
    <t xml:space="preserve">Avrenning mot grusvei innenfor delnedbørsfelt med rasjonell formel </t>
  </si>
  <si>
    <t>Formler:</t>
  </si>
  <si>
    <t>https://www.va-blad.no/wp-content/uploads/2015/05/Blad-79-28.05.15.pdf</t>
  </si>
  <si>
    <t>http://www.haiex.no/index.php?id=174</t>
  </si>
  <si>
    <t>f (se moodys diagram 0,0017)</t>
  </si>
  <si>
    <t xml:space="preserve">Velger dim </t>
  </si>
  <si>
    <t xml:space="preserve">Se i tabell og graf returperiode 20år og min 29 min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</si>
</sst>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0.0000"/>
    <numFmt numFmtId="167" formatCode="0.0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3" fillId="0" borderId="1" xfId="0" applyFont="1" applyBorder="1"/>
    <xf numFmtId="0" fontId="0" fillId="0" borderId="2" xfId="0" applyBorder="1"/>
    <xf numFmtId="0" fontId="0" fillId="0" borderId="3" xfId="0" applyBorder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2" borderId="7" xfId="0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164" fontId="0" fillId="2" borderId="7" xfId="0" applyNumberFormat="1" applyFill="1" applyBorder="1"/>
    <xf numFmtId="0" fontId="0" fillId="0" borderId="11" xfId="0" applyBorder="1"/>
    <xf numFmtId="0" fontId="0" fillId="0" borderId="12" xfId="0" applyBorder="1"/>
    <xf numFmtId="164" fontId="0" fillId="2" borderId="13" xfId="0" applyNumberFormat="1" applyFill="1" applyBorder="1"/>
    <xf numFmtId="0" fontId="0" fillId="2" borderId="13" xfId="0" applyFill="1" applyBorder="1"/>
    <xf numFmtId="2" fontId="0" fillId="2" borderId="4" xfId="0" applyNumberFormat="1" applyFill="1" applyBorder="1"/>
    <xf numFmtId="0" fontId="0" fillId="0" borderId="14" xfId="0" applyBorder="1"/>
    <xf numFmtId="1" fontId="0" fillId="0" borderId="15" xfId="0" applyNumberFormat="1" applyBorder="1"/>
    <xf numFmtId="0" fontId="0" fillId="0" borderId="15" xfId="0" applyBorder="1"/>
    <xf numFmtId="0" fontId="0" fillId="0" borderId="16" xfId="0" applyBorder="1"/>
    <xf numFmtId="164" fontId="0" fillId="2" borderId="17" xfId="0" applyNumberFormat="1" applyFill="1" applyBorder="1"/>
    <xf numFmtId="2" fontId="0" fillId="2" borderId="18" xfId="0" applyNumberFormat="1" applyFill="1" applyBorder="1"/>
    <xf numFmtId="2" fontId="0" fillId="2" borderId="19" xfId="0" applyNumberFormat="1" applyFill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2" fontId="0" fillId="0" borderId="18" xfId="0" applyNumberFormat="1" applyBorder="1"/>
    <xf numFmtId="164" fontId="0" fillId="0" borderId="18" xfId="0" applyNumberForma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2" fontId="0" fillId="0" borderId="23" xfId="0" applyNumberFormat="1" applyBorder="1"/>
    <xf numFmtId="165" fontId="0" fillId="0" borderId="19" xfId="0" applyNumberFormat="1" applyBorder="1"/>
    <xf numFmtId="2" fontId="0" fillId="0" borderId="0" xfId="0" applyNumberFormat="1"/>
    <xf numFmtId="0" fontId="2" fillId="0" borderId="4" xfId="0" applyFont="1" applyBorder="1"/>
    <xf numFmtId="0" fontId="2" fillId="0" borderId="5" xfId="0" applyFon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7" xfId="0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2" xfId="0" applyNumberFormat="1" applyBorder="1"/>
    <xf numFmtId="2" fontId="0" fillId="0" borderId="17" xfId="0" applyNumberFormat="1" applyBorder="1"/>
    <xf numFmtId="0" fontId="2" fillId="0" borderId="0" xfId="0" applyFont="1" applyBorder="1"/>
    <xf numFmtId="0" fontId="0" fillId="0" borderId="0" xfId="0" applyBorder="1"/>
    <xf numFmtId="0" fontId="1" fillId="0" borderId="6" xfId="0" applyFont="1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2" fontId="0" fillId="0" borderId="29" xfId="0" applyNumberFormat="1" applyBorder="1"/>
    <xf numFmtId="0" fontId="0" fillId="0" borderId="31" xfId="0" applyBorder="1"/>
    <xf numFmtId="2" fontId="0" fillId="0" borderId="7" xfId="0" applyNumberFormat="1" applyBorder="1"/>
    <xf numFmtId="0" fontId="0" fillId="0" borderId="32" xfId="0" applyBorder="1"/>
    <xf numFmtId="164" fontId="0" fillId="0" borderId="33" xfId="0" applyNumberFormat="1" applyBorder="1"/>
    <xf numFmtId="164" fontId="0" fillId="0" borderId="23" xfId="0" applyNumberFormat="1" applyBorder="1"/>
    <xf numFmtId="0" fontId="0" fillId="0" borderId="12" xfId="0" applyFill="1" applyBorder="1"/>
    <xf numFmtId="0" fontId="0" fillId="0" borderId="19" xfId="0" applyFill="1" applyBorder="1"/>
    <xf numFmtId="1" fontId="0" fillId="3" borderId="17" xfId="0" applyNumberFormat="1" applyFill="1" applyBorder="1"/>
    <xf numFmtId="1" fontId="4" fillId="4" borderId="17" xfId="0" applyNumberFormat="1" applyFont="1" applyFill="1" applyBorder="1"/>
    <xf numFmtId="1" fontId="0" fillId="4" borderId="6" xfId="0" applyNumberFormat="1" applyFill="1" applyBorder="1"/>
    <xf numFmtId="165" fontId="0" fillId="0" borderId="12" xfId="0" applyNumberFormat="1" applyBorder="1"/>
    <xf numFmtId="164" fontId="0" fillId="0" borderId="12" xfId="0" applyNumberFormat="1" applyBorder="1"/>
    <xf numFmtId="166" fontId="0" fillId="0" borderId="12" xfId="0" applyNumberFormat="1" applyBorder="1"/>
    <xf numFmtId="167" fontId="0" fillId="0" borderId="12" xfId="0" applyNumberFormat="1" applyBorder="1"/>
    <xf numFmtId="2" fontId="0" fillId="0" borderId="12" xfId="0" applyNumberFormat="1" applyBorder="1"/>
    <xf numFmtId="164" fontId="0" fillId="0" borderId="19" xfId="0" applyNumberFormat="1" applyBorder="1"/>
    <xf numFmtId="0" fontId="0" fillId="0" borderId="5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2" borderId="11" xfId="0" applyFill="1" applyBorder="1"/>
    <xf numFmtId="0" fontId="0" fillId="2" borderId="12" xfId="0" applyFill="1" applyBorder="1"/>
    <xf numFmtId="0" fontId="0" fillId="2" borderId="17" xfId="0" applyFill="1" applyBorder="1"/>
    <xf numFmtId="0" fontId="0" fillId="2" borderId="0" xfId="0" applyFill="1" applyBorder="1"/>
    <xf numFmtId="1" fontId="0" fillId="2" borderId="0" xfId="0" applyNumberFormat="1" applyFill="1" applyBorder="1"/>
    <xf numFmtId="1" fontId="0" fillId="2" borderId="5" xfId="0" applyNumberFormat="1" applyFill="1" applyBorder="1"/>
    <xf numFmtId="165" fontId="0" fillId="2" borderId="18" xfId="0" applyNumberFormat="1" applyFill="1" applyBorder="1"/>
    <xf numFmtId="0" fontId="0" fillId="2" borderId="19" xfId="0" applyFill="1" applyBorder="1"/>
    <xf numFmtId="1" fontId="0" fillId="0" borderId="12" xfId="0" applyNumberFormat="1" applyBorder="1"/>
    <xf numFmtId="0" fontId="0" fillId="0" borderId="34" xfId="0" applyBorder="1"/>
    <xf numFmtId="164" fontId="0" fillId="0" borderId="0" xfId="0" applyNumberFormat="1" applyBorder="1"/>
    <xf numFmtId="1" fontId="4" fillId="3" borderId="17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png"/><Relationship Id="rId7" Type="http://schemas.openxmlformats.org/officeDocument/2006/relationships/image" Target="../media/image7.tmp"/><Relationship Id="rId12" Type="http://schemas.openxmlformats.org/officeDocument/2006/relationships/image" Target="../media/image12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tmp"/><Relationship Id="rId5" Type="http://schemas.openxmlformats.org/officeDocument/2006/relationships/image" Target="../media/image5.png"/><Relationship Id="rId10" Type="http://schemas.openxmlformats.org/officeDocument/2006/relationships/image" Target="../media/image10.tmp"/><Relationship Id="rId4" Type="http://schemas.openxmlformats.org/officeDocument/2006/relationships/image" Target="../media/image4.png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464820</xdr:colOff>
      <xdr:row>3</xdr:row>
      <xdr:rowOff>22860</xdr:rowOff>
    </xdr:from>
    <xdr:to>
      <xdr:col>3</xdr:col>
      <xdr:colOff>1493520</xdr:colOff>
      <xdr:row>4</xdr:row>
      <xdr:rowOff>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A34BC7F-1407-495C-AE64-53F898858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0620" y="678180"/>
          <a:ext cx="1028700" cy="213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60</xdr:row>
      <xdr:rowOff>205740</xdr:rowOff>
    </xdr:from>
    <xdr:to>
      <xdr:col>3</xdr:col>
      <xdr:colOff>1234440</xdr:colOff>
      <xdr:row>63</xdr:row>
      <xdr:rowOff>99060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C698729-146A-4260-BEF4-3B8A190B6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50116740"/>
          <a:ext cx="1104900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1493520</xdr:colOff>
      <xdr:row>60</xdr:row>
      <xdr:rowOff>175260</xdr:rowOff>
    </xdr:from>
    <xdr:to>
      <xdr:col>5</xdr:col>
      <xdr:colOff>266700</xdr:colOff>
      <xdr:row>63</xdr:row>
      <xdr:rowOff>99060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C4C78B09-0DC5-469F-8E2D-29FECD620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9320" y="11711940"/>
          <a:ext cx="1066800" cy="472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9</xdr:col>
      <xdr:colOff>449580</xdr:colOff>
      <xdr:row>7</xdr:row>
      <xdr:rowOff>15240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B5BA6C27-FE9A-4227-BED3-4502ABE57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2020" y="1264920"/>
          <a:ext cx="203454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9</xdr:col>
      <xdr:colOff>449580</xdr:colOff>
      <xdr:row>32</xdr:row>
      <xdr:rowOff>7620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FEEE1EE6-8FD1-425F-96FA-E185E7CC6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2020" y="6080760"/>
          <a:ext cx="203454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9</xdr:col>
      <xdr:colOff>449580</xdr:colOff>
      <xdr:row>48</xdr:row>
      <xdr:rowOff>7620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C84CA4B9-6DD6-4BCA-9A8B-A8E2609A5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2020" y="9113520"/>
          <a:ext cx="203454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259080</xdr:colOff>
      <xdr:row>1</xdr:row>
      <xdr:rowOff>30480</xdr:rowOff>
    </xdr:from>
    <xdr:to>
      <xdr:col>17</xdr:col>
      <xdr:colOff>471720</xdr:colOff>
      <xdr:row>19</xdr:row>
      <xdr:rowOff>71940</xdr:rowOff>
    </xdr:to>
    <xdr:pic>
      <xdr:nvPicPr>
        <xdr:cNvPr id="8" name="Bilde 7" descr="Et bilde som inneholder tekst, kart&#10;&#10;Automatisk generert beskrivelse">
          <a:extLst>
            <a:ext uri="{FF2B5EF4-FFF2-40B4-BE49-F238E27FC236}">
              <a16:creationId xmlns:a16="http://schemas.microsoft.com/office/drawing/2014/main" id="{88A188E1-324C-4BA0-A1DD-B0433346D803}"/>
            </a:ext>
          </a:extLst>
        </xdr:cNvPr>
        <xdr:cNvPicPr/>
      </xdr:nvPicPr>
      <xdr:blipFill rotWithShape="1">
        <a:blip xmlns:r="http://schemas.openxmlformats.org/officeDocument/2006/relationships" r:embed="rId5"/>
        <a:srcRect l="-667" t="-1363" r="679" b="161"/>
        <a:stretch/>
      </xdr:blipFill>
      <xdr:spPr>
        <a:xfrm>
          <a:off x="11178540" y="220980"/>
          <a:ext cx="5760000" cy="3600000"/>
        </a:xfrm>
        <a:prstGeom prst="rect">
          <a:avLst/>
        </a:prstGeom>
        <a:noFill/>
        <a:ln>
          <a:noFill/>
          <a:prstDash/>
        </a:ln>
        <a:effectLst>
          <a:outerShdw blurRad="50800" dir="2700000" algn="tl" rotWithShape="0">
            <a:prstClr val="black">
              <a:alpha val="40000"/>
            </a:prstClr>
          </a:outerShdw>
          <a:softEdge rad="31750"/>
        </a:effectLst>
      </xdr:spPr>
    </xdr:pic>
    <xdr:clientData/>
  </xdr:twoCellAnchor>
  <xdr:twoCellAnchor editAs="oneCell">
    <xdr:from>
      <xdr:col>10</xdr:col>
      <xdr:colOff>297480</xdr:colOff>
      <xdr:row>19</xdr:row>
      <xdr:rowOff>129540</xdr:rowOff>
    </xdr:from>
    <xdr:to>
      <xdr:col>17</xdr:col>
      <xdr:colOff>495300</xdr:colOff>
      <xdr:row>38</xdr:row>
      <xdr:rowOff>56101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D4A472F9-25E1-42BC-BC64-A4ABA95F102E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16940" y="3878580"/>
          <a:ext cx="5745180" cy="3561301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2</xdr:col>
      <xdr:colOff>327660</xdr:colOff>
      <xdr:row>64</xdr:row>
      <xdr:rowOff>22860</xdr:rowOff>
    </xdr:from>
    <xdr:to>
      <xdr:col>8</xdr:col>
      <xdr:colOff>533947</xdr:colOff>
      <xdr:row>83</xdr:row>
      <xdr:rowOff>99370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120A1E5C-A800-4487-9E8F-BCB0E55BB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12298680"/>
          <a:ext cx="6317527" cy="35740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4</xdr:col>
      <xdr:colOff>724482</xdr:colOff>
      <xdr:row>102</xdr:row>
      <xdr:rowOff>68824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520F589B-FD08-4120-83F8-BDB1B11A3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39160"/>
          <a:ext cx="6721422" cy="281202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103</xdr:row>
      <xdr:rowOff>22860</xdr:rowOff>
    </xdr:from>
    <xdr:to>
      <xdr:col>4</xdr:col>
      <xdr:colOff>732100</xdr:colOff>
      <xdr:row>105</xdr:row>
      <xdr:rowOff>114340</xdr:rowOff>
    </xdr:to>
    <xdr:pic>
      <xdr:nvPicPr>
        <xdr:cNvPr id="12" name="Bilde 11">
          <a:extLst>
            <a:ext uri="{FF2B5EF4-FFF2-40B4-BE49-F238E27FC236}">
              <a16:creationId xmlns:a16="http://schemas.microsoft.com/office/drawing/2014/main" id="{B3893B13-4FE3-4ABC-86D7-AC5C22A3E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9088100"/>
          <a:ext cx="6690940" cy="45724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87</xdr:row>
      <xdr:rowOff>0</xdr:rowOff>
    </xdr:from>
    <xdr:to>
      <xdr:col>12</xdr:col>
      <xdr:colOff>442410</xdr:colOff>
      <xdr:row>126</xdr:row>
      <xdr:rowOff>46342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659E4E5B-C5CF-4A0B-AEB6-9D2E68C0A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9540" y="16139160"/>
          <a:ext cx="5197290" cy="7178662"/>
        </a:xfrm>
        <a:prstGeom prst="rect">
          <a:avLst/>
        </a:prstGeom>
      </xdr:spPr>
    </xdr:pic>
    <xdr:clientData/>
  </xdr:twoCellAnchor>
  <xdr:twoCellAnchor editAs="oneCell">
    <xdr:from>
      <xdr:col>12</xdr:col>
      <xdr:colOff>502920</xdr:colOff>
      <xdr:row>87</xdr:row>
      <xdr:rowOff>0</xdr:rowOff>
    </xdr:from>
    <xdr:to>
      <xdr:col>19</xdr:col>
      <xdr:colOff>152850</xdr:colOff>
      <xdr:row>125</xdr:row>
      <xdr:rowOff>145395</xdr:rowOff>
    </xdr:to>
    <xdr:pic>
      <xdr:nvPicPr>
        <xdr:cNvPr id="14" name="Bilde 13">
          <a:extLst>
            <a:ext uri="{FF2B5EF4-FFF2-40B4-BE49-F238E27FC236}">
              <a16:creationId xmlns:a16="http://schemas.microsoft.com/office/drawing/2014/main" id="{BFDCFC44-838A-4650-A023-A90DFDC17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7340" y="16139160"/>
          <a:ext cx="5197290" cy="70948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5</xdr:col>
      <xdr:colOff>838462</xdr:colOff>
      <xdr:row>135</xdr:row>
      <xdr:rowOff>49906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E4F7F253-6737-4A46-B97D-84589BC2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0528280"/>
          <a:ext cx="7627882" cy="48047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07"/>
  <sheetViews>
    <sheetView tabSelected="1" topLeftCell="A52" workbookViewId="0">
      <selection activeCell="G59" sqref="G59"/>
    </sheetView>
  </sheetViews>
  <sheetFormatPr baseColWidth="10" defaultRowHeight="14.4" x14ac:dyDescent="0.3"/>
  <cols>
    <col min="1" max="1" width="27.6640625" customWidth="1"/>
    <col min="2" max="2" width="19.33203125" customWidth="1"/>
    <col min="3" max="3" width="18.5546875" customWidth="1"/>
    <col min="4" max="4" width="21.88671875" customWidth="1"/>
    <col min="6" max="6" width="14" customWidth="1"/>
  </cols>
  <sheetData>
    <row r="1" spans="1:10" ht="15" thickBot="1" x14ac:dyDescent="0.35"/>
    <row r="2" spans="1:10" ht="21.6" thickBot="1" x14ac:dyDescent="0.45">
      <c r="B2" s="1" t="s">
        <v>0</v>
      </c>
      <c r="C2" s="2"/>
      <c r="D2" s="2"/>
      <c r="E2" s="2"/>
      <c r="F2" s="2"/>
      <c r="G2" s="3"/>
    </row>
    <row r="3" spans="1:10" ht="15" thickBot="1" x14ac:dyDescent="0.35"/>
    <row r="4" spans="1:10" ht="18.600000000000001" thickBot="1" x14ac:dyDescent="0.4">
      <c r="A4" s="4" t="s">
        <v>80</v>
      </c>
      <c r="B4" s="5"/>
      <c r="C4" s="5"/>
      <c r="D4" s="6"/>
      <c r="E4" s="53"/>
      <c r="F4" s="53"/>
      <c r="G4" s="54"/>
      <c r="H4" s="54"/>
    </row>
    <row r="5" spans="1:10" ht="15" thickBot="1" x14ac:dyDescent="0.35"/>
    <row r="6" spans="1:10" x14ac:dyDescent="0.3">
      <c r="A6" s="7" t="s">
        <v>1</v>
      </c>
      <c r="B6" s="8"/>
      <c r="C6" s="9"/>
      <c r="E6" s="10"/>
      <c r="F6" s="11"/>
      <c r="G6" s="11" t="s">
        <v>2</v>
      </c>
      <c r="H6" s="11"/>
      <c r="I6" s="11"/>
      <c r="J6" s="12"/>
    </row>
    <row r="7" spans="1:10" x14ac:dyDescent="0.3">
      <c r="A7" s="13" t="s">
        <v>3</v>
      </c>
      <c r="B7" s="13" t="s">
        <v>4</v>
      </c>
      <c r="C7" s="13" t="s">
        <v>5</v>
      </c>
      <c r="E7" s="14" t="s">
        <v>6</v>
      </c>
      <c r="F7" s="15"/>
      <c r="G7" s="15"/>
      <c r="H7" s="15"/>
      <c r="I7" s="15"/>
      <c r="J7" s="16"/>
    </row>
    <row r="8" spans="1:10" x14ac:dyDescent="0.3">
      <c r="A8" s="17">
        <f>(95*1.8)/10000</f>
        <v>1.7100000000000001E-2</v>
      </c>
      <c r="B8" s="13" t="s">
        <v>7</v>
      </c>
      <c r="C8" s="13">
        <v>0.7</v>
      </c>
      <c r="E8" s="18" t="s">
        <v>8</v>
      </c>
      <c r="F8">
        <v>88</v>
      </c>
      <c r="G8" t="s">
        <v>9</v>
      </c>
      <c r="J8" s="19"/>
    </row>
    <row r="9" spans="1:10" ht="15" thickBot="1" x14ac:dyDescent="0.35">
      <c r="A9" s="20">
        <f>(6807/10000)-A8</f>
        <v>0.66359999999999997</v>
      </c>
      <c r="B9" s="21" t="s">
        <v>10</v>
      </c>
      <c r="C9" s="21">
        <v>0.3</v>
      </c>
      <c r="E9" s="18" t="s">
        <v>11</v>
      </c>
      <c r="F9">
        <f>55-49</f>
        <v>6</v>
      </c>
      <c r="G9" t="s">
        <v>37</v>
      </c>
      <c r="J9" s="19" t="s">
        <v>9</v>
      </c>
    </row>
    <row r="10" spans="1:10" x14ac:dyDescent="0.3">
      <c r="A10" s="22" t="s">
        <v>12</v>
      </c>
      <c r="B10" s="8" t="s">
        <v>13</v>
      </c>
      <c r="C10" s="9" t="s">
        <v>14</v>
      </c>
      <c r="E10" s="23" t="s">
        <v>15</v>
      </c>
      <c r="F10" s="24">
        <f>0.6*F8*F9^-0.5</f>
        <v>21.55550973649197</v>
      </c>
      <c r="G10" s="25" t="s">
        <v>16</v>
      </c>
      <c r="H10" s="25"/>
      <c r="I10" s="25"/>
      <c r="J10" s="26"/>
    </row>
    <row r="11" spans="1:10" ht="15" thickBot="1" x14ac:dyDescent="0.35">
      <c r="A11" s="27">
        <f>A8+A9</f>
        <v>0.68069999999999997</v>
      </c>
      <c r="B11" s="28">
        <f>((A8*C8)+(A9*C9))/A11</f>
        <v>0.31004847950639047</v>
      </c>
      <c r="C11" s="29">
        <f>B11+(B11*0.25)</f>
        <v>0.38756059938298809</v>
      </c>
      <c r="E11" s="30" t="s">
        <v>38</v>
      </c>
      <c r="F11" s="31"/>
      <c r="G11" s="31"/>
      <c r="H11" s="31"/>
      <c r="I11" s="31"/>
      <c r="J11" s="32"/>
    </row>
    <row r="12" spans="1:10" ht="15" thickBot="1" x14ac:dyDescent="0.35"/>
    <row r="13" spans="1:10" x14ac:dyDescent="0.3">
      <c r="A13" s="78" t="s">
        <v>17</v>
      </c>
      <c r="B13" s="76" t="s">
        <v>18</v>
      </c>
      <c r="C13" s="76" t="s">
        <v>56</v>
      </c>
      <c r="D13" s="76" t="s">
        <v>20</v>
      </c>
      <c r="E13" s="77" t="s">
        <v>21</v>
      </c>
    </row>
    <row r="14" spans="1:10" ht="15" thickBot="1" x14ac:dyDescent="0.35">
      <c r="A14" s="68">
        <f>B14*C14*D14*E14</f>
        <v>48.013874999999992</v>
      </c>
      <c r="B14" s="33">
        <f>C11</f>
        <v>0.38756059938298809</v>
      </c>
      <c r="C14" s="31">
        <v>130</v>
      </c>
      <c r="D14" s="34">
        <f>A11</f>
        <v>0.68069999999999997</v>
      </c>
      <c r="E14" s="32">
        <v>1.4</v>
      </c>
    </row>
    <row r="15" spans="1:10" x14ac:dyDescent="0.3">
      <c r="A15" s="18" t="s">
        <v>17</v>
      </c>
      <c r="B15" s="54" t="s">
        <v>13</v>
      </c>
      <c r="C15" s="54" t="s">
        <v>75</v>
      </c>
      <c r="D15" s="54" t="s">
        <v>20</v>
      </c>
      <c r="E15" s="65" t="s">
        <v>21</v>
      </c>
    </row>
    <row r="16" spans="1:10" ht="15" thickBot="1" x14ac:dyDescent="0.35">
      <c r="A16" s="67">
        <f>B16*C16*D16*E16</f>
        <v>46.093319999999999</v>
      </c>
      <c r="B16" s="33">
        <f>B11+(B11*0.2)</f>
        <v>0.37205817540766856</v>
      </c>
      <c r="C16" s="31">
        <v>130</v>
      </c>
      <c r="D16" s="34">
        <f>A11</f>
        <v>0.68069999999999997</v>
      </c>
      <c r="E16" s="66">
        <f>E14</f>
        <v>1.4</v>
      </c>
    </row>
    <row r="17" spans="1:10" ht="15" thickBot="1" x14ac:dyDescent="0.35"/>
    <row r="18" spans="1:10" ht="18.600000000000001" thickBot="1" x14ac:dyDescent="0.4">
      <c r="A18" s="4" t="s">
        <v>22</v>
      </c>
      <c r="B18" s="3"/>
    </row>
    <row r="19" spans="1:10" ht="15" thickBot="1" x14ac:dyDescent="0.35">
      <c r="A19" s="35" t="s">
        <v>8</v>
      </c>
      <c r="B19" s="36">
        <v>95</v>
      </c>
      <c r="D19" s="10" t="s">
        <v>41</v>
      </c>
      <c r="E19" s="11"/>
      <c r="F19" s="55" t="s">
        <v>42</v>
      </c>
    </row>
    <row r="20" spans="1:10" x14ac:dyDescent="0.3">
      <c r="A20" s="37" t="s">
        <v>23</v>
      </c>
      <c r="B20" s="38">
        <v>49</v>
      </c>
      <c r="D20" s="18" t="s">
        <v>43</v>
      </c>
      <c r="F20" s="56" t="s">
        <v>44</v>
      </c>
    </row>
    <row r="21" spans="1:10" x14ac:dyDescent="0.3">
      <c r="A21" s="37" t="s">
        <v>24</v>
      </c>
      <c r="B21" s="38">
        <v>52</v>
      </c>
      <c r="D21" s="37" t="s">
        <v>45</v>
      </c>
      <c r="E21" s="57">
        <v>0.50497999999999998</v>
      </c>
      <c r="F21" s="58" t="s">
        <v>46</v>
      </c>
    </row>
    <row r="22" spans="1:10" x14ac:dyDescent="0.3">
      <c r="A22" s="37" t="s">
        <v>25</v>
      </c>
      <c r="B22" s="38">
        <v>25</v>
      </c>
      <c r="D22" s="37" t="s">
        <v>47</v>
      </c>
      <c r="E22" s="57">
        <v>0.13</v>
      </c>
      <c r="F22" s="58" t="s">
        <v>48</v>
      </c>
    </row>
    <row r="23" spans="1:10" x14ac:dyDescent="0.3">
      <c r="A23" s="37" t="s">
        <v>19</v>
      </c>
      <c r="B23" s="39">
        <f>(B21-B20)/B19</f>
        <v>3.1578947368421054E-2</v>
      </c>
      <c r="D23" s="37" t="s">
        <v>49</v>
      </c>
      <c r="E23" s="57">
        <v>0.18</v>
      </c>
      <c r="F23" s="58" t="s">
        <v>50</v>
      </c>
    </row>
    <row r="24" spans="1:10" x14ac:dyDescent="0.3">
      <c r="A24" s="37" t="s">
        <v>76</v>
      </c>
      <c r="B24" s="64">
        <f>E27</f>
        <v>6.0891707499594473E-2</v>
      </c>
      <c r="D24" s="37" t="s">
        <v>51</v>
      </c>
      <c r="E24" s="59">
        <f>(E22)/E21</f>
        <v>0.25743593805695275</v>
      </c>
      <c r="F24" s="58" t="s">
        <v>52</v>
      </c>
    </row>
    <row r="25" spans="1:10" ht="15" thickBot="1" x14ac:dyDescent="0.35">
      <c r="A25" s="37" t="s">
        <v>77</v>
      </c>
      <c r="B25" s="38">
        <f>B24/(2*E24+E23)</f>
        <v>8.7630122318568163E-2</v>
      </c>
      <c r="D25" s="37" t="s">
        <v>53</v>
      </c>
      <c r="E25" s="59">
        <f>SQRT(E24^2+E22^2)</f>
        <v>0.28839774999688056</v>
      </c>
      <c r="F25" s="60" t="s">
        <v>54</v>
      </c>
    </row>
    <row r="26" spans="1:10" x14ac:dyDescent="0.3">
      <c r="A26" s="10" t="s">
        <v>78</v>
      </c>
      <c r="B26" s="69">
        <f>B22*B24*(B25^(2/3))*(B23^0.5)*1000</f>
        <v>53.370253362568526</v>
      </c>
      <c r="D26" s="37" t="s">
        <v>55</v>
      </c>
      <c r="E26" s="61">
        <f>2*E25+E23</f>
        <v>0.75679549999376117</v>
      </c>
      <c r="F26" s="19"/>
    </row>
    <row r="27" spans="1:10" ht="15" thickBot="1" x14ac:dyDescent="0.35">
      <c r="A27" s="30" t="s">
        <v>79</v>
      </c>
      <c r="B27" s="40">
        <f>B22*(B25^0.66667)*(B23^0.5)</f>
        <v>0.87647107353432696</v>
      </c>
      <c r="D27" s="62" t="s">
        <v>20</v>
      </c>
      <c r="E27" s="63">
        <f>1/2*(E23+E26)*E22</f>
        <v>6.0891707499594473E-2</v>
      </c>
      <c r="F27" s="32"/>
    </row>
    <row r="28" spans="1:10" ht="15" thickBot="1" x14ac:dyDescent="0.35"/>
    <row r="29" spans="1:10" ht="18.600000000000001" thickBot="1" x14ac:dyDescent="0.4">
      <c r="A29" s="4" t="s">
        <v>34</v>
      </c>
      <c r="B29" s="5"/>
      <c r="C29" s="5"/>
      <c r="D29" s="6"/>
      <c r="E29" s="54"/>
    </row>
    <row r="30" spans="1:10" ht="15" thickBot="1" x14ac:dyDescent="0.35">
      <c r="B30" s="41"/>
    </row>
    <row r="31" spans="1:10" ht="18.600000000000001" thickBot="1" x14ac:dyDescent="0.4">
      <c r="A31" s="42" t="s">
        <v>36</v>
      </c>
      <c r="B31" s="43"/>
      <c r="C31" s="12"/>
      <c r="E31" s="10"/>
      <c r="F31" s="11"/>
      <c r="G31" s="11" t="s">
        <v>2</v>
      </c>
      <c r="H31" s="11"/>
      <c r="I31" s="11"/>
      <c r="J31" s="12"/>
    </row>
    <row r="32" spans="1:10" ht="15" thickBot="1" x14ac:dyDescent="0.35">
      <c r="A32" s="44" t="s">
        <v>3</v>
      </c>
      <c r="B32" s="45" t="s">
        <v>4</v>
      </c>
      <c r="C32" s="46" t="s">
        <v>5</v>
      </c>
      <c r="E32" s="14" t="s">
        <v>6</v>
      </c>
      <c r="F32" s="15"/>
      <c r="G32" s="15"/>
      <c r="H32" s="15"/>
      <c r="I32" s="15"/>
      <c r="J32" s="16"/>
    </row>
    <row r="33" spans="1:10" x14ac:dyDescent="0.3">
      <c r="A33" s="35">
        <f>1.05-A35-A36-A37</f>
        <v>0.72230000000000005</v>
      </c>
      <c r="B33" s="47" t="s">
        <v>26</v>
      </c>
      <c r="C33" s="36">
        <v>0.3</v>
      </c>
      <c r="E33" s="18" t="s">
        <v>8</v>
      </c>
      <c r="F33">
        <v>170</v>
      </c>
      <c r="G33" t="s">
        <v>9</v>
      </c>
      <c r="J33" s="19"/>
    </row>
    <row r="34" spans="1:10" x14ac:dyDescent="0.3">
      <c r="A34" s="37"/>
      <c r="B34" s="48"/>
      <c r="C34" s="38"/>
      <c r="E34" s="18" t="s">
        <v>11</v>
      </c>
      <c r="F34">
        <f>55-43</f>
        <v>12</v>
      </c>
      <c r="G34" t="s">
        <v>40</v>
      </c>
      <c r="J34" s="19" t="s">
        <v>9</v>
      </c>
    </row>
    <row r="35" spans="1:10" x14ac:dyDescent="0.3">
      <c r="A35" s="37">
        <f>2189/10000-A37</f>
        <v>0.19550000000000001</v>
      </c>
      <c r="B35" s="48" t="s">
        <v>27</v>
      </c>
      <c r="C35" s="38">
        <v>0.7</v>
      </c>
      <c r="E35" s="23" t="s">
        <v>15</v>
      </c>
      <c r="F35" s="24">
        <f>0.6*F33*F34^-0.5</f>
        <v>29.444863728670917</v>
      </c>
      <c r="G35" s="25" t="s">
        <v>16</v>
      </c>
      <c r="H35" s="25"/>
      <c r="I35" s="25"/>
      <c r="J35" s="26"/>
    </row>
    <row r="36" spans="1:10" ht="15" thickBot="1" x14ac:dyDescent="0.35">
      <c r="A36" s="37">
        <f>1088/10000</f>
        <v>0.10879999999999999</v>
      </c>
      <c r="B36" s="48" t="s">
        <v>39</v>
      </c>
      <c r="C36" s="38">
        <v>0.9</v>
      </c>
      <c r="E36" s="30" t="s">
        <v>86</v>
      </c>
      <c r="F36" s="31"/>
      <c r="G36" s="31"/>
      <c r="H36" s="31"/>
      <c r="I36" s="31"/>
      <c r="J36" s="32"/>
    </row>
    <row r="37" spans="1:10" x14ac:dyDescent="0.3">
      <c r="A37" s="37">
        <f>234/10000</f>
        <v>2.3400000000000001E-2</v>
      </c>
      <c r="B37" s="48" t="s">
        <v>29</v>
      </c>
      <c r="C37" s="38">
        <v>0.7</v>
      </c>
    </row>
    <row r="38" spans="1:10" ht="15" thickBot="1" x14ac:dyDescent="0.35">
      <c r="A38" s="37"/>
      <c r="B38" s="48"/>
      <c r="C38" s="38"/>
    </row>
    <row r="39" spans="1:10" x14ac:dyDescent="0.3">
      <c r="A39" s="10" t="s">
        <v>30</v>
      </c>
      <c r="B39" s="11" t="s">
        <v>31</v>
      </c>
      <c r="C39" s="12"/>
    </row>
    <row r="40" spans="1:10" ht="15" thickBot="1" x14ac:dyDescent="0.35">
      <c r="A40" s="30">
        <f>SUM(A33:A38)</f>
        <v>1.05</v>
      </c>
      <c r="B40" s="33">
        <f>(A33*C33+A34*C34+A35*C35+A36*C36+A38*C38)/A40</f>
        <v>0.42996190476190477</v>
      </c>
      <c r="C40" s="49"/>
    </row>
    <row r="41" spans="1:10" ht="15" thickBot="1" x14ac:dyDescent="0.35">
      <c r="B41" s="41"/>
      <c r="C41" s="41"/>
    </row>
    <row r="42" spans="1:10" x14ac:dyDescent="0.3">
      <c r="A42" s="10" t="s">
        <v>17</v>
      </c>
      <c r="B42" s="11" t="s">
        <v>18</v>
      </c>
      <c r="C42" s="11" t="s">
        <v>19</v>
      </c>
      <c r="D42" s="11" t="s">
        <v>20</v>
      </c>
      <c r="E42" s="12" t="s">
        <v>21</v>
      </c>
    </row>
    <row r="43" spans="1:10" ht="15" thickBot="1" x14ac:dyDescent="0.35">
      <c r="A43" s="90">
        <f>B43*C43*D43*E43</f>
        <v>60.044180000000004</v>
      </c>
      <c r="B43" s="33">
        <f>B40</f>
        <v>0.42996190476190477</v>
      </c>
      <c r="C43" s="31">
        <v>95</v>
      </c>
      <c r="D43" s="34">
        <f>A40</f>
        <v>1.05</v>
      </c>
      <c r="E43" s="32">
        <v>1.4</v>
      </c>
    </row>
    <row r="46" spans="1:10" ht="15" thickBot="1" x14ac:dyDescent="0.35"/>
    <row r="47" spans="1:10" ht="18.600000000000001" thickBot="1" x14ac:dyDescent="0.4">
      <c r="A47" s="42" t="s">
        <v>35</v>
      </c>
      <c r="B47" s="11"/>
      <c r="C47" s="12"/>
      <c r="E47" s="10"/>
      <c r="F47" s="11"/>
      <c r="G47" s="11" t="s">
        <v>2</v>
      </c>
      <c r="H47" s="11"/>
      <c r="I47" s="11"/>
      <c r="J47" s="12"/>
    </row>
    <row r="48" spans="1:10" ht="15" thickBot="1" x14ac:dyDescent="0.35">
      <c r="A48" s="44" t="s">
        <v>3</v>
      </c>
      <c r="B48" s="45" t="s">
        <v>4</v>
      </c>
      <c r="C48" s="46" t="s">
        <v>5</v>
      </c>
      <c r="E48" s="14" t="s">
        <v>6</v>
      </c>
      <c r="F48" s="15"/>
      <c r="G48" s="15"/>
      <c r="H48" s="15"/>
      <c r="I48" s="15"/>
      <c r="J48" s="16"/>
    </row>
    <row r="49" spans="1:10" x14ac:dyDescent="0.3">
      <c r="A49" s="50">
        <f>A33-A8</f>
        <v>0.70520000000000005</v>
      </c>
      <c r="B49" s="47" t="s">
        <v>26</v>
      </c>
      <c r="C49" s="36">
        <v>0.3</v>
      </c>
      <c r="E49" s="18" t="s">
        <v>8</v>
      </c>
      <c r="F49">
        <v>170</v>
      </c>
      <c r="G49" t="s">
        <v>9</v>
      </c>
      <c r="J49" s="19"/>
    </row>
    <row r="50" spans="1:10" x14ac:dyDescent="0.3">
      <c r="A50" s="51">
        <f>A35</f>
        <v>0.19550000000000001</v>
      </c>
      <c r="B50" s="48" t="s">
        <v>27</v>
      </c>
      <c r="C50" s="38">
        <v>0.7</v>
      </c>
      <c r="E50" s="18" t="s">
        <v>11</v>
      </c>
      <c r="F50">
        <f>55-43</f>
        <v>12</v>
      </c>
      <c r="G50" t="s">
        <v>40</v>
      </c>
      <c r="J50" s="19" t="s">
        <v>9</v>
      </c>
    </row>
    <row r="51" spans="1:10" x14ac:dyDescent="0.3">
      <c r="A51" s="37">
        <f>A36</f>
        <v>0.10879999999999999</v>
      </c>
      <c r="B51" s="48" t="s">
        <v>28</v>
      </c>
      <c r="C51" s="38">
        <v>0.9</v>
      </c>
      <c r="E51" s="23" t="s">
        <v>15</v>
      </c>
      <c r="F51" s="24">
        <f>0.6*F49*F50^-0.5</f>
        <v>29.444863728670917</v>
      </c>
      <c r="G51" s="25" t="s">
        <v>16</v>
      </c>
      <c r="H51" s="25"/>
      <c r="I51" s="25"/>
      <c r="J51" s="26"/>
    </row>
    <row r="52" spans="1:10" ht="15" thickBot="1" x14ac:dyDescent="0.35">
      <c r="A52" s="51">
        <f>A8+A37</f>
        <v>4.0500000000000001E-2</v>
      </c>
      <c r="B52" s="48" t="s">
        <v>29</v>
      </c>
      <c r="C52" s="38">
        <v>0.7</v>
      </c>
      <c r="E52" s="30" t="s">
        <v>86</v>
      </c>
      <c r="F52" s="31"/>
      <c r="G52" s="31"/>
      <c r="H52" s="31"/>
      <c r="I52" s="31"/>
      <c r="J52" s="32"/>
    </row>
    <row r="53" spans="1:10" x14ac:dyDescent="0.3">
      <c r="A53" s="10" t="s">
        <v>32</v>
      </c>
      <c r="B53" s="11" t="s">
        <v>31</v>
      </c>
      <c r="C53" s="12" t="s">
        <v>33</v>
      </c>
    </row>
    <row r="54" spans="1:10" ht="15" thickBot="1" x14ac:dyDescent="0.35">
      <c r="A54" s="52">
        <f>SUM(A49:A52)</f>
        <v>1.05</v>
      </c>
      <c r="B54" s="33">
        <f>((A49*C49)+(A50*C50)+(A51*C51)+(A52*C52))/A54</f>
        <v>0.45207619047619046</v>
      </c>
      <c r="C54" s="49">
        <f>B54+(B54*0.25)</f>
        <v>0.56509523809523809</v>
      </c>
    </row>
    <row r="55" spans="1:10" ht="15" thickBot="1" x14ac:dyDescent="0.35"/>
    <row r="56" spans="1:10" x14ac:dyDescent="0.3">
      <c r="A56" s="10" t="s">
        <v>17</v>
      </c>
      <c r="B56" s="11" t="s">
        <v>18</v>
      </c>
      <c r="C56" s="11" t="s">
        <v>19</v>
      </c>
      <c r="D56" s="11" t="s">
        <v>20</v>
      </c>
      <c r="E56" s="12" t="s">
        <v>21</v>
      </c>
    </row>
    <row r="57" spans="1:10" ht="15" thickBot="1" x14ac:dyDescent="0.35">
      <c r="A57" s="90">
        <f>B57*C57*D57*E57</f>
        <v>63.132439999999995</v>
      </c>
      <c r="B57" s="33">
        <f>B54</f>
        <v>0.45207619047619046</v>
      </c>
      <c r="C57" s="31">
        <v>95</v>
      </c>
      <c r="D57" s="34">
        <f>A54</f>
        <v>1.05</v>
      </c>
      <c r="E57" s="32">
        <v>1.4</v>
      </c>
    </row>
    <row r="60" spans="1:10" ht="15" thickBot="1" x14ac:dyDescent="0.35"/>
    <row r="61" spans="1:10" x14ac:dyDescent="0.3">
      <c r="A61" s="10" t="s">
        <v>57</v>
      </c>
      <c r="B61" s="12"/>
      <c r="D61" s="7" t="s">
        <v>81</v>
      </c>
      <c r="E61" s="84"/>
      <c r="F61" s="9"/>
    </row>
    <row r="62" spans="1:10" x14ac:dyDescent="0.3">
      <c r="A62" s="18" t="s">
        <v>58</v>
      </c>
      <c r="B62" s="87">
        <f>A14/2</f>
        <v>24.006937499999996</v>
      </c>
      <c r="D62" s="79"/>
      <c r="E62" s="82"/>
      <c r="F62" s="80"/>
    </row>
    <row r="63" spans="1:10" x14ac:dyDescent="0.3">
      <c r="A63" s="18" t="s">
        <v>59</v>
      </c>
      <c r="B63" s="19">
        <f>B62/1000</f>
        <v>2.4006937499999995E-2</v>
      </c>
      <c r="D63" s="79"/>
      <c r="E63" s="83"/>
      <c r="F63" s="80"/>
    </row>
    <row r="64" spans="1:10" ht="15" thickBot="1" x14ac:dyDescent="0.35">
      <c r="A64" s="18" t="s">
        <v>8</v>
      </c>
      <c r="B64" s="19">
        <v>3</v>
      </c>
      <c r="D64" s="81"/>
      <c r="E64" s="85"/>
      <c r="F64" s="86"/>
    </row>
    <row r="65" spans="1:2" x14ac:dyDescent="0.3">
      <c r="A65" s="18" t="s">
        <v>60</v>
      </c>
      <c r="B65" s="70">
        <f>B66*B64</f>
        <v>0.15000000000000002</v>
      </c>
    </row>
    <row r="66" spans="1:2" x14ac:dyDescent="0.3">
      <c r="A66" s="18" t="s">
        <v>61</v>
      </c>
      <c r="B66" s="71">
        <f>5/100</f>
        <v>0.05</v>
      </c>
    </row>
    <row r="67" spans="1:2" x14ac:dyDescent="0.3">
      <c r="A67" s="18" t="s">
        <v>62</v>
      </c>
      <c r="B67" s="19"/>
    </row>
    <row r="68" spans="1:2" x14ac:dyDescent="0.3">
      <c r="A68" s="18"/>
      <c r="B68" s="19"/>
    </row>
    <row r="69" spans="1:2" x14ac:dyDescent="0.3">
      <c r="A69" s="18" t="s">
        <v>63</v>
      </c>
      <c r="B69" s="19">
        <v>0.25</v>
      </c>
    </row>
    <row r="70" spans="1:2" x14ac:dyDescent="0.3">
      <c r="A70" s="18" t="s">
        <v>64</v>
      </c>
      <c r="B70" s="19">
        <v>150</v>
      </c>
    </row>
    <row r="71" spans="1:2" x14ac:dyDescent="0.3">
      <c r="A71" s="18" t="s">
        <v>65</v>
      </c>
      <c r="B71" s="72">
        <f>B69/B70</f>
        <v>1.6666666666666668E-3</v>
      </c>
    </row>
    <row r="72" spans="1:2" x14ac:dyDescent="0.3">
      <c r="A72" s="18" t="s">
        <v>84</v>
      </c>
      <c r="B72" s="19">
        <v>2.3E-2</v>
      </c>
    </row>
    <row r="73" spans="1:2" x14ac:dyDescent="0.3">
      <c r="A73" s="18"/>
      <c r="B73" s="19"/>
    </row>
    <row r="74" spans="1:2" x14ac:dyDescent="0.3">
      <c r="A74" s="18" t="s">
        <v>66</v>
      </c>
      <c r="B74" s="73">
        <f>(B72*B64*(B63^2)*8)/(9.81*(PI()^2)*B65)</f>
        <v>2.190547069517953E-5</v>
      </c>
    </row>
    <row r="75" spans="1:2" x14ac:dyDescent="0.3">
      <c r="A75" s="18" t="s">
        <v>67</v>
      </c>
      <c r="B75" s="19">
        <v>0.115</v>
      </c>
    </row>
    <row r="76" spans="1:2" ht="15" thickBot="1" x14ac:dyDescent="0.35">
      <c r="A76" s="18" t="s">
        <v>85</v>
      </c>
      <c r="B76" s="19">
        <v>0.13600000000000001</v>
      </c>
    </row>
    <row r="77" spans="1:2" ht="15" thickBot="1" x14ac:dyDescent="0.35">
      <c r="A77" s="88" t="s">
        <v>68</v>
      </c>
      <c r="B77" s="12"/>
    </row>
    <row r="78" spans="1:2" x14ac:dyDescent="0.3">
      <c r="A78" s="18" t="s">
        <v>69</v>
      </c>
      <c r="B78" s="19">
        <f>32</f>
        <v>32</v>
      </c>
    </row>
    <row r="79" spans="1:2" x14ac:dyDescent="0.3">
      <c r="A79" s="18" t="s">
        <v>70</v>
      </c>
      <c r="B79" s="71">
        <f>B62/B78</f>
        <v>0.75021679687499987</v>
      </c>
    </row>
    <row r="80" spans="1:2" x14ac:dyDescent="0.3">
      <c r="A80" s="18" t="s">
        <v>71</v>
      </c>
      <c r="B80" s="19">
        <v>0.7</v>
      </c>
    </row>
    <row r="81" spans="1:3" x14ac:dyDescent="0.3">
      <c r="A81" s="18" t="s">
        <v>72</v>
      </c>
      <c r="B81" s="19">
        <v>0.98</v>
      </c>
    </row>
    <row r="82" spans="1:3" x14ac:dyDescent="0.3">
      <c r="A82" s="18" t="s">
        <v>73</v>
      </c>
      <c r="B82" s="74">
        <f>(B78/1000)/((PI()*0.136)/4)</f>
        <v>0.29958577523180296</v>
      </c>
    </row>
    <row r="83" spans="1:3" ht="15" thickBot="1" x14ac:dyDescent="0.35">
      <c r="A83" s="30" t="s">
        <v>74</v>
      </c>
      <c r="B83" s="75">
        <f>B81*B82</f>
        <v>0.2935940597271669</v>
      </c>
    </row>
    <row r="84" spans="1:3" x14ac:dyDescent="0.3">
      <c r="A84" s="54"/>
      <c r="B84" s="89"/>
    </row>
    <row r="85" spans="1:3" x14ac:dyDescent="0.3">
      <c r="C85" t="s">
        <v>82</v>
      </c>
    </row>
    <row r="107" spans="1:1" x14ac:dyDescent="0.3">
      <c r="A107" t="s">
        <v>83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F52085E1CA71747B8FC3D98882FBA31" ma:contentTypeVersion="9" ma:contentTypeDescription="Opprett et nytt dokument." ma:contentTypeScope="" ma:versionID="2ed11a2627f7489a59e7d7792c04a920">
  <xsd:schema xmlns:xsd="http://www.w3.org/2001/XMLSchema" xmlns:xs="http://www.w3.org/2001/XMLSchema" xmlns:p="http://schemas.microsoft.com/office/2006/metadata/properties" xmlns:ns3="aa917ce6-432e-4a06-b444-d4b4f925073d" xmlns:ns4="f5e7111b-50ed-4be4-b6e1-62d212277eca" targetNamespace="http://schemas.microsoft.com/office/2006/metadata/properties" ma:root="true" ma:fieldsID="253d0f223cad528648160f6dfdef4e1c" ns3:_="" ns4:_="">
    <xsd:import namespace="aa917ce6-432e-4a06-b444-d4b4f925073d"/>
    <xsd:import namespace="f5e7111b-50ed-4be4-b6e1-62d212277e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917ce6-432e-4a06-b444-d4b4f92507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e7111b-50ed-4be4-b6e1-62d212277eca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for deling av tips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E5EB44-DC34-4EA4-97DF-B2938F1B8CA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EC6994F-137A-4E0F-AE5D-AF557CF429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917ce6-432e-4a06-b444-d4b4f925073d"/>
    <ds:schemaRef ds:uri="f5e7111b-50ed-4be4-b6e1-62d212277e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8B5A402-26FF-4B57-911E-50BDBBD8495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Elin riise</dc:creator>
  <cp:lastModifiedBy>Elin riise</cp:lastModifiedBy>
  <dcterms:created xsi:type="dcterms:W3CDTF">2020-05-01T07:33:11Z</dcterms:created>
  <dcterms:modified xsi:type="dcterms:W3CDTF">2020-05-23T20:55:23Z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0x0101006F52085E1CA71747B8FC3D98882FBA31</vt:lpwstr>
  </property>
</Properties>
</file>