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fc32364f26bd67e5/Documents/Bacheloroppgave/Resultater/"/>
    </mc:Choice>
  </mc:AlternateContent>
  <xr:revisionPtr revIDLastSave="0" documentId="8_{455955E5-4229-4206-8AEE-EFCDCD0B2296}" xr6:coauthVersionLast="45" xr6:coauthVersionMax="45" xr10:uidLastSave="{00000000-0000-0000-0000-000000000000}"/>
  <bookViews>
    <workbookView minimized="1" xWindow="5140" yWindow="3330" windowWidth="14400" windowHeight="7810" xr2:uid="{00000000-000D-0000-FFFF-FFFF00000000}"/>
  </bookViews>
  <sheets>
    <sheet name="Sammendrag" sheetId="1" r:id="rId1"/>
    <sheet name="Planering" sheetId="2" r:id="rId2"/>
    <sheet name="Diverse_mengder" sheetId="4" r:id="rId3"/>
    <sheet name="Inngår_i_planering" sheetId="5" r:id="rId4"/>
    <sheet name="Overbygning" sheetId="6" r:id="rId5"/>
    <sheet name="Areal" sheetId="7" r:id="rId6"/>
    <sheet name="Lengde" sheetId="8" r:id="rId7"/>
    <sheet name="Flåsprengning" sheetId="9" r:id="rId8"/>
  </sheets>
  <definedNames>
    <definedName name="Areas_RB_Fill">OFFSET(Areal!$K$14,0,0,MATCH(9.99999999999999E+307,Areal!$K$14:$K$20002),1)</definedName>
    <definedName name="Areas_RB_RockCut">OFFSET(Areal!$J$14,0,0,MATCH(9.99999999999999E+307,Areal!$J$14:$J$20002),1)</definedName>
    <definedName name="Areas_RB_SoilCut">OFFSET(Areal!$I$14,0,0,MATCH(9.99999999999999E+307,Areal!$I$14:$I$20002),1)</definedName>
    <definedName name="Areas_Rock_trimming">OFFSET(Areal!$L$14,0,0,MATCH(9.99999999999999E+307,Areal!$L$14:$L$20002),1)</definedName>
    <definedName name="Areas_SG0">OFFSET(Areal!$B$14,0,0,MATCH(9.99999999999999E+307,Areal!$B$14:$B$20002),1)</definedName>
    <definedName name="Areas_SG1">OFFSET(Areal!$C$14,0,0,MATCH(9.99999999999999E+307,Areal!$C$14:$C$20002),1)</definedName>
    <definedName name="Areas_SG2">OFFSET(Areal!$D$14,0,0,MATCH(9.99999999999999E+307,Areal!$D$14:$D$20002),1)</definedName>
    <definedName name="Areas_SG3">OFFSET(Areal!$E$14,0,0,MATCH(9.99999999999999E+307,Areal!$E$14:$E$20002),1)</definedName>
    <definedName name="Areas_SG4">OFFSET(Areal!$F$14,0,0,MATCH(9.99999999999999E+307,Areal!$F$14:$F$20002),1)</definedName>
    <definedName name="Areas_SG5">OFFSET(Areal!$G$14,0,0,MATCH(9.99999999999999E+307,Areal!$G$14:$G$20002),1)</definedName>
    <definedName name="Areas_SG6">OFFSET(Areal!$H$14,0,0,MATCH(9.99999999999999E+307,Areal!$H$14:$H$20002),1)</definedName>
    <definedName name="IncLev_CD_Fill">OFFSET(Inngår_i_planering!$D$14,0,0,MATCH(9.99999999999999E+307,Inngår_i_planering!$D$14:$D$20002),1)</definedName>
    <definedName name="IncLev_CD_RockCut">OFFSET(Inngår_i_planering!$C$14,0,0,MATCH(9.99999999999999E+307,Inngår_i_planering!$C$14:$C$20002),1)</definedName>
    <definedName name="IncLev_CD_SoilCut">OFFSET(Inngår_i_planering!$B$14,0,0,MATCH(9.99999999999999E+307,Inngår_i_planering!$B$14:$B$20002),1)</definedName>
    <definedName name="IncLev_Extra_Fill">OFFSET(Inngår_i_planering!$G$14,0,0,MATCH(9.99999999999999E+307,Inngår_i_planering!$G$14:$G$20002),1)</definedName>
    <definedName name="IncLev_Extra_RockCut">OFFSET(Inngår_i_planering!$F$14,0,0,MATCH(9.99999999999999E+307,Inngår_i_planering!$F$14:$F$20002),1)</definedName>
    <definedName name="IncLev_Extra_SoilCut">OFFSET(Inngår_i_planering!$E$14,0,0,MATCH(9.99999999999999E+307,Inngår_i_planering!$E$14:$E$20002),1)</definedName>
    <definedName name="Lengths_CD_Fill" localSheetId="7">OFFSET(Flåsprengning!$D$14,0,0,MATCH(9.99999999999999E+307,Flåsprengning!$D$14:$D$20002),1)</definedName>
    <definedName name="Lengths_CD_Fill">OFFSET(Lengde!$F$14,0,0,MATCH(9.99999999999999E+307,Lengde!$F$14:$F$20002),1)</definedName>
    <definedName name="Lengths_CD_Rock" localSheetId="7">OFFSET(Flåsprengning!#REF!,0,0,MATCH(9.99999999999999E+307,Flåsprengning!#REF!),1)</definedName>
    <definedName name="Lengths_CD_Rock">OFFSET(Lengde!$E$14,0,0,MATCH(9.99999999999999E+307,Lengde!$E$14:$E$20002),1)</definedName>
    <definedName name="Lengths_CD_Soil" localSheetId="7">OFFSET(Flåsprengning!#REF!,0,0,MATCH(9.99999999999999E+307,Flåsprengning!#REF!),1)</definedName>
    <definedName name="Lengths_CD_Soil">OFFSET(Lengde!$D$14,0,0,MATCH(9.99999999999999E+307,Lengde!$D$14:$D$20002),1)</definedName>
    <definedName name="Lengths_GuardRail" localSheetId="7">OFFSET(Flåsprengning!$E$14,0,0,MATCH(9.99999999999999E+307,Flåsprengning!$E$14:$E$20002),1)</definedName>
    <definedName name="Lengths_GuardRail">OFFSET(Lengde!$G$14,0,0,MATCH(9.99999999999999E+307,Lengde!$G$14:$G$20002),1)</definedName>
    <definedName name="Lengths_SD_Rock" localSheetId="7">OFFSET(Flåsprengning!$C$14,0,0,MATCH(9.99999999999999E+307,Flåsprengning!$C$14:$C$20002),1)</definedName>
    <definedName name="Lengths_SD_Rock">OFFSET(Lengde!$C$14,0,0,MATCH(9.99999999999999E+307,Lengde!$C$14:$C$20002),1)</definedName>
    <definedName name="Lengths_SD_Soil" localSheetId="7">OFFSET(Flåsprengning!$B$14,0,0,MATCH(9.99999999999999E+307,Flåsprengning!$B$14:$B$20002),1)</definedName>
    <definedName name="Lengths_SD_Soil">OFFSET(Lengde!$B$14,0,0,MATCH(9.99999999999999E+307,Lengde!$B$14:$B$20002),1)</definedName>
    <definedName name="Lev_Chainage">OFFSET(Planering!$A$14,0,0,COUNTA(Planering!$A2:$A$65000),1)</definedName>
    <definedName name="Lev_DeepBlasting">OFFSET(Planering!$D$14,0,0,MATCH(9.99999999999999E+307,Planering!$D$14:$D$20002),1)</definedName>
    <definedName name="Lev_Fill">OFFSET(Planering!$E$14,0,0,MATCH(9.99999999999999E+307,Planering!$E$14:$E$20002),1)</definedName>
    <definedName name="Lev_P_DeepBlasting">OFFSET(Planering!$H$14,0,0,MATCH(9.99999999999999E+307,Planering!$H$14:$H$20002),1)</definedName>
    <definedName name="Lev_P_Fill">OFFSET(Planering!$I$14,0,0,MATCH(9.99999999999999E+307,Planering!$I$14:$I$20002),1)</definedName>
    <definedName name="Lev_P_RockCut">OFFSET(Planering!$G$14,0,0,MATCH(9.99999999999999E+307,Planering!$G$14:$G$20002),1)</definedName>
    <definedName name="Lev_P_SoilCut">OFFSET(Planering!$F$14,0,0,MATCH(9.99999999999999E+307,Planering!$F$14:$F$20002),1)</definedName>
    <definedName name="Lev_RockCut">OFFSET(Planering!$C$14,0,0,MATCH(9.99999999999999E+307,Planering!$C$14:$C$20002),1)</definedName>
    <definedName name="Lev_SoilCut">OFFSET(Planering!$B$14,0,0,MATCH(9.99999999999999E+307,Planering!$B$14:$B$20002),1)</definedName>
    <definedName name="Mass_Profile">OFFSET(Planering!$K$14,0,0,MATCH(9.99999999999999E+307,Planering!$K$14:$K$20002),1)</definedName>
    <definedName name="Mass_Profile_Acc">OFFSET(Planering!$L$14,0,0,MATCH(9.99999999999999E+307,Planering!$L$14:$L$20002),1)</definedName>
    <definedName name="Other_Landsc_Cut">OFFSET(Diverse_mengder!$F$14,0,0,MATCH(9.99999999999999E+307,Diverse_mengder!$F$14:$F$20002),1)</definedName>
    <definedName name="Other_Landsc_Fill">OFFSET(Diverse_mengder!$G$14,0,0,MATCH(9.99999999999999E+307,Diverse_mengder!$G$14:$G$20002),1)</definedName>
    <definedName name="Other_Removal_FillBack">OFFSET(Diverse_mengder!#REF!,0,0,MATCH(9.99999999999999E+307,Diverse_mengder!#REF!),1)</definedName>
    <definedName name="Other_Rounding_Cut">OFFSET(Diverse_mengder!$I$14,0,0,MATCH(9.99999999999999E+307,Diverse_mengder!$I$14:$I$20002),1)</definedName>
    <definedName name="Other_Rounding_Fill">OFFSET(Diverse_mengder!$J$14,0,0,MATCH(9.99999999999999E+307,Diverse_mengder!$J$14:$J$20002),1)</definedName>
    <definedName name="Other_SideEdge_Fill">OFFSET(Diverse_mengder!$H$14,0,0,MATCH(9.99999999999999E+307,Diverse_mengder!$H$14:$H$20002),1)</definedName>
    <definedName name="Other_Sodding">OFFSET(Diverse_mengder!$E$14,0,0,MATCH(9.99999999999999E+307,Diverse_mengder!$E$14:$E$20002),1)</definedName>
    <definedName name="Other_SoftSpot">OFFSET(Diverse_mengder!$B$14,0,0,MATCH(9.99999999999999E+307,Diverse_mengder!$B$14:$B$20002),1)</definedName>
    <definedName name="Other_TopSoil">OFFSET(Diverse_mengder!$C$14,0,0,MATCH(9.99999999999999E+307,Diverse_mengder!$C$14:$C$20002),1)</definedName>
    <definedName name="Other_Vegetation">OFFSET(Diverse_mengder!$D$14,0,0,MATCH(9.99999999999999E+307,Diverse_mengder!$D$14:$D$20002),1)</definedName>
    <definedName name="ST_Base1_Area">OFFSET(Overbygning!$I$14,0,0,MATCH(9.99999999999999E+307,Overbygning!$I$14:$I$20002),1)</definedName>
    <definedName name="ST_Base1_Vol">OFFSET(Overbygning!$H$14,0,0,MATCH(9.99999999999999E+307,Overbygning!$H$14:$H$20002),1)</definedName>
    <definedName name="ST_Base2_Area">OFFSET(Overbygning!$K$14,0,0,MATCH(9.99999999999999E+307,Overbygning!$K$14:$K$20002),1)</definedName>
    <definedName name="ST_Base2_Vol">OFFSET(Overbygning!$J$14,0,0,MATCH(9.99999999999999E+307,Overbygning!$J$14:$J$20002),1)</definedName>
    <definedName name="ST_Base3_Area">OFFSET(Overbygning!$M$14,0,0,MATCH(9.99999999999999E+307,Overbygning!$M$14:$M$20002),1)</definedName>
    <definedName name="ST_Base3_Vol">OFFSET(Overbygning!$L$14,0,0,MATCH(9.99999999999999E+307,Overbygning!$L$14:$L$20002),1)</definedName>
    <definedName name="ST_Binder1_Area">OFFSET(Overbygning!$E$14,0,0,MATCH(9.99999999999999E+307,Overbygning!$E$14:$E$20002),1)</definedName>
    <definedName name="ST_Binder1_Vol">OFFSET(Overbygning!$D$14,0,0,MATCH(9.99999999999999E+307,Overbygning!$D$14:$D$20002),1)</definedName>
    <definedName name="ST_Binder2_Area">OFFSET(Overbygning!$G$14,0,0,MATCH(9.99999999999999E+307,Overbygning!$G$14:$G$20002),1)</definedName>
    <definedName name="ST_Binder2_Vol">OFFSET(Overbygning!$F$14,0,0,MATCH(9.99999999999999E+307,Overbygning!$F$14:$F$20002),1)</definedName>
    <definedName name="ST_Filter_Area">OFFSET(Overbygning!$U$14,0,0,MATCH(9.99999999999999E+307,Overbygning!$U$14:$U$20002),1)</definedName>
    <definedName name="ST_Filter_Vol">OFFSET(Overbygning!$T$14,0,0,MATCH(9.99999999999999E+307,Overbygning!$T$14:$T$20002),1)</definedName>
    <definedName name="ST_Subbase1_Area">OFFSET(Overbygning!$O$14,0,0,MATCH(9.99999999999999E+307,Overbygning!$O$14:$O$20002),1)</definedName>
    <definedName name="ST_Subbase1_Vol">OFFSET(Overbygning!$N$14,0,0,MATCH(9.99999999999999E+307,Overbygning!$N$14:$N$20002),1)</definedName>
    <definedName name="ST_Subbase2_Area">OFFSET(Overbygning!$Q$14,0,0,MATCH(9.99999999999999E+307,Overbygning!$Q$14:$Q$20002),1)</definedName>
    <definedName name="ST_Subbase2_Vol">OFFSET(Overbygning!$P$14,0,0,MATCH(9.99999999999999E+307,Overbygning!$P$14:$P$20002),1)</definedName>
    <definedName name="ST_Subbase3_Area">OFFSET(Overbygning!$S$14,0,0,MATCH(9.99999999999999E+307,Overbygning!$S$14:$S$20002),1)</definedName>
    <definedName name="ST_Subbase3_Vol">OFFSET(Overbygning!$R$14,0,0,MATCH(9.99999999999999E+307,Overbygning!$R$14:$R$20002),1)</definedName>
    <definedName name="ST_Surface_Area">OFFSET(Overbygning!$C$14,0,0,MATCH(9.99999999999999E+307,Overbygning!$C$14:$C$20002),1)</definedName>
    <definedName name="ST_Surface_Vol">OFFSET(Overbygning!$B$14,0,0,MATCH(9.99999999999999E+307,Overbygning!$B$14:$B$20002),1)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7" l="1"/>
  <c r="D14" i="9"/>
  <c r="I7" i="7"/>
  <c r="I6" i="7"/>
  <c r="I5" i="7"/>
  <c r="B5" i="9"/>
  <c r="B5" i="8"/>
  <c r="B5" i="7"/>
  <c r="B5" i="6"/>
  <c r="B5" i="5"/>
  <c r="B5" i="4"/>
  <c r="B5" i="2"/>
  <c r="F6" i="9"/>
  <c r="F5" i="9"/>
  <c r="F6" i="8"/>
  <c r="F5" i="8"/>
  <c r="G6" i="7"/>
  <c r="G5" i="7"/>
  <c r="F6" i="6"/>
  <c r="F5" i="6"/>
  <c r="F6" i="5"/>
  <c r="F5" i="5"/>
  <c r="F6" i="4"/>
  <c r="F5" i="4"/>
  <c r="F6" i="2"/>
  <c r="F5" i="2"/>
  <c r="F7" i="9"/>
  <c r="F7" i="8"/>
  <c r="G7" i="7"/>
  <c r="F7" i="6"/>
  <c r="F7" i="5"/>
  <c r="F7" i="2"/>
  <c r="F7" i="4"/>
  <c r="H7" i="9"/>
  <c r="H6" i="9"/>
  <c r="H5" i="9"/>
  <c r="B4" i="9"/>
  <c r="H7" i="8"/>
  <c r="H6" i="8"/>
  <c r="H5" i="8"/>
  <c r="B4" i="8"/>
  <c r="B4" i="7"/>
  <c r="H7" i="6"/>
  <c r="H6" i="6"/>
  <c r="H5" i="6"/>
  <c r="B4" i="6"/>
  <c r="H7" i="5"/>
  <c r="H6" i="5"/>
  <c r="H5" i="5"/>
  <c r="B4" i="5"/>
  <c r="H7" i="4"/>
  <c r="H6" i="4"/>
  <c r="H5" i="4"/>
  <c r="B4" i="4"/>
  <c r="H7" i="2"/>
  <c r="H6" i="2"/>
  <c r="H5" i="2"/>
  <c r="B4" i="2"/>
  <c r="I14" i="2"/>
  <c r="H14" i="2"/>
  <c r="F14" i="2"/>
  <c r="G14" i="2"/>
  <c r="K14" i="2"/>
  <c r="L14" i="2"/>
  <c r="C15" i="1"/>
  <c r="G53" i="1"/>
  <c r="B13" i="7"/>
  <c r="G59" i="1"/>
  <c r="H13" i="7"/>
  <c r="F52" i="2"/>
  <c r="G52" i="2"/>
  <c r="H52" i="2"/>
  <c r="I52" i="2"/>
  <c r="K52" i="2"/>
  <c r="F53" i="2"/>
  <c r="G53" i="2"/>
  <c r="H53" i="2"/>
  <c r="I53" i="2"/>
  <c r="K53" i="2"/>
  <c r="F15" i="2"/>
  <c r="G15" i="2"/>
  <c r="H15" i="2"/>
  <c r="I15" i="2"/>
  <c r="K15" i="2"/>
  <c r="F16" i="2"/>
  <c r="G16" i="2"/>
  <c r="H16" i="2"/>
  <c r="I16" i="2"/>
  <c r="K16" i="2"/>
  <c r="F17" i="2"/>
  <c r="G17" i="2"/>
  <c r="H17" i="2"/>
  <c r="I17" i="2"/>
  <c r="K17" i="2"/>
  <c r="F18" i="2"/>
  <c r="G18" i="2"/>
  <c r="H18" i="2"/>
  <c r="I18" i="2"/>
  <c r="K18" i="2"/>
  <c r="F19" i="2"/>
  <c r="G19" i="2"/>
  <c r="H19" i="2"/>
  <c r="I19" i="2"/>
  <c r="K19" i="2"/>
  <c r="F20" i="2"/>
  <c r="G20" i="2"/>
  <c r="H20" i="2"/>
  <c r="I20" i="2"/>
  <c r="K20" i="2"/>
  <c r="F21" i="2"/>
  <c r="G21" i="2"/>
  <c r="H21" i="2"/>
  <c r="I21" i="2"/>
  <c r="K21" i="2"/>
  <c r="F22" i="2"/>
  <c r="G22" i="2"/>
  <c r="H22" i="2"/>
  <c r="I22" i="2"/>
  <c r="K22" i="2"/>
  <c r="F23" i="2"/>
  <c r="G23" i="2"/>
  <c r="H23" i="2"/>
  <c r="I23" i="2"/>
  <c r="K23" i="2"/>
  <c r="F24" i="2"/>
  <c r="G24" i="2"/>
  <c r="H24" i="2"/>
  <c r="I24" i="2"/>
  <c r="K24" i="2"/>
  <c r="F25" i="2"/>
  <c r="G25" i="2"/>
  <c r="H25" i="2"/>
  <c r="I25" i="2"/>
  <c r="K25" i="2"/>
  <c r="F26" i="2"/>
  <c r="G26" i="2"/>
  <c r="H26" i="2"/>
  <c r="I26" i="2"/>
  <c r="K26" i="2"/>
  <c r="F27" i="2"/>
  <c r="G27" i="2"/>
  <c r="H27" i="2"/>
  <c r="I27" i="2"/>
  <c r="K27" i="2"/>
  <c r="F28" i="2"/>
  <c r="G28" i="2"/>
  <c r="H28" i="2"/>
  <c r="I28" i="2"/>
  <c r="K28" i="2"/>
  <c r="F29" i="2"/>
  <c r="G29" i="2"/>
  <c r="H29" i="2"/>
  <c r="I29" i="2"/>
  <c r="K29" i="2"/>
  <c r="F30" i="2"/>
  <c r="G30" i="2"/>
  <c r="H30" i="2"/>
  <c r="I30" i="2"/>
  <c r="K30" i="2"/>
  <c r="F31" i="2"/>
  <c r="G31" i="2"/>
  <c r="H31" i="2"/>
  <c r="I31" i="2"/>
  <c r="K31" i="2"/>
  <c r="F32" i="2"/>
  <c r="G32" i="2"/>
  <c r="H32" i="2"/>
  <c r="I32" i="2"/>
  <c r="K32" i="2"/>
  <c r="F33" i="2"/>
  <c r="G33" i="2"/>
  <c r="H33" i="2"/>
  <c r="I33" i="2"/>
  <c r="K33" i="2"/>
  <c r="F34" i="2"/>
  <c r="G34" i="2"/>
  <c r="H34" i="2"/>
  <c r="I34" i="2"/>
  <c r="K34" i="2"/>
  <c r="F35" i="2"/>
  <c r="G35" i="2"/>
  <c r="H35" i="2"/>
  <c r="I35" i="2"/>
  <c r="K35" i="2"/>
  <c r="F36" i="2"/>
  <c r="G36" i="2"/>
  <c r="H36" i="2"/>
  <c r="I36" i="2"/>
  <c r="K36" i="2"/>
  <c r="F37" i="2"/>
  <c r="G37" i="2"/>
  <c r="H37" i="2"/>
  <c r="I37" i="2"/>
  <c r="K37" i="2"/>
  <c r="F38" i="2"/>
  <c r="G38" i="2"/>
  <c r="H38" i="2"/>
  <c r="I38" i="2"/>
  <c r="K38" i="2"/>
  <c r="F39" i="2"/>
  <c r="G39" i="2"/>
  <c r="H39" i="2"/>
  <c r="I39" i="2"/>
  <c r="K39" i="2"/>
  <c r="F40" i="2"/>
  <c r="G40" i="2"/>
  <c r="H40" i="2"/>
  <c r="I40" i="2"/>
  <c r="K40" i="2"/>
  <c r="F41" i="2"/>
  <c r="G41" i="2"/>
  <c r="H41" i="2"/>
  <c r="I41" i="2"/>
  <c r="K41" i="2"/>
  <c r="F42" i="2"/>
  <c r="G42" i="2"/>
  <c r="H42" i="2"/>
  <c r="I42" i="2"/>
  <c r="K42" i="2"/>
  <c r="F43" i="2"/>
  <c r="G43" i="2"/>
  <c r="H43" i="2"/>
  <c r="I43" i="2"/>
  <c r="K43" i="2"/>
  <c r="F44" i="2"/>
  <c r="G44" i="2"/>
  <c r="H44" i="2"/>
  <c r="I44" i="2"/>
  <c r="K44" i="2"/>
  <c r="F45" i="2"/>
  <c r="G45" i="2"/>
  <c r="H45" i="2"/>
  <c r="I45" i="2"/>
  <c r="K45" i="2"/>
  <c r="F46" i="2"/>
  <c r="G46" i="2"/>
  <c r="H46" i="2"/>
  <c r="I46" i="2"/>
  <c r="K46" i="2"/>
  <c r="F47" i="2"/>
  <c r="G47" i="2"/>
  <c r="H47" i="2"/>
  <c r="I47" i="2"/>
  <c r="K47" i="2"/>
  <c r="F48" i="2"/>
  <c r="G48" i="2"/>
  <c r="H48" i="2"/>
  <c r="I48" i="2"/>
  <c r="K48" i="2"/>
  <c r="F49" i="2"/>
  <c r="G49" i="2"/>
  <c r="H49" i="2"/>
  <c r="I49" i="2"/>
  <c r="K49" i="2"/>
  <c r="F50" i="2"/>
  <c r="G50" i="2"/>
  <c r="H50" i="2"/>
  <c r="I50" i="2"/>
  <c r="K50" i="2"/>
  <c r="F51" i="2"/>
  <c r="G51" i="2"/>
  <c r="H51" i="2"/>
  <c r="I51" i="2"/>
  <c r="K51" i="2"/>
  <c r="K13" i="2"/>
  <c r="J13" i="4"/>
  <c r="C24" i="1"/>
  <c r="D13" i="4"/>
  <c r="C22" i="1"/>
  <c r="B13" i="4"/>
  <c r="D13" i="2"/>
  <c r="C17" i="1"/>
  <c r="E17" i="1"/>
  <c r="D17" i="1"/>
  <c r="H13" i="2"/>
  <c r="C30" i="1"/>
  <c r="C13" i="4"/>
  <c r="C23" i="1"/>
  <c r="G62" i="1"/>
  <c r="K13" i="7"/>
  <c r="B13" i="6"/>
  <c r="C40" i="1"/>
  <c r="C43" i="1"/>
  <c r="H13" i="6"/>
  <c r="C26" i="1"/>
  <c r="F13" i="4"/>
  <c r="C18" i="1"/>
  <c r="E13" i="2"/>
  <c r="M13" i="6"/>
  <c r="G45" i="1"/>
  <c r="B13" i="9"/>
  <c r="G72" i="1"/>
  <c r="G41" i="1"/>
  <c r="E13" i="6"/>
  <c r="L13" i="6"/>
  <c r="C45" i="1"/>
  <c r="C27" i="1"/>
  <c r="G13" i="4"/>
  <c r="F13" i="2"/>
  <c r="E15" i="1"/>
  <c r="D15" i="1"/>
  <c r="J13" i="7"/>
  <c r="G61" i="1"/>
  <c r="I13" i="2"/>
  <c r="E18" i="1"/>
  <c r="D18" i="1"/>
  <c r="C13" i="6"/>
  <c r="G40" i="1"/>
  <c r="G43" i="1"/>
  <c r="I13" i="6"/>
  <c r="C35" i="1"/>
  <c r="C13" i="5"/>
  <c r="C44" i="1"/>
  <c r="J13" i="6"/>
  <c r="B13" i="8"/>
  <c r="G67" i="1"/>
  <c r="C42" i="1"/>
  <c r="F13" i="6"/>
  <c r="C29" i="1"/>
  <c r="I13" i="4"/>
  <c r="G13" i="2"/>
  <c r="E16" i="1"/>
  <c r="C16" i="1"/>
  <c r="D16" i="1"/>
  <c r="C49" i="1"/>
  <c r="T13" i="6"/>
  <c r="C46" i="1"/>
  <c r="N13" i="6"/>
  <c r="B13" i="5"/>
  <c r="C34" i="1"/>
  <c r="G44" i="1"/>
  <c r="K13" i="6"/>
  <c r="C48" i="1"/>
  <c r="R13" i="6"/>
  <c r="G73" i="1"/>
  <c r="C13" i="9"/>
  <c r="G57" i="1"/>
  <c r="F13" i="7"/>
  <c r="C28" i="1"/>
  <c r="H13" i="4"/>
  <c r="I13" i="7"/>
  <c r="G60" i="1"/>
  <c r="G58" i="1"/>
  <c r="G13" i="7"/>
  <c r="G54" i="1"/>
  <c r="C13" i="7"/>
  <c r="E13" i="7"/>
  <c r="G56" i="1"/>
  <c r="U13" i="6"/>
  <c r="G49" i="1"/>
  <c r="G46" i="1"/>
  <c r="O13" i="6"/>
  <c r="C36" i="1"/>
  <c r="D13" i="5"/>
  <c r="P13" i="6"/>
  <c r="C47" i="1"/>
  <c r="C25" i="1"/>
  <c r="E13" i="4"/>
  <c r="C13" i="2"/>
  <c r="G68" i="1"/>
  <c r="C13" i="8"/>
  <c r="G13" i="6"/>
  <c r="G42" i="1"/>
  <c r="B13" i="2"/>
  <c r="D52" i="7"/>
  <c r="D53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13" i="7"/>
  <c r="G55" i="1"/>
  <c r="D13" i="6"/>
  <c r="C41" i="1"/>
  <c r="L13" i="7"/>
  <c r="G63" i="1"/>
  <c r="G47" i="1"/>
  <c r="Q13" i="6"/>
  <c r="G48" i="1"/>
  <c r="S13" i="6"/>
  <c r="D52" i="9"/>
  <c r="D53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G74" i="1"/>
  <c r="D13" i="9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</calcChain>
</file>

<file path=xl/sharedStrings.xml><?xml version="1.0" encoding="utf-8"?>
<sst xmlns="http://schemas.openxmlformats.org/spreadsheetml/2006/main" count="178" uniqueCount="110">
  <si>
    <t>m3</t>
  </si>
  <si>
    <t>m2</t>
  </si>
  <si>
    <t>m</t>
  </si>
  <si>
    <t>Rock cut factor</t>
  </si>
  <si>
    <t>Deep blasting factor</t>
  </si>
  <si>
    <t>Fill factor</t>
  </si>
  <si>
    <t>Mengder sammensatt</t>
  </si>
  <si>
    <t>Sammendrag</t>
  </si>
  <si>
    <t>Modell:</t>
  </si>
  <si>
    <t>Start profil:</t>
  </si>
  <si>
    <t>Slutt profil:</t>
  </si>
  <si>
    <t>Dato sist endret:</t>
  </si>
  <si>
    <t>Utskiftingsmasser</t>
  </si>
  <si>
    <t>Matjord</t>
  </si>
  <si>
    <t>Matjord
(m3)</t>
  </si>
  <si>
    <t>Vegetasjon
(m3)</t>
  </si>
  <si>
    <t>Vegetasjon</t>
  </si>
  <si>
    <t>Utlagte masser</t>
  </si>
  <si>
    <t>Utlagte masser
(m3)</t>
  </si>
  <si>
    <t>Bakkeplanering, skjæring</t>
  </si>
  <si>
    <t>Bakkeplanering,
skjæring
(m3)</t>
  </si>
  <si>
    <t>Bakkeplanering,
fylling
(m3)</t>
  </si>
  <si>
    <t>Justerings-
masser
(m3)</t>
  </si>
  <si>
    <t>Avrunding,
skjæring
(m3)</t>
  </si>
  <si>
    <t>Avrunding,
fylling
(m3)</t>
  </si>
  <si>
    <t>Profil</t>
  </si>
  <si>
    <t>Total</t>
  </si>
  <si>
    <t>Diverse mengder</t>
  </si>
  <si>
    <t>Bakkeplanering, fylling</t>
  </si>
  <si>
    <t>Justeringsmasser</t>
  </si>
  <si>
    <t>Avrunding, skjæring</t>
  </si>
  <si>
    <t>Avrunding, fylling</t>
  </si>
  <si>
    <t>Planering</t>
  </si>
  <si>
    <t>Jord</t>
  </si>
  <si>
    <t>Fjell</t>
  </si>
  <si>
    <t>Dypsprenging</t>
  </si>
  <si>
    <t>Fylling</t>
  </si>
  <si>
    <t>Inngår i planering</t>
  </si>
  <si>
    <t>Lukket grøft, jordskjæring</t>
  </si>
  <si>
    <t>Lukket grøft, fjellskjæring</t>
  </si>
  <si>
    <t>Lukket grøft, fylling</t>
  </si>
  <si>
    <t>Overbygning</t>
  </si>
  <si>
    <t>Slitelag</t>
  </si>
  <si>
    <t>Bindlag 1</t>
  </si>
  <si>
    <t>Bindlag 2</t>
  </si>
  <si>
    <t>Bærelag 1</t>
  </si>
  <si>
    <t>Bærelag 2</t>
  </si>
  <si>
    <t>Bærelag 3</t>
  </si>
  <si>
    <t>Forsterkningslag 1</t>
  </si>
  <si>
    <t>Forsterkningslag 2</t>
  </si>
  <si>
    <t>Forsterkningslag 3</t>
  </si>
  <si>
    <t>Filter- / Frostsikringslag</t>
  </si>
  <si>
    <t>Areal</t>
  </si>
  <si>
    <t>Planum, jordskjæring</t>
  </si>
  <si>
    <t>Planum, fjellskjæring</t>
  </si>
  <si>
    <t>Planum, fylling</t>
  </si>
  <si>
    <t>Flåsprengning</t>
  </si>
  <si>
    <t>Lengde</t>
  </si>
  <si>
    <t>Åpen grøft, jord</t>
  </si>
  <si>
    <t>Åpen grøft, fjell</t>
  </si>
  <si>
    <t>Mengde</t>
  </si>
  <si>
    <t>Prosjekterte
masser</t>
  </si>
  <si>
    <t>Masseomreg-ningsfaktorer</t>
  </si>
  <si>
    <t>Utførte anbrakte masser</t>
  </si>
  <si>
    <t>Areal og lengde</t>
  </si>
  <si>
    <t>Flå-sprengning</t>
  </si>
  <si>
    <t>Flå-sprengning
(m2)</t>
  </si>
  <si>
    <t>Teoretisk Fjell
(m3)</t>
  </si>
  <si>
    <t>Teoretisk Fjell</t>
  </si>
  <si>
    <t>Fjell inkl. flå-sprengning</t>
  </si>
  <si>
    <t>Fjell inkl. flå-sprengning
(m3)</t>
  </si>
  <si>
    <t>Jord
(m3)</t>
  </si>
  <si>
    <t>Fjell
(m3)</t>
  </si>
  <si>
    <t>Dypsprenging
(m3)</t>
  </si>
  <si>
    <t>Fylling
(m3)</t>
  </si>
  <si>
    <t>Anbragt jord
(m3)</t>
  </si>
  <si>
    <t>Anbragt fjell
(m3)</t>
  </si>
  <si>
    <t>Anbragt
dypsprenging
(m3)</t>
  </si>
  <si>
    <t>Anbragt
fylling
(m3)</t>
  </si>
  <si>
    <t>Masseprofil
(m3)</t>
  </si>
  <si>
    <t>Masseprofil,
akkumulert
(m3)</t>
  </si>
  <si>
    <t>Lukket grøft, jordskjæring
(m3)</t>
  </si>
  <si>
    <t>Lukket grøft, fjellskjæring
(m3)</t>
  </si>
  <si>
    <t>Lukket grøft, fylling
(m3)</t>
  </si>
  <si>
    <t>Volum (m3)</t>
  </si>
  <si>
    <t>Areal (m2)</t>
  </si>
  <si>
    <t>Planum, jordskjæring
(m2)</t>
  </si>
  <si>
    <t>Planum, fjellskjæring
(m2)</t>
  </si>
  <si>
    <t>Planum, fylling
(m2)</t>
  </si>
  <si>
    <t>Flåsprengning
(m2)</t>
  </si>
  <si>
    <t>Åpen grøft, jord
(m)</t>
  </si>
  <si>
    <t>Åpen grøft, fjell
(m)</t>
  </si>
  <si>
    <t>Utskiftings-
masser
(m3)
(m3)</t>
  </si>
  <si>
    <t>Kjørefelt
(m2)</t>
  </si>
  <si>
    <t>Vegskulder
(m2)</t>
  </si>
  <si>
    <t>Kjørefelt</t>
  </si>
  <si>
    <t>Vegskulder</t>
  </si>
  <si>
    <t>Soil cut factor</t>
  </si>
  <si>
    <t>Grøfteflate</t>
  </si>
  <si>
    <t>Fjellskjæring</t>
  </si>
  <si>
    <t>Jordskjæring</t>
  </si>
  <si>
    <t>Fyllingsflate</t>
  </si>
  <si>
    <t>Byggegropsideflate</t>
  </si>
  <si>
    <t>Grøfteflate
(m2)</t>
  </si>
  <si>
    <t>Fjellskjæring
(m2)</t>
  </si>
  <si>
    <t>Jordskjæring
(m2)</t>
  </si>
  <si>
    <t>Fyllingsflate
(m2)</t>
  </si>
  <si>
    <t>Byggegropsideflate
(m2)</t>
  </si>
  <si>
    <t>Veg 1</t>
  </si>
  <si>
    <t>5/8/2020 1:04:50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</si>
</sst>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+&quot;000.000"/>
    <numFmt numFmtId="165" formatCode="0.000"/>
    <numFmt numFmtId="166" formatCode="0.000000"/>
  </numFmts>
  <fonts count="25" x14ac:knownFonts="1"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20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</font>
    <font>
      <i/>
      <sz val="9"/>
      <color rgb="FF00000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3E1C8"/>
        <bgColor rgb="FFF3E1C8"/>
      </patternFill>
    </fill>
    <fill>
      <patternFill patternType="solid">
        <fgColor indexed="9"/>
        <bgColor indexed="64"/>
      </patternFill>
    </fill>
    <fill>
      <patternFill patternType="solid">
        <fgColor rgb="FFF3E1C8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/>
  </cellStyleXfs>
  <cellXfs count="16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166" fontId="1" fillId="2" borderId="0" xfId="0" applyNumberFormat="1" applyFont="1" applyFill="1"/>
    <xf numFmtId="0" fontId="1" fillId="3" borderId="0" xfId="0" applyFont="1" applyFill="1"/>
    <xf numFmtId="0" fontId="3" fillId="4" borderId="0" xfId="0" applyFont="1" applyFill="1"/>
    <xf numFmtId="0" fontId="1" fillId="4" borderId="0" xfId="0" applyFont="1" applyFill="1"/>
    <xf numFmtId="165" fontId="1" fillId="4" borderId="0" xfId="0" applyNumberFormat="1" applyFont="1" applyFill="1"/>
    <xf numFmtId="166" fontId="1" fillId="4" borderId="0" xfId="0" applyNumberFormat="1" applyFont="1" applyFill="1"/>
    <xf numFmtId="0" fontId="4" fillId="4" borderId="0" xfId="0" applyFont="1" applyFill="1"/>
    <xf numFmtId="0" fontId="5" fillId="4" borderId="0" xfId="0" applyFont="1" applyFill="1"/>
    <xf numFmtId="164" fontId="5" fillId="4" borderId="0" xfId="0" applyNumberFormat="1" applyFont="1" applyFill="1"/>
    <xf numFmtId="2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165" fontId="1" fillId="3" borderId="0" xfId="0" applyNumberFormat="1" applyFont="1" applyFill="1"/>
    <xf numFmtId="2" fontId="1" fillId="3" borderId="0" xfId="0" applyNumberFormat="1" applyFont="1" applyFill="1"/>
    <xf numFmtId="166" fontId="1" fillId="3" borderId="0" xfId="0" applyNumberFormat="1" applyFont="1" applyFill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/>
    <xf numFmtId="164" fontId="1" fillId="3" borderId="2" xfId="0" applyNumberFormat="1" applyFont="1" applyFill="1" applyBorder="1"/>
    <xf numFmtId="165" fontId="1" fillId="3" borderId="2" xfId="0" applyNumberFormat="1" applyFont="1" applyFill="1" applyBorder="1"/>
    <xf numFmtId="165" fontId="1" fillId="3" borderId="3" xfId="0" applyNumberFormat="1" applyFont="1" applyFill="1" applyBorder="1"/>
    <xf numFmtId="0" fontId="1" fillId="3" borderId="6" xfId="0" applyFont="1" applyFill="1" applyBorder="1" applyAlignment="1">
      <alignment horizontal="center" vertical="top" wrapText="1"/>
    </xf>
    <xf numFmtId="165" fontId="1" fillId="3" borderId="0" xfId="0" applyNumberFormat="1" applyFont="1" applyFill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165" fontId="6" fillId="3" borderId="0" xfId="0" applyNumberFormat="1" applyFont="1" applyFill="1"/>
    <xf numFmtId="166" fontId="1" fillId="3" borderId="0" xfId="0" applyNumberFormat="1" applyFont="1" applyFill="1" applyAlignment="1">
      <alignment horizontal="center" vertical="top" wrapText="1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1" fontId="6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2" fontId="1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3" borderId="0" xfId="0" applyNumberFormat="1" applyFont="1" applyFill="1"/>
    <xf numFmtId="2" fontId="6" fillId="2" borderId="0" xfId="0" applyNumberFormat="1" applyFont="1" applyFill="1"/>
    <xf numFmtId="2" fontId="7" fillId="2" borderId="0" xfId="0" applyNumberFormat="1" applyFont="1" applyFill="1"/>
    <xf numFmtId="0" fontId="8" fillId="2" borderId="0" xfId="0" applyFont="1" applyFill="1" applyAlignment="1">
      <alignment horizontal="left"/>
    </xf>
    <xf numFmtId="2" fontId="6" fillId="3" borderId="0" xfId="0" applyNumberFormat="1" applyFont="1" applyFill="1"/>
    <xf numFmtId="2" fontId="9" fillId="4" borderId="0" xfId="0" applyNumberFormat="1" applyFont="1" applyFill="1"/>
    <xf numFmtId="2" fontId="6" fillId="4" borderId="0" xfId="0" applyNumberFormat="1" applyFont="1" applyFill="1"/>
    <xf numFmtId="0" fontId="8" fillId="4" borderId="0" xfId="0" applyFont="1" applyFill="1" applyAlignment="1">
      <alignment horizontal="left"/>
    </xf>
    <xf numFmtId="2" fontId="4" fillId="4" borderId="0" xfId="0" applyNumberFormat="1" applyFont="1" applyFill="1"/>
    <xf numFmtId="2" fontId="1" fillId="4" borderId="0" xfId="0" applyNumberFormat="1" applyFont="1" applyFill="1"/>
    <xf numFmtId="0" fontId="5" fillId="4" borderId="0" xfId="0" applyFont="1" applyFill="1" applyAlignment="1">
      <alignment horizontal="left"/>
    </xf>
    <xf numFmtId="14" fontId="1" fillId="4" borderId="0" xfId="0" applyNumberFormat="1" applyFont="1" applyFill="1" applyAlignment="1">
      <alignment horizontal="right"/>
    </xf>
    <xf numFmtId="2" fontId="1" fillId="3" borderId="5" xfId="0" applyNumberFormat="1" applyFont="1" applyFill="1" applyBorder="1"/>
    <xf numFmtId="2" fontId="1" fillId="3" borderId="1" xfId="0" applyNumberFormat="1" applyFont="1" applyFill="1" applyBorder="1"/>
    <xf numFmtId="2" fontId="1" fillId="3" borderId="2" xfId="0" applyNumberFormat="1" applyFont="1" applyFill="1" applyBorder="1"/>
    <xf numFmtId="2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7" xfId="0" applyNumberFormat="1" applyFont="1" applyFill="1" applyBorder="1"/>
    <xf numFmtId="2" fontId="6" fillId="3" borderId="0" xfId="0" applyNumberFormat="1" applyFont="1" applyFill="1" applyAlignment="1">
      <alignment horizontal="center"/>
    </xf>
    <xf numFmtId="2" fontId="1" fillId="3" borderId="8" xfId="0" applyNumberFormat="1" applyFont="1" applyFill="1" applyBorder="1" applyAlignment="1">
      <alignment horizontal="center" vertical="top" wrapText="1"/>
    </xf>
    <xf numFmtId="2" fontId="1" fillId="3" borderId="9" xfId="0" applyNumberFormat="1" applyFont="1" applyFill="1" applyBorder="1" applyAlignment="1">
      <alignment horizontal="center" vertical="top" wrapText="1"/>
    </xf>
    <xf numFmtId="2" fontId="6" fillId="3" borderId="0" xfId="0" applyNumberFormat="1" applyFont="1" applyFill="1" applyAlignment="1">
      <alignment horizontal="center" vertical="top" wrapText="1"/>
    </xf>
    <xf numFmtId="2" fontId="1" fillId="3" borderId="12" xfId="0" applyNumberFormat="1" applyFont="1" applyFill="1" applyBorder="1" applyAlignment="1">
      <alignment horizontal="center" wrapText="1"/>
    </xf>
    <xf numFmtId="2" fontId="1" fillId="3" borderId="4" xfId="0" applyNumberFormat="1" applyFont="1" applyFill="1" applyBorder="1"/>
    <xf numFmtId="2" fontId="1" fillId="3" borderId="12" xfId="0" applyNumberFormat="1" applyFont="1" applyFill="1" applyBorder="1"/>
    <xf numFmtId="2" fontId="1" fillId="3" borderId="13" xfId="0" applyNumberFormat="1" applyFont="1" applyFill="1" applyBorder="1" applyAlignment="1">
      <alignment horizontal="center" vertical="top" wrapText="1"/>
    </xf>
    <xf numFmtId="2" fontId="1" fillId="3" borderId="12" xfId="0" applyNumberFormat="1" applyFont="1" applyFill="1" applyBorder="1" applyAlignment="1">
      <alignment horizontal="center" vertical="top" wrapText="1"/>
    </xf>
    <xf numFmtId="2" fontId="6" fillId="3" borderId="14" xfId="0" applyNumberFormat="1" applyFont="1" applyFill="1" applyBorder="1"/>
    <xf numFmtId="2" fontId="6" fillId="3" borderId="15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/>
    <xf numFmtId="2" fontId="1" fillId="3" borderId="3" xfId="0" applyNumberFormat="1" applyFont="1" applyFill="1" applyBorder="1"/>
    <xf numFmtId="2" fontId="1" fillId="3" borderId="0" xfId="0" applyNumberFormat="1" applyFont="1" applyFill="1" applyAlignment="1">
      <alignment horizontal="center" vertical="top" wrapText="1"/>
    </xf>
    <xf numFmtId="2" fontId="6" fillId="3" borderId="0" xfId="0" applyNumberFormat="1" applyFont="1" applyFill="1" applyAlignment="1">
      <alignment vertical="top" wrapText="1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8" fillId="3" borderId="15" xfId="0" applyFont="1" applyFill="1" applyBorder="1"/>
    <xf numFmtId="0" fontId="6" fillId="2" borderId="0" xfId="0" applyFont="1" applyFill="1"/>
    <xf numFmtId="165" fontId="6" fillId="2" borderId="0" xfId="0" applyNumberFormat="1" applyFont="1" applyFill="1"/>
    <xf numFmtId="0" fontId="6" fillId="4" borderId="0" xfId="0" applyFont="1" applyFill="1"/>
    <xf numFmtId="165" fontId="6" fillId="4" borderId="0" xfId="0" applyNumberFormat="1" applyFont="1" applyFill="1"/>
    <xf numFmtId="2" fontId="1" fillId="3" borderId="7" xfId="0" applyNumberFormat="1" applyFont="1" applyFill="1" applyBorder="1" applyAlignment="1">
      <alignment vertical="center"/>
    </xf>
    <xf numFmtId="2" fontId="1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2" fontId="6" fillId="3" borderId="0" xfId="0" applyNumberFormat="1" applyFont="1" applyFill="1" applyAlignment="1">
      <alignment vertical="center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2" fontId="1" fillId="3" borderId="6" xfId="0" applyNumberFormat="1" applyFont="1" applyFill="1" applyBorder="1"/>
    <xf numFmtId="2" fontId="6" fillId="3" borderId="13" xfId="0" applyNumberFormat="1" applyFont="1" applyFill="1" applyBorder="1"/>
    <xf numFmtId="2" fontId="6" fillId="2" borderId="0" xfId="0" applyNumberFormat="1" applyFont="1" applyFill="1" applyAlignment="1">
      <alignment horizontal="right"/>
    </xf>
    <xf numFmtId="2" fontId="4" fillId="4" borderId="0" xfId="0" applyNumberFormat="1" applyFont="1" applyFill="1" applyAlignment="1">
      <alignment horizontal="left"/>
    </xf>
    <xf numFmtId="2" fontId="1" fillId="4" borderId="0" xfId="0" applyNumberFormat="1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6" fillId="3" borderId="3" xfId="0" applyNumberFormat="1" applyFont="1" applyFill="1" applyBorder="1"/>
    <xf numFmtId="2" fontId="1" fillId="3" borderId="4" xfId="0" applyNumberFormat="1" applyFont="1" applyFill="1" applyBorder="1" applyAlignment="1">
      <alignment horizontal="center" wrapText="1"/>
    </xf>
    <xf numFmtId="2" fontId="6" fillId="3" borderId="15" xfId="0" applyNumberFormat="1" applyFont="1" applyFill="1" applyBorder="1" applyAlignment="1">
      <alignment horizontal="right"/>
    </xf>
    <xf numFmtId="2" fontId="10" fillId="2" borderId="0" xfId="0" applyNumberFormat="1" applyFont="1" applyFill="1"/>
    <xf numFmtId="2" fontId="11" fillId="2" borderId="0" xfId="0" applyNumberFormat="1" applyFont="1" applyFill="1"/>
    <xf numFmtId="2" fontId="10" fillId="3" borderId="0" xfId="0" applyNumberFormat="1" applyFont="1" applyFill="1"/>
    <xf numFmtId="0" fontId="12" fillId="4" borderId="0" xfId="0" applyFont="1" applyFill="1"/>
    <xf numFmtId="2" fontId="13" fillId="4" borderId="0" xfId="0" applyNumberFormat="1" applyFont="1" applyFill="1"/>
    <xf numFmtId="2" fontId="10" fillId="4" borderId="0" xfId="0" applyNumberFormat="1" applyFont="1" applyFill="1"/>
    <xf numFmtId="2" fontId="14" fillId="4" borderId="0" xfId="0" applyNumberFormat="1" applyFont="1" applyFill="1"/>
    <xf numFmtId="2" fontId="15" fillId="4" borderId="0" xfId="0" applyNumberFormat="1" applyFont="1" applyFill="1"/>
    <xf numFmtId="2" fontId="15" fillId="4" borderId="0" xfId="0" applyNumberFormat="1" applyFont="1" applyFill="1" applyAlignment="1">
      <alignment horizontal="right"/>
    </xf>
    <xf numFmtId="14" fontId="15" fillId="4" borderId="0" xfId="0" applyNumberFormat="1" applyFont="1" applyFill="1" applyAlignment="1">
      <alignment horizontal="right"/>
    </xf>
    <xf numFmtId="2" fontId="15" fillId="3" borderId="0" xfId="0" applyNumberFormat="1" applyFont="1" applyFill="1" applyAlignment="1">
      <alignment horizontal="center"/>
    </xf>
    <xf numFmtId="2" fontId="15" fillId="3" borderId="0" xfId="0" applyNumberFormat="1" applyFont="1" applyFill="1"/>
    <xf numFmtId="2" fontId="15" fillId="3" borderId="1" xfId="0" applyNumberFormat="1" applyFont="1" applyFill="1" applyBorder="1"/>
    <xf numFmtId="2" fontId="15" fillId="3" borderId="2" xfId="0" applyNumberFormat="1" applyFont="1" applyFill="1" applyBorder="1"/>
    <xf numFmtId="2" fontId="10" fillId="3" borderId="0" xfId="0" applyNumberFormat="1" applyFont="1" applyFill="1" applyAlignment="1">
      <alignment horizontal="center"/>
    </xf>
    <xf numFmtId="2" fontId="15" fillId="3" borderId="8" xfId="0" applyNumberFormat="1" applyFont="1" applyFill="1" applyBorder="1" applyAlignment="1">
      <alignment horizontal="center" vertical="top" wrapText="1"/>
    </xf>
    <xf numFmtId="2" fontId="15" fillId="3" borderId="0" xfId="0" applyNumberFormat="1" applyFont="1" applyFill="1" applyAlignment="1">
      <alignment horizontal="center" vertical="top" wrapText="1"/>
    </xf>
    <xf numFmtId="2" fontId="10" fillId="3" borderId="0" xfId="0" applyNumberFormat="1" applyFont="1" applyFill="1" applyAlignment="1">
      <alignment horizontal="center" vertical="top" wrapText="1"/>
    </xf>
    <xf numFmtId="2" fontId="15" fillId="3" borderId="12" xfId="0" applyNumberFormat="1" applyFont="1" applyFill="1" applyBorder="1" applyAlignment="1">
      <alignment horizontal="center" wrapText="1"/>
    </xf>
    <xf numFmtId="2" fontId="15" fillId="3" borderId="12" xfId="0" applyNumberFormat="1" applyFont="1" applyFill="1" applyBorder="1"/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horizontal="center"/>
    </xf>
    <xf numFmtId="2" fontId="10" fillId="3" borderId="14" xfId="0" applyNumberFormat="1" applyFont="1" applyFill="1" applyBorder="1"/>
    <xf numFmtId="2" fontId="10" fillId="3" borderId="15" xfId="0" applyNumberFormat="1" applyFont="1" applyFill="1" applyBorder="1"/>
    <xf numFmtId="2" fontId="18" fillId="3" borderId="9" xfId="0" applyNumberFormat="1" applyFont="1" applyFill="1" applyBorder="1" applyAlignment="1">
      <alignment horizontal="center" vertical="top" wrapText="1"/>
    </xf>
    <xf numFmtId="2" fontId="19" fillId="3" borderId="9" xfId="0" applyNumberFormat="1" applyFont="1" applyFill="1" applyBorder="1" applyAlignment="1">
      <alignment horizontal="center" vertical="top" wrapText="1"/>
    </xf>
    <xf numFmtId="2" fontId="19" fillId="3" borderId="10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2" fontId="20" fillId="3" borderId="0" xfId="0" applyNumberFormat="1" applyFont="1" applyFill="1"/>
    <xf numFmtId="2" fontId="1" fillId="3" borderId="17" xfId="0" applyNumberFormat="1" applyFont="1" applyFill="1" applyBorder="1"/>
    <xf numFmtId="2" fontId="6" fillId="3" borderId="16" xfId="0" applyNumberFormat="1" applyFont="1" applyFill="1" applyBorder="1"/>
    <xf numFmtId="2" fontId="16" fillId="3" borderId="0" xfId="0" applyNumberFormat="1" applyFont="1" applyFill="1" applyAlignment="1">
      <alignment horizontal="center" vertical="top" wrapText="1"/>
    </xf>
    <xf numFmtId="2" fontId="15" fillId="3" borderId="18" xfId="0" applyNumberFormat="1" applyFont="1" applyFill="1" applyBorder="1"/>
    <xf numFmtId="2" fontId="10" fillId="3" borderId="19" xfId="0" applyNumberFormat="1" applyFont="1" applyFill="1" applyBorder="1"/>
    <xf numFmtId="2" fontId="15" fillId="3" borderId="20" xfId="0" applyNumberFormat="1" applyFont="1" applyFill="1" applyBorder="1"/>
    <xf numFmtId="2" fontId="2" fillId="3" borderId="0" xfId="0" applyNumberFormat="1" applyFont="1" applyFill="1" applyAlignment="1">
      <alignment horizontal="center" vertical="top" wrapText="1"/>
    </xf>
    <xf numFmtId="2" fontId="1" fillId="3" borderId="21" xfId="0" applyNumberFormat="1" applyFont="1" applyFill="1" applyBorder="1"/>
    <xf numFmtId="2" fontId="1" fillId="3" borderId="18" xfId="0" applyNumberFormat="1" applyFont="1" applyFill="1" applyBorder="1"/>
    <xf numFmtId="2" fontId="6" fillId="3" borderId="19" xfId="0" applyNumberFormat="1" applyFont="1" applyFill="1" applyBorder="1"/>
    <xf numFmtId="0" fontId="22" fillId="5" borderId="0" xfId="0" applyFont="1" applyFill="1" applyAlignment="1">
      <alignment horizontal="left"/>
    </xf>
    <xf numFmtId="0" fontId="21" fillId="5" borderId="0" xfId="0" applyFont="1" applyFill="1" applyAlignment="1">
      <alignment horizontal="left"/>
    </xf>
    <xf numFmtId="0" fontId="21" fillId="5" borderId="22" xfId="0" applyFont="1" applyFill="1" applyBorder="1" applyAlignment="1">
      <alignment horizontal="left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right" vertical="top" wrapText="1"/>
    </xf>
    <xf numFmtId="2" fontId="21" fillId="5" borderId="24" xfId="0" applyNumberFormat="1" applyFont="1" applyFill="1" applyBorder="1" applyAlignment="1">
      <alignment horizontal="center" vertical="top" wrapText="1"/>
    </xf>
    <xf numFmtId="2" fontId="21" fillId="5" borderId="25" xfId="0" applyNumberFormat="1" applyFont="1" applyFill="1" applyBorder="1" applyAlignment="1">
      <alignment horizontal="center" vertical="top" wrapText="1"/>
    </xf>
    <xf numFmtId="2" fontId="21" fillId="5" borderId="28" xfId="0" applyNumberFormat="1" applyFont="1" applyFill="1" applyBorder="1" applyAlignment="1">
      <alignment horizontal="center" vertical="center" wrapText="1"/>
    </xf>
    <xf numFmtId="2" fontId="21" fillId="5" borderId="25" xfId="0" applyNumberFormat="1" applyFont="1" applyFill="1" applyBorder="1" applyAlignment="1">
      <alignment horizontal="center" vertical="center" wrapText="1"/>
    </xf>
    <xf numFmtId="2" fontId="23" fillId="6" borderId="0" xfId="0" applyNumberFormat="1" applyFont="1" applyFill="1" applyAlignment="1">
      <alignment horizontal="left"/>
    </xf>
    <xf numFmtId="2" fontId="23" fillId="6" borderId="0" xfId="0" applyNumberFormat="1" applyFont="1" applyFill="1"/>
    <xf numFmtId="2" fontId="24" fillId="5" borderId="26" xfId="0" applyNumberFormat="1" applyFont="1" applyFill="1" applyBorder="1" applyAlignment="1">
      <alignment horizontal="center" vertical="top" wrapText="1"/>
    </xf>
    <xf numFmtId="2" fontId="1" fillId="3" borderId="30" xfId="0" applyNumberFormat="1" applyFont="1" applyFill="1" applyBorder="1"/>
    <xf numFmtId="2" fontId="6" fillId="3" borderId="29" xfId="0" applyNumberFormat="1" applyFont="1" applyFill="1" applyBorder="1"/>
    <xf numFmtId="2" fontId="1" fillId="3" borderId="31" xfId="0" applyNumberFormat="1" applyFont="1" applyFill="1" applyBorder="1"/>
    <xf numFmtId="2" fontId="21" fillId="5" borderId="27" xfId="0" applyNumberFormat="1" applyFont="1" applyFill="1" applyBorder="1" applyAlignment="1">
      <alignment horizontal="center" vertical="center"/>
    </xf>
    <xf numFmtId="2" fontId="21" fillId="5" borderId="20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 rot="0" vertOverflow="overflow" vert="horz" rtlCol="0" anchor="t"/>
          <a:lstStyle/>
          <a:p>
            <a:pPr lvl="0" algn="ctr" defTabSz="91440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75" b="1" kern="12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875" b="1">
                <a:effectLst/>
              </a:rPr>
              <a:t>Utførte anbrakte masse (m3)</a:t>
            </a:r>
          </a:p>
        </c:rich>
      </c:tx>
      <c:layout>
        <c:manualLayout>
          <c:xMode val="edge"/>
          <c:yMode val="edge"/>
          <c:x val="0.36269442986293399"/>
        </c:manualLayout>
      </c:layout>
      <c:overlay val="0"/>
      <c:spPr>
        <a:noFill/>
        <a:ln>
          <a:noFill/>
        </a:ln>
      </c:spPr>
    </c:title>
    <c:autoTitleDeleted val="0"/>
    <c:view3D>
      <c:rotX val="40"/>
      <c:rotY val="0"/>
      <c:rAngAx val="0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xMode val="edge"/>
          <c:yMode val="edge"/>
          <c:x val="0.314335141440653"/>
          <c:y val="0.34101341078762798"/>
          <c:w val="0.37132995042286399"/>
          <c:h val="0.42396272512045502"/>
        </c:manualLayout>
      </c:layout>
      <c:pie3DChart>
        <c:varyColors val="1"/>
        <c:ser>
          <c:idx val="0"/>
          <c:order val="0"/>
          <c:tx>
            <c:strRef>
              <c:f>Sammendrag!$A$15:$A$15</c:f>
              <c:strCache>
                <c:ptCount val="1"/>
                <c:pt idx="0">
                  <c:v>Jord</c:v>
                </c:pt>
              </c:strCache>
            </c:strRef>
          </c:tx>
          <c:dPt>
            <c:idx val="0"/>
            <c:bubble3D val="0"/>
            <c:spPr>
              <a:solidFill>
                <a:srgbClr val="C0C0C0"/>
              </a:solidFill>
              <a:ln w="12701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2E-4CA4-ADB0-652DDE4E7AB5}"/>
              </c:ext>
            </c:extLst>
          </c:dPt>
          <c:dPt>
            <c:idx val="1"/>
            <c:bubble3D val="0"/>
            <c:spPr>
              <a:solidFill>
                <a:srgbClr val="808080"/>
              </a:solidFill>
              <a:ln w="12701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2E-4CA4-ADB0-652DDE4E7A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1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2E-4CA4-ADB0-652DDE4E7AB5}"/>
              </c:ext>
            </c:extLst>
          </c:dPt>
          <c:dPt>
            <c:idx val="3"/>
            <c:bubble3D val="0"/>
            <c:spPr>
              <a:solidFill>
                <a:srgbClr val="FFFFFF"/>
              </a:solidFill>
              <a:ln w="12701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2E-4CA4-ADB0-652DDE4E7A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Overflow="overflow" vert="horz" rtlCol="0" anchor="t"/>
              <a:lstStyle/>
              <a:p>
                <a:pPr lvl="0" algn="ctr" defTabSz="91440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800" b="0" kern="12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Sammendrag!$A$15:$A$18</c:f>
              <c:strCache>
                <c:ptCount val="4"/>
                <c:pt idx="0">
                  <c:v>Jord</c:v>
                </c:pt>
                <c:pt idx="1">
                  <c:v>Fjell</c:v>
                </c:pt>
                <c:pt idx="2">
                  <c:v>Dypsprenging</c:v>
                </c:pt>
                <c:pt idx="3">
                  <c:v>Fylling</c:v>
                </c:pt>
              </c:strCache>
            </c:strRef>
          </c:cat>
          <c:val>
            <c:numRef>
              <c:f>Sammendrag!$E$15:$E$18</c:f>
              <c:numCache>
                <c:formatCode>0</c:formatCode>
                <c:ptCount val="4"/>
                <c:pt idx="0">
                  <c:v>0</c:v>
                </c:pt>
                <c:pt idx="1">
                  <c:v>482.59760568727199</c:v>
                </c:pt>
                <c:pt idx="2">
                  <c:v>0</c:v>
                </c:pt>
                <c:pt idx="3">
                  <c:v>82.084395948832807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2E-4CA4-ADB0-652DDE4E7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txPr>
    <a:bodyPr rot="0" vertOverflow="overflow" vert="horz" rtlCol="0" anchor="t"/>
    <a:lstStyle/>
    <a:p>
      <a:pPr lvl="0" defTabSz="914400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800" b="0" kern="120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190496</xdr:colOff>
      <xdr:row>3</xdr:row>
      <xdr:rowOff>133346</xdr:rowOff>
    </xdr:from>
    <xdr:ext cx="4286249" cy="3305171"/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tabSelected="1" topLeftCell="A2" workbookViewId="0">
      <selection activeCell="A2" sqref="A2"/>
    </sheetView>
  </sheetViews>
  <sheetFormatPr baseColWidth="10" defaultColWidth="11.6328125" defaultRowHeight="12" x14ac:dyDescent="0.3"/>
  <cols>
    <col min="1" max="1" width="17.08984375" style="21" customWidth="1"/>
    <col min="2" max="2" width="17.36328125" style="7" customWidth="1"/>
    <col min="3" max="3" width="15.26953125" style="22" customWidth="1"/>
    <col min="4" max="4" width="17.6328125" style="22" customWidth="1"/>
    <col min="5" max="5" width="16" style="18" customWidth="1"/>
    <col min="6" max="6" width="15.26953125" style="18" customWidth="1"/>
    <col min="7" max="7" width="16.36328125" style="18" customWidth="1"/>
    <col min="8" max="8" width="15.7265625" style="18" customWidth="1"/>
    <col min="9" max="9" width="16.08984375" style="18" customWidth="1"/>
    <col min="10" max="10" width="14.36328125" style="20" customWidth="1"/>
    <col min="11" max="11" width="11.6328125" style="7" customWidth="1"/>
    <col min="12" max="16384" width="11.6328125" style="7"/>
  </cols>
  <sheetData>
    <row r="1" spans="1:12" ht="44.25" customHeight="1" x14ac:dyDescent="0.3">
      <c r="A1" s="1"/>
      <c r="B1" s="2"/>
      <c r="C1" s="3"/>
      <c r="D1" s="4"/>
      <c r="E1" s="5"/>
      <c r="F1" s="5"/>
      <c r="G1" s="5"/>
      <c r="H1" s="5"/>
      <c r="I1" s="5"/>
      <c r="J1" s="6"/>
      <c r="K1" s="2"/>
      <c r="L1" s="2"/>
    </row>
    <row r="2" spans="1:12" ht="16.899999999999999" customHeight="1" x14ac:dyDescent="0.4">
      <c r="A2" s="8" t="s">
        <v>6</v>
      </c>
      <c r="B2" s="8"/>
      <c r="C2" s="9"/>
      <c r="D2" s="9"/>
      <c r="E2" s="9"/>
      <c r="F2" s="9"/>
      <c r="G2" s="9"/>
      <c r="H2" s="9"/>
      <c r="I2" s="10"/>
      <c r="J2" s="11"/>
      <c r="K2" s="9"/>
      <c r="L2" s="9"/>
    </row>
    <row r="3" spans="1:12" ht="16.149999999999999" customHeight="1" x14ac:dyDescent="0.35">
      <c r="A3" s="12" t="s">
        <v>7</v>
      </c>
      <c r="B3" s="12"/>
      <c r="C3" s="13"/>
      <c r="D3" s="9"/>
      <c r="E3" s="9"/>
      <c r="F3" s="9"/>
      <c r="G3" s="9"/>
      <c r="H3" s="9"/>
      <c r="I3" s="10"/>
      <c r="J3" s="11"/>
      <c r="K3" s="9"/>
      <c r="L3" s="9"/>
    </row>
    <row r="4" spans="1:12" ht="16.149999999999999" customHeight="1" x14ac:dyDescent="0.35">
      <c r="A4" s="12" t="s">
        <v>8</v>
      </c>
      <c r="B4" s="12" t="s">
        <v>108</v>
      </c>
      <c r="C4" s="14"/>
      <c r="D4" s="9"/>
      <c r="E4" s="9"/>
      <c r="F4" s="9"/>
      <c r="G4" s="9"/>
      <c r="H4" s="9"/>
      <c r="I4" s="10"/>
      <c r="J4" s="11"/>
      <c r="K4" s="9"/>
      <c r="L4" s="9"/>
    </row>
    <row r="5" spans="1:12" ht="15" customHeight="1" x14ac:dyDescent="0.3">
      <c r="A5" s="9"/>
      <c r="B5" s="9"/>
      <c r="C5" s="9"/>
      <c r="D5" s="9"/>
      <c r="E5" s="10"/>
      <c r="F5" s="9" t="s">
        <v>9</v>
      </c>
      <c r="G5" s="9"/>
      <c r="H5" s="15">
        <v>0</v>
      </c>
      <c r="I5" s="10"/>
      <c r="J5" s="11"/>
      <c r="K5" s="9"/>
      <c r="L5" s="9"/>
    </row>
    <row r="6" spans="1:12" ht="15" customHeight="1" x14ac:dyDescent="0.3">
      <c r="A6" s="9"/>
      <c r="B6" s="9"/>
      <c r="C6" s="9"/>
      <c r="D6" s="9"/>
      <c r="E6" s="10"/>
      <c r="F6" s="9" t="s">
        <v>10</v>
      </c>
      <c r="G6" s="9"/>
      <c r="H6" s="15">
        <v>382.54</v>
      </c>
      <c r="I6" s="10"/>
      <c r="J6" s="11"/>
      <c r="K6" s="9"/>
      <c r="L6" s="9"/>
    </row>
    <row r="7" spans="1:12" ht="15" customHeight="1" x14ac:dyDescent="0.3">
      <c r="A7" s="9"/>
      <c r="B7" s="9"/>
      <c r="C7" s="9"/>
      <c r="D7" s="9"/>
      <c r="E7" s="10"/>
      <c r="F7" s="9" t="s">
        <v>11</v>
      </c>
      <c r="G7" s="9"/>
      <c r="H7" s="16" t="s">
        <v>109</v>
      </c>
      <c r="I7" s="10"/>
      <c r="J7" s="11"/>
      <c r="K7" s="9"/>
      <c r="L7" s="9"/>
    </row>
    <row r="8" spans="1:12" ht="15" customHeight="1" x14ac:dyDescent="0.3">
      <c r="A8" s="17"/>
      <c r="B8" s="9"/>
      <c r="C8" s="9"/>
      <c r="D8" s="9"/>
      <c r="E8" s="9"/>
      <c r="F8" s="10"/>
      <c r="G8" s="10"/>
      <c r="H8" s="10"/>
      <c r="I8" s="10"/>
      <c r="J8" s="11"/>
      <c r="K8" s="9"/>
      <c r="L8" s="9"/>
    </row>
    <row r="9" spans="1:12" ht="15" customHeight="1" x14ac:dyDescent="0.3">
      <c r="A9" s="7"/>
      <c r="B9" s="18"/>
      <c r="C9" s="19"/>
      <c r="D9" s="19"/>
      <c r="E9" s="19"/>
      <c r="F9" s="19"/>
      <c r="G9" s="19"/>
      <c r="H9" s="19"/>
    </row>
    <row r="10" spans="1:12" ht="15" customHeight="1" x14ac:dyDescent="0.3"/>
    <row r="11" spans="1:12" x14ac:dyDescent="0.3">
      <c r="A11" s="23"/>
      <c r="B11" s="24"/>
      <c r="C11" s="25"/>
      <c r="D11" s="25"/>
      <c r="E11" s="26"/>
      <c r="F11" s="26"/>
      <c r="G11" s="26"/>
      <c r="H11" s="27"/>
    </row>
    <row r="12" spans="1:12" ht="34.9" customHeight="1" x14ac:dyDescent="0.3">
      <c r="A12" s="145" t="s">
        <v>60</v>
      </c>
      <c r="B12" s="146"/>
      <c r="C12" s="147" t="s">
        <v>61</v>
      </c>
      <c r="D12" s="147" t="s">
        <v>62</v>
      </c>
      <c r="E12" s="147" t="s">
        <v>63</v>
      </c>
      <c r="F12" s="147"/>
      <c r="G12" s="147" t="s">
        <v>64</v>
      </c>
      <c r="H12" s="28"/>
      <c r="I12" s="29"/>
      <c r="J12" s="29"/>
    </row>
    <row r="13" spans="1:12" ht="12" customHeight="1" x14ac:dyDescent="0.3">
      <c r="A13" s="30"/>
      <c r="B13" s="31"/>
      <c r="C13" s="32"/>
      <c r="D13" s="31"/>
      <c r="E13" s="33"/>
      <c r="F13" s="31"/>
      <c r="G13" s="33"/>
      <c r="H13" s="31"/>
      <c r="I13" s="29"/>
      <c r="J13" s="34"/>
    </row>
    <row r="14" spans="1:12" x14ac:dyDescent="0.3">
      <c r="A14" s="144" t="s">
        <v>32</v>
      </c>
      <c r="B14" s="30"/>
      <c r="C14" s="36" t="s">
        <v>0</v>
      </c>
      <c r="D14" s="37"/>
      <c r="E14" s="38" t="s">
        <v>0</v>
      </c>
      <c r="F14" s="39"/>
      <c r="G14" s="38"/>
      <c r="H14" s="30"/>
    </row>
    <row r="15" spans="1:12" x14ac:dyDescent="0.3">
      <c r="A15" s="143" t="s">
        <v>33</v>
      </c>
      <c r="B15" s="21"/>
      <c r="C15" s="41">
        <f ca="1">SUM([0]!Lev_SoilCut)</f>
        <v>0</v>
      </c>
      <c r="D15" s="42" t="str">
        <f ca="1">IF(E15=0,"-",E15/C15)</f>
        <v>-</v>
      </c>
      <c r="E15" s="41">
        <f ca="1">SUM([0]!Lev_P_SoilCut)</f>
        <v>0</v>
      </c>
      <c r="F15" s="43"/>
      <c r="G15" s="43"/>
      <c r="H15" s="33"/>
      <c r="I15" s="44"/>
    </row>
    <row r="16" spans="1:12" x14ac:dyDescent="0.3">
      <c r="A16" s="143" t="s">
        <v>34</v>
      </c>
      <c r="B16" s="30"/>
      <c r="C16" s="41">
        <f ca="1">SUM([0]!Lev_RockCut)</f>
        <v>482.59760568727199</v>
      </c>
      <c r="D16" s="42">
        <f ca="1">IF(E16=0,"-",E16/C16)</f>
        <v>1</v>
      </c>
      <c r="E16" s="41">
        <f ca="1">SUM([0]!Lev_P_RockCut)</f>
        <v>482.59760568727199</v>
      </c>
      <c r="F16" s="43"/>
      <c r="G16" s="43"/>
      <c r="H16" s="33"/>
    </row>
    <row r="17" spans="1:8" x14ac:dyDescent="0.3">
      <c r="A17" s="143" t="s">
        <v>35</v>
      </c>
      <c r="B17" s="30"/>
      <c r="C17" s="41">
        <f ca="1">SUM([0]!Lev_DeepBlasting)</f>
        <v>0</v>
      </c>
      <c r="D17" s="42" t="str">
        <f ca="1">IF(E17=0,"-",E17/C17)</f>
        <v>-</v>
      </c>
      <c r="E17" s="41">
        <f ca="1">SUM([0]!Lev_P_DeepBlasting)</f>
        <v>0</v>
      </c>
      <c r="F17" s="43"/>
      <c r="G17" s="43"/>
      <c r="H17" s="33"/>
    </row>
    <row r="18" spans="1:8" x14ac:dyDescent="0.3">
      <c r="A18" s="143" t="s">
        <v>36</v>
      </c>
      <c r="B18" s="30"/>
      <c r="C18" s="41">
        <f ca="1">SUM([0]!Lev_Fill)</f>
        <v>82.084395948832807</v>
      </c>
      <c r="D18" s="42">
        <f ca="1">IF(E18=0,"-",E18/C18)</f>
        <v>1</v>
      </c>
      <c r="E18" s="41">
        <f ca="1">SUM([0]!Lev_P_Fill)</f>
        <v>82.084395948832807</v>
      </c>
      <c r="F18" s="43"/>
      <c r="G18" s="43"/>
      <c r="H18" s="33"/>
    </row>
    <row r="19" spans="1:8" x14ac:dyDescent="0.3">
      <c r="A19" s="40"/>
      <c r="B19" s="30"/>
      <c r="C19" s="45"/>
      <c r="D19" s="42"/>
      <c r="E19" s="43"/>
      <c r="F19" s="39"/>
      <c r="G19" s="43"/>
      <c r="H19" s="33"/>
    </row>
    <row r="20" spans="1:8" x14ac:dyDescent="0.3">
      <c r="A20" s="40"/>
      <c r="B20" s="30"/>
      <c r="C20" s="41"/>
      <c r="D20" s="39"/>
      <c r="E20" s="43"/>
      <c r="F20" s="39"/>
      <c r="G20" s="43"/>
      <c r="H20" s="33"/>
    </row>
    <row r="21" spans="1:8" x14ac:dyDescent="0.3">
      <c r="A21" s="35" t="s">
        <v>27</v>
      </c>
      <c r="B21" s="30"/>
      <c r="C21" s="46" t="s">
        <v>0</v>
      </c>
      <c r="D21" s="39"/>
      <c r="E21" s="43"/>
      <c r="F21" s="39"/>
      <c r="G21" s="43"/>
      <c r="H21" s="30"/>
    </row>
    <row r="22" spans="1:8" x14ac:dyDescent="0.3">
      <c r="A22" s="143" t="s">
        <v>12</v>
      </c>
      <c r="B22" s="30"/>
      <c r="C22" s="41">
        <f ca="1">SUM([0]!Other_SoftSpot)</f>
        <v>0</v>
      </c>
      <c r="D22" s="45"/>
      <c r="E22" s="43"/>
      <c r="F22" s="39"/>
      <c r="G22" s="43"/>
      <c r="H22" s="33"/>
    </row>
    <row r="23" spans="1:8" x14ac:dyDescent="0.3">
      <c r="A23" s="143" t="s">
        <v>13</v>
      </c>
      <c r="B23" s="30"/>
      <c r="C23" s="41">
        <f ca="1">SUM([0]!Other_TopSoil)</f>
        <v>0</v>
      </c>
      <c r="D23" s="45"/>
      <c r="E23" s="43"/>
      <c r="F23" s="39"/>
      <c r="G23" s="43"/>
      <c r="H23" s="33"/>
    </row>
    <row r="24" spans="1:8" x14ac:dyDescent="0.3">
      <c r="A24" s="143" t="s">
        <v>16</v>
      </c>
      <c r="B24" s="30"/>
      <c r="C24" s="41">
        <f ca="1">SUM([0]!Other_Vegetation)</f>
        <v>0</v>
      </c>
      <c r="D24" s="45"/>
      <c r="E24" s="43"/>
      <c r="F24" s="39"/>
      <c r="G24" s="43"/>
      <c r="H24" s="33"/>
    </row>
    <row r="25" spans="1:8" x14ac:dyDescent="0.3">
      <c r="A25" s="143" t="s">
        <v>17</v>
      </c>
      <c r="B25" s="30"/>
      <c r="C25" s="41">
        <f ca="1">SUM([0]!Other_Sodding)</f>
        <v>0</v>
      </c>
      <c r="D25" s="45"/>
      <c r="E25" s="43"/>
      <c r="F25" s="39"/>
      <c r="G25" s="43"/>
      <c r="H25" s="33"/>
    </row>
    <row r="26" spans="1:8" x14ac:dyDescent="0.3">
      <c r="A26" s="143" t="s">
        <v>19</v>
      </c>
      <c r="B26" s="30"/>
      <c r="C26" s="41">
        <f ca="1">SUM([0]!Other_Landsc_Cut)</f>
        <v>0</v>
      </c>
      <c r="D26" s="45"/>
      <c r="E26" s="43"/>
      <c r="F26" s="39"/>
      <c r="G26" s="43"/>
      <c r="H26" s="33"/>
    </row>
    <row r="27" spans="1:8" x14ac:dyDescent="0.3">
      <c r="A27" s="143" t="s">
        <v>28</v>
      </c>
      <c r="B27" s="30"/>
      <c r="C27" s="41">
        <f ca="1">SUM([0]!Other_Landsc_Fill)</f>
        <v>0</v>
      </c>
      <c r="D27" s="45"/>
      <c r="E27" s="43"/>
      <c r="F27" s="39"/>
      <c r="G27" s="43"/>
      <c r="H27" s="33"/>
    </row>
    <row r="28" spans="1:8" x14ac:dyDescent="0.3">
      <c r="A28" s="143" t="s">
        <v>29</v>
      </c>
      <c r="B28" s="30"/>
      <c r="C28" s="41">
        <f ca="1">SUM([0]!Other_SideEdge_Fill)</f>
        <v>0</v>
      </c>
      <c r="D28" s="45"/>
      <c r="E28" s="43"/>
      <c r="F28" s="39"/>
      <c r="G28" s="43"/>
      <c r="H28" s="33"/>
    </row>
    <row r="29" spans="1:8" x14ac:dyDescent="0.3">
      <c r="A29" s="143" t="s">
        <v>30</v>
      </c>
      <c r="B29" s="30"/>
      <c r="C29" s="41">
        <f ca="1">SUM([0]!Other_Rounding_Cut)</f>
        <v>0</v>
      </c>
      <c r="D29" s="45"/>
      <c r="E29" s="43"/>
      <c r="F29" s="39"/>
      <c r="G29" s="43"/>
      <c r="H29" s="33"/>
    </row>
    <row r="30" spans="1:8" x14ac:dyDescent="0.3">
      <c r="A30" s="143" t="s">
        <v>31</v>
      </c>
      <c r="B30" s="30"/>
      <c r="C30" s="41">
        <f ca="1">SUM([0]!Other_Rounding_Fill)</f>
        <v>0</v>
      </c>
      <c r="D30" s="45"/>
      <c r="E30" s="43"/>
      <c r="F30" s="39"/>
      <c r="G30" s="43"/>
      <c r="H30" s="33"/>
    </row>
    <row r="31" spans="1:8" x14ac:dyDescent="0.3">
      <c r="A31" s="40"/>
      <c r="B31" s="30"/>
      <c r="C31" s="41"/>
      <c r="D31" s="45"/>
      <c r="E31" s="43"/>
      <c r="F31" s="39"/>
      <c r="G31" s="43"/>
      <c r="H31" s="33"/>
    </row>
    <row r="32" spans="1:8" x14ac:dyDescent="0.3">
      <c r="A32" s="40"/>
      <c r="B32" s="30"/>
      <c r="C32" s="41"/>
      <c r="D32" s="39"/>
      <c r="E32" s="43"/>
      <c r="F32" s="39"/>
      <c r="G32" s="43"/>
      <c r="H32" s="33"/>
    </row>
    <row r="33" spans="1:8" x14ac:dyDescent="0.3">
      <c r="A33" s="144" t="s">
        <v>37</v>
      </c>
      <c r="B33" s="30"/>
      <c r="C33" s="46" t="s">
        <v>0</v>
      </c>
      <c r="D33" s="39"/>
      <c r="E33" s="43"/>
      <c r="F33" s="39"/>
      <c r="G33" s="43"/>
      <c r="H33" s="30"/>
    </row>
    <row r="34" spans="1:8" x14ac:dyDescent="0.3">
      <c r="A34" s="143" t="s">
        <v>38</v>
      </c>
      <c r="B34" s="30"/>
      <c r="C34" s="41">
        <f ca="1">SUM([0]!IncLev_CD_SoilCut)</f>
        <v>0</v>
      </c>
      <c r="D34" s="45"/>
      <c r="E34" s="43"/>
      <c r="F34" s="39"/>
      <c r="G34" s="43"/>
      <c r="H34" s="33"/>
    </row>
    <row r="35" spans="1:8" x14ac:dyDescent="0.3">
      <c r="A35" s="143" t="s">
        <v>39</v>
      </c>
      <c r="B35" s="30"/>
      <c r="C35" s="41">
        <f ca="1">SUM([0]!IncLev_CD_RockCut)</f>
        <v>0</v>
      </c>
      <c r="D35" s="45"/>
      <c r="E35" s="43"/>
      <c r="F35" s="39"/>
      <c r="G35" s="43"/>
      <c r="H35" s="33"/>
    </row>
    <row r="36" spans="1:8" x14ac:dyDescent="0.3">
      <c r="A36" s="143" t="s">
        <v>40</v>
      </c>
      <c r="B36" s="30"/>
      <c r="C36" s="41">
        <f ca="1">SUM([0]!IncLev_CD_Fill)</f>
        <v>0</v>
      </c>
      <c r="D36" s="45"/>
      <c r="E36" s="43"/>
      <c r="F36" s="39"/>
      <c r="G36" s="43"/>
      <c r="H36" s="33"/>
    </row>
    <row r="37" spans="1:8" x14ac:dyDescent="0.3">
      <c r="A37" s="40"/>
      <c r="B37" s="30"/>
      <c r="C37" s="41"/>
      <c r="D37" s="39"/>
      <c r="E37" s="43"/>
      <c r="F37" s="39"/>
      <c r="G37" s="41"/>
      <c r="H37" s="33"/>
    </row>
    <row r="38" spans="1:8" x14ac:dyDescent="0.3">
      <c r="A38" s="40"/>
      <c r="B38" s="30"/>
      <c r="C38" s="41"/>
      <c r="D38" s="39"/>
      <c r="E38" s="43"/>
      <c r="F38" s="39"/>
      <c r="G38" s="41"/>
      <c r="H38" s="33"/>
    </row>
    <row r="39" spans="1:8" x14ac:dyDescent="0.3">
      <c r="A39" s="144" t="s">
        <v>41</v>
      </c>
      <c r="B39" s="30"/>
      <c r="C39" s="46" t="s">
        <v>0</v>
      </c>
      <c r="D39" s="39"/>
      <c r="E39" s="43"/>
      <c r="F39" s="39"/>
      <c r="G39" s="46" t="s">
        <v>1</v>
      </c>
      <c r="H39" s="30"/>
    </row>
    <row r="40" spans="1:8" x14ac:dyDescent="0.3">
      <c r="A40" s="143" t="s">
        <v>42</v>
      </c>
      <c r="B40" s="30"/>
      <c r="C40" s="41">
        <f ca="1">SUM([0]!ST_Surface_Vol)</f>
        <v>47.483432097395081</v>
      </c>
      <c r="D40" s="43"/>
      <c r="E40" s="39"/>
      <c r="F40" s="43"/>
      <c r="G40" s="41">
        <f ca="1">SUM([0]!ST_Surface_Area)</f>
        <v>729.24936959661318</v>
      </c>
    </row>
    <row r="41" spans="1:8" x14ac:dyDescent="0.3">
      <c r="A41" s="143" t="s">
        <v>43</v>
      </c>
      <c r="B41" s="30"/>
      <c r="C41" s="41">
        <f ca="1">SUM([0]!ST_Binder1_Vol)</f>
        <v>0</v>
      </c>
      <c r="D41" s="43"/>
      <c r="E41" s="39"/>
      <c r="F41" s="43"/>
      <c r="G41" s="41">
        <f ca="1">SUM([0]!ST_Binder1_Area)</f>
        <v>0</v>
      </c>
    </row>
    <row r="42" spans="1:8" x14ac:dyDescent="0.3">
      <c r="A42" s="143" t="s">
        <v>44</v>
      </c>
      <c r="B42" s="30"/>
      <c r="C42" s="41">
        <f ca="1">SUM([0]!ST_Binder2_Vol)</f>
        <v>0</v>
      </c>
      <c r="D42" s="43"/>
      <c r="E42" s="39"/>
      <c r="F42" s="43"/>
      <c r="G42" s="41">
        <f ca="1">SUM([0]!ST_Binder2_Area)</f>
        <v>0</v>
      </c>
    </row>
    <row r="43" spans="1:8" x14ac:dyDescent="0.3">
      <c r="A43" s="143" t="s">
        <v>45</v>
      </c>
      <c r="B43" s="30"/>
      <c r="C43" s="41">
        <f ca="1">SUM([0]!ST_Base1_Vol)</f>
        <v>120.49809487363051</v>
      </c>
      <c r="D43" s="43"/>
      <c r="E43" s="39"/>
      <c r="F43" s="43"/>
      <c r="G43" s="41">
        <f ca="1">SUM([0]!ST_Base1_Area)</f>
        <v>832.29482775814358</v>
      </c>
    </row>
    <row r="44" spans="1:8" x14ac:dyDescent="0.3">
      <c r="A44" s="143" t="s">
        <v>46</v>
      </c>
      <c r="B44" s="30"/>
      <c r="C44" s="41">
        <f ca="1">SUM([0]!ST_Base2_Vol)</f>
        <v>128.25679993816203</v>
      </c>
      <c r="D44" s="43"/>
      <c r="E44" s="39"/>
      <c r="F44" s="43"/>
      <c r="G44" s="41">
        <f ca="1">SUM([0]!ST_Base2_Area)</f>
        <v>825.90358347436018</v>
      </c>
    </row>
    <row r="45" spans="1:8" x14ac:dyDescent="0.3">
      <c r="A45" s="143" t="s">
        <v>47</v>
      </c>
      <c r="B45" s="30"/>
      <c r="C45" s="41">
        <f ca="1">SUM([0]!ST_Base3_Vol)</f>
        <v>0</v>
      </c>
      <c r="D45" s="43"/>
      <c r="E45" s="39"/>
      <c r="F45" s="43"/>
      <c r="G45" s="41">
        <f ca="1">SUM([0]!ST_Base3_Area)</f>
        <v>0</v>
      </c>
    </row>
    <row r="46" spans="1:8" x14ac:dyDescent="0.3">
      <c r="A46" s="143" t="s">
        <v>48</v>
      </c>
      <c r="B46" s="30"/>
      <c r="C46" s="41">
        <f ca="1">SUM([0]!ST_Subbase1_Vol)</f>
        <v>0</v>
      </c>
      <c r="D46" s="43"/>
      <c r="E46" s="39"/>
      <c r="F46" s="43"/>
      <c r="G46" s="41">
        <f ca="1">SUM([0]!ST_Subbase1_Area)</f>
        <v>0</v>
      </c>
    </row>
    <row r="47" spans="1:8" x14ac:dyDescent="0.3">
      <c r="A47" s="143" t="s">
        <v>49</v>
      </c>
      <c r="B47" s="30"/>
      <c r="C47" s="41">
        <f ca="1">SUM([0]!ST_Subbase2_Vol)</f>
        <v>0</v>
      </c>
      <c r="D47" s="43"/>
      <c r="E47" s="39"/>
      <c r="F47" s="43"/>
      <c r="G47" s="41">
        <f ca="1">SUM([0]!ST_Subbase2_Area)</f>
        <v>0</v>
      </c>
    </row>
    <row r="48" spans="1:8" x14ac:dyDescent="0.3">
      <c r="A48" s="143" t="s">
        <v>50</v>
      </c>
      <c r="B48" s="30"/>
      <c r="C48" s="41">
        <f ca="1">SUM([0]!ST_Subbase3_Vol)</f>
        <v>0</v>
      </c>
      <c r="D48" s="43"/>
      <c r="E48" s="39"/>
      <c r="F48" s="43"/>
      <c r="G48" s="41">
        <f ca="1">SUM([0]!ST_Subbase3_Area)</f>
        <v>0</v>
      </c>
    </row>
    <row r="49" spans="1:8" x14ac:dyDescent="0.3">
      <c r="A49" s="143" t="s">
        <v>51</v>
      </c>
      <c r="B49" s="30"/>
      <c r="C49" s="41">
        <f ca="1">SUM([0]!ST_Filter_Vol)</f>
        <v>0.72856003684459114</v>
      </c>
      <c r="D49" s="43"/>
      <c r="E49" s="39"/>
      <c r="F49" s="43"/>
      <c r="G49" s="41">
        <f ca="1">SUM([0]!ST_Filter_Area)</f>
        <v>776.66974839431862</v>
      </c>
    </row>
    <row r="50" spans="1:8" x14ac:dyDescent="0.3">
      <c r="A50" s="40"/>
      <c r="B50" s="30"/>
      <c r="C50" s="41"/>
      <c r="D50" s="39"/>
      <c r="E50" s="43"/>
      <c r="F50" s="39"/>
      <c r="G50" s="41"/>
      <c r="H50" s="33"/>
    </row>
    <row r="51" spans="1:8" x14ac:dyDescent="0.3">
      <c r="A51" s="40"/>
      <c r="B51" s="30"/>
      <c r="C51" s="41"/>
      <c r="D51" s="39"/>
      <c r="E51" s="43"/>
      <c r="F51" s="39"/>
      <c r="G51" s="41"/>
      <c r="H51" s="33"/>
    </row>
    <row r="52" spans="1:8" x14ac:dyDescent="0.3">
      <c r="A52" s="144" t="s">
        <v>52</v>
      </c>
      <c r="B52" s="30"/>
      <c r="C52" s="41"/>
      <c r="D52" s="45"/>
      <c r="E52" s="43"/>
      <c r="F52" s="43"/>
      <c r="G52" s="46" t="s">
        <v>1</v>
      </c>
      <c r="H52" s="30"/>
    </row>
    <row r="53" spans="1:8" x14ac:dyDescent="0.3">
      <c r="A53" s="143" t="s">
        <v>95</v>
      </c>
      <c r="B53" s="30"/>
      <c r="C53" s="41"/>
      <c r="D53" s="45"/>
      <c r="E53" s="43"/>
      <c r="F53" s="43"/>
      <c r="G53" s="41">
        <f ca="1">SUM([0]!Areas_SG0)</f>
        <v>530.30340139106227</v>
      </c>
      <c r="H53" s="30"/>
    </row>
    <row r="54" spans="1:8" x14ac:dyDescent="0.3">
      <c r="A54" s="143" t="s">
        <v>96</v>
      </c>
      <c r="B54" s="30"/>
      <c r="C54" s="41"/>
      <c r="D54" s="45"/>
      <c r="E54" s="43"/>
      <c r="F54" s="43"/>
      <c r="G54" s="41">
        <f ca="1">SUM([0]!Areas_SG1)</f>
        <v>142.39619753101209</v>
      </c>
      <c r="H54" s="7"/>
    </row>
    <row r="55" spans="1:8" x14ac:dyDescent="0.3">
      <c r="A55" s="143" t="s">
        <v>98</v>
      </c>
      <c r="B55" s="31"/>
      <c r="C55" s="41"/>
      <c r="D55" s="45"/>
      <c r="E55" s="43"/>
      <c r="F55" s="43"/>
      <c r="G55" s="41">
        <f ca="1">SUM([0]!Areas_SG2)</f>
        <v>192.20040141000001</v>
      </c>
      <c r="H55" s="7"/>
    </row>
    <row r="56" spans="1:8" x14ac:dyDescent="0.3">
      <c r="A56" s="143" t="s">
        <v>99</v>
      </c>
      <c r="B56" s="31"/>
      <c r="C56" s="41"/>
      <c r="D56" s="45"/>
      <c r="E56" s="43"/>
      <c r="F56" s="43"/>
      <c r="G56" s="41">
        <f ca="1">SUM([0]!Areas_SG3)</f>
        <v>382.41851264947366</v>
      </c>
      <c r="H56" s="7"/>
    </row>
    <row r="57" spans="1:8" x14ac:dyDescent="0.3">
      <c r="A57" s="143" t="s">
        <v>100</v>
      </c>
      <c r="C57" s="41"/>
      <c r="D57" s="45"/>
      <c r="E57" s="43"/>
      <c r="F57" s="43"/>
      <c r="G57" s="41">
        <f ca="1">SUM([0]!Areas_SG4)</f>
        <v>0</v>
      </c>
      <c r="H57" s="7"/>
    </row>
    <row r="58" spans="1:8" x14ac:dyDescent="0.3">
      <c r="A58" s="143" t="s">
        <v>101</v>
      </c>
      <c r="C58" s="41"/>
      <c r="D58" s="45"/>
      <c r="E58" s="43"/>
      <c r="F58" s="43"/>
      <c r="G58" s="41">
        <f ca="1">SUM([0]!Areas_SG5)</f>
        <v>169.76295142329903</v>
      </c>
      <c r="H58" s="7"/>
    </row>
    <row r="59" spans="1:8" x14ac:dyDescent="0.3">
      <c r="A59" s="143" t="s">
        <v>102</v>
      </c>
      <c r="C59" s="41"/>
      <c r="D59" s="45"/>
      <c r="E59" s="43"/>
      <c r="F59" s="43"/>
      <c r="G59" s="41">
        <f ca="1">SUM([0]!Areas_SG6)</f>
        <v>0</v>
      </c>
      <c r="H59" s="7"/>
    </row>
    <row r="60" spans="1:8" x14ac:dyDescent="0.3">
      <c r="A60" s="143" t="s">
        <v>53</v>
      </c>
      <c r="C60" s="41"/>
      <c r="D60" s="45"/>
      <c r="E60" s="43"/>
      <c r="F60" s="43"/>
      <c r="G60" s="41">
        <f ca="1">SUM([0]!Areas_RB_SoilCut)</f>
        <v>7.4734844423693101</v>
      </c>
      <c r="H60" s="7"/>
    </row>
    <row r="61" spans="1:8" x14ac:dyDescent="0.3">
      <c r="A61" s="143" t="s">
        <v>54</v>
      </c>
      <c r="C61" s="41"/>
      <c r="D61" s="45"/>
      <c r="E61" s="43"/>
      <c r="F61" s="43"/>
      <c r="G61" s="41">
        <f ca="1">SUM([0]!Areas_RB_RockCut)</f>
        <v>634.86816687265036</v>
      </c>
      <c r="H61" s="7"/>
    </row>
    <row r="62" spans="1:8" x14ac:dyDescent="0.3">
      <c r="A62" s="143" t="s">
        <v>55</v>
      </c>
      <c r="C62" s="41"/>
      <c r="D62" s="45"/>
      <c r="E62" s="43"/>
      <c r="F62" s="43"/>
      <c r="G62" s="41">
        <f ca="1">SUM([0]!Areas_RB_Fill)</f>
        <v>197.36746539706328</v>
      </c>
      <c r="H62" s="7"/>
    </row>
    <row r="63" spans="1:8" x14ac:dyDescent="0.3">
      <c r="A63" s="143" t="s">
        <v>56</v>
      </c>
      <c r="C63" s="41"/>
      <c r="D63" s="45"/>
      <c r="E63" s="43"/>
      <c r="F63" s="43"/>
      <c r="G63" s="41">
        <f ca="1">SUM([0]!Areas_Rock_trimming)</f>
        <v>700.87877523198415</v>
      </c>
      <c r="H63" s="7"/>
    </row>
    <row r="64" spans="1:8" x14ac:dyDescent="0.3">
      <c r="C64" s="41"/>
      <c r="D64" s="45"/>
      <c r="E64" s="43"/>
      <c r="F64" s="43"/>
      <c r="G64" s="41"/>
      <c r="H64" s="30"/>
    </row>
    <row r="65" spans="1:8" x14ac:dyDescent="0.3">
      <c r="C65" s="41"/>
      <c r="D65" s="45"/>
      <c r="E65" s="43"/>
      <c r="F65" s="43"/>
      <c r="G65" s="41"/>
      <c r="H65" s="30"/>
    </row>
    <row r="66" spans="1:8" x14ac:dyDescent="0.3">
      <c r="A66" s="144" t="s">
        <v>57</v>
      </c>
      <c r="C66" s="41"/>
      <c r="D66" s="45"/>
      <c r="E66" s="43"/>
      <c r="F66" s="43"/>
      <c r="G66" s="46" t="s">
        <v>2</v>
      </c>
      <c r="H66" s="30"/>
    </row>
    <row r="67" spans="1:8" x14ac:dyDescent="0.3">
      <c r="A67" s="143" t="s">
        <v>58</v>
      </c>
      <c r="B67" s="31"/>
      <c r="C67" s="41"/>
      <c r="D67" s="45"/>
      <c r="E67" s="43"/>
      <c r="F67" s="43"/>
      <c r="G67" s="41">
        <f ca="1">SUM([0]!Lengths_SD_Soil)</f>
        <v>0</v>
      </c>
    </row>
    <row r="68" spans="1:8" x14ac:dyDescent="0.3">
      <c r="A68" s="143" t="s">
        <v>59</v>
      </c>
      <c r="B68" s="31"/>
      <c r="C68" s="41"/>
      <c r="D68" s="45"/>
      <c r="E68" s="43"/>
      <c r="F68" s="43"/>
      <c r="G68" s="41">
        <f ca="1">SUM([0]!Lengths_SD_Rock)</f>
        <v>0</v>
      </c>
    </row>
    <row r="69" spans="1:8" x14ac:dyDescent="0.3">
      <c r="A69" s="40"/>
      <c r="B69" s="31"/>
      <c r="C69" s="41"/>
      <c r="D69" s="45"/>
      <c r="E69" s="43"/>
      <c r="F69" s="43"/>
      <c r="G69" s="41"/>
    </row>
    <row r="70" spans="1:8" x14ac:dyDescent="0.3">
      <c r="A70" s="40"/>
      <c r="B70" s="31"/>
      <c r="C70" s="41"/>
      <c r="D70" s="45"/>
      <c r="E70" s="43"/>
      <c r="F70" s="43"/>
      <c r="G70" s="41"/>
    </row>
    <row r="71" spans="1:8" x14ac:dyDescent="0.3">
      <c r="A71" s="35" t="s">
        <v>56</v>
      </c>
      <c r="C71" s="41"/>
      <c r="D71" s="45"/>
      <c r="E71" s="43"/>
      <c r="F71" s="43"/>
      <c r="G71" s="46" t="s">
        <v>1</v>
      </c>
      <c r="H71" s="30"/>
    </row>
    <row r="72" spans="1:8" x14ac:dyDescent="0.3">
      <c r="A72" s="40" t="s">
        <v>65</v>
      </c>
      <c r="B72" s="31"/>
      <c r="C72" s="41"/>
      <c r="D72" s="45"/>
      <c r="E72" s="43"/>
      <c r="F72" s="43"/>
      <c r="G72" s="41">
        <f ca="1">SUM(Flåsprengning!Lengths_SD_Soil)</f>
        <v>700.87877522958286</v>
      </c>
    </row>
    <row r="73" spans="1:8" x14ac:dyDescent="0.3">
      <c r="A73" s="40" t="s">
        <v>68</v>
      </c>
      <c r="B73" s="31"/>
      <c r="C73" s="41"/>
      <c r="D73" s="45"/>
      <c r="E73" s="43"/>
      <c r="F73" s="43"/>
      <c r="G73" s="41">
        <f ca="1">SUM(Flåsprengning!Lengths_SD_Rock)</f>
        <v>482.59760568727205</v>
      </c>
    </row>
    <row r="74" spans="1:8" x14ac:dyDescent="0.3">
      <c r="A74" s="40" t="s">
        <v>69</v>
      </c>
      <c r="B74" s="31"/>
      <c r="C74" s="41"/>
      <c r="D74" s="45"/>
      <c r="E74" s="43"/>
      <c r="F74" s="43"/>
      <c r="G74" s="41">
        <f ca="1">SUM(Flåsprengning!Lengths_CD_Fill)</f>
        <v>832.71064310958263</v>
      </c>
    </row>
    <row r="75" spans="1:8" x14ac:dyDescent="0.3">
      <c r="G75" s="47"/>
    </row>
    <row r="76" spans="1:8" x14ac:dyDescent="0.3">
      <c r="G76" s="47"/>
    </row>
    <row r="77" spans="1:8" x14ac:dyDescent="0.3">
      <c r="G77" s="47"/>
    </row>
    <row r="78" spans="1:8" x14ac:dyDescent="0.3">
      <c r="G78" s="47"/>
    </row>
    <row r="79" spans="1:8" x14ac:dyDescent="0.3">
      <c r="G79" s="47"/>
    </row>
    <row r="80" spans="1:8" x14ac:dyDescent="0.3">
      <c r="G80" s="47"/>
    </row>
    <row r="81" spans="7:7" x14ac:dyDescent="0.3">
      <c r="G81" s="47"/>
    </row>
    <row r="82" spans="7:7" x14ac:dyDescent="0.3">
      <c r="G82" s="47"/>
    </row>
    <row r="83" spans="7:7" x14ac:dyDescent="0.3">
      <c r="G83" s="47"/>
    </row>
    <row r="84" spans="7:7" x14ac:dyDescent="0.3">
      <c r="G84" s="47"/>
    </row>
    <row r="85" spans="7:7" x14ac:dyDescent="0.3">
      <c r="G85" s="47"/>
    </row>
    <row r="86" spans="7:7" x14ac:dyDescent="0.3">
      <c r="G86" s="47"/>
    </row>
    <row r="87" spans="7:7" x14ac:dyDescent="0.3">
      <c r="G87" s="47"/>
    </row>
    <row r="88" spans="7:7" x14ac:dyDescent="0.3">
      <c r="G88" s="47"/>
    </row>
    <row r="89" spans="7:7" x14ac:dyDescent="0.3">
      <c r="G89" s="47"/>
    </row>
    <row r="90" spans="7:7" x14ac:dyDescent="0.3">
      <c r="G90" s="47"/>
    </row>
    <row r="91" spans="7:7" x14ac:dyDescent="0.3">
      <c r="G91" s="47"/>
    </row>
    <row r="92" spans="7:7" x14ac:dyDescent="0.3">
      <c r="G92" s="47"/>
    </row>
    <row r="93" spans="7:7" x14ac:dyDescent="0.3">
      <c r="G93" s="47"/>
    </row>
    <row r="94" spans="7:7" x14ac:dyDescent="0.3">
      <c r="G94" s="47"/>
    </row>
    <row r="95" spans="7:7" x14ac:dyDescent="0.3">
      <c r="G95" s="47"/>
    </row>
  </sheetData>
  <pageMargins left="0.75" right="0.75" top="1" bottom="1" header="0" footer="0"/>
  <pageSetup scale="66" fitToHeight="0" orientation="portrait" r:id="rId1"/>
  <headerFooter alignWithMargins="0"/>
  <colBreaks count="1" manualBreakCount="1">
    <brk id="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3"/>
  <sheetViews>
    <sheetView workbookViewId="0">
      <selection activeCell="A2" sqref="A2"/>
    </sheetView>
  </sheetViews>
  <sheetFormatPr baseColWidth="10" defaultColWidth="11.6328125" defaultRowHeight="12" x14ac:dyDescent="0.3"/>
  <cols>
    <col min="1" max="1" width="15.7265625" style="74" customWidth="1"/>
    <col min="2" max="2" width="12.7265625" style="76" customWidth="1"/>
    <col min="3" max="3" width="12.81640625" style="74" customWidth="1"/>
    <col min="4" max="4" width="12.36328125" style="74" customWidth="1"/>
    <col min="5" max="5" width="11.6328125" style="51" customWidth="1"/>
    <col min="6" max="6" width="12.7265625" style="74" customWidth="1"/>
    <col min="7" max="7" width="13.08984375" style="76" customWidth="1"/>
    <col min="8" max="8" width="11.6328125" style="76" customWidth="1"/>
    <col min="9" max="9" width="11.6328125" style="74" customWidth="1"/>
    <col min="10" max="10" width="11.6328125" style="51" customWidth="1"/>
    <col min="11" max="11" width="13" style="74" customWidth="1"/>
    <col min="12" max="12" width="15.7265625" style="74" customWidth="1"/>
    <col min="13" max="13" width="15.81640625" style="51" bestFit="1" customWidth="1"/>
    <col min="14" max="14" width="1.81640625" style="31" bestFit="1" customWidth="1"/>
    <col min="15" max="15" width="15.26953125" style="51" customWidth="1"/>
    <col min="16" max="16" width="14.6328125" style="51" customWidth="1"/>
    <col min="17" max="17" width="13.7265625" style="51" customWidth="1"/>
    <col min="18" max="18" width="11.6328125" style="51" customWidth="1"/>
    <col min="19" max="19" width="16" style="51" customWidth="1"/>
    <col min="20" max="20" width="11.6328125" style="51" customWidth="1"/>
    <col min="21" max="16384" width="11.6328125" style="51"/>
  </cols>
  <sheetData>
    <row r="1" spans="1:19" ht="45" customHeight="1" x14ac:dyDescent="0.6">
      <c r="A1" s="48"/>
      <c r="B1" s="48"/>
      <c r="C1" s="49"/>
      <c r="D1" s="48"/>
      <c r="E1" s="48"/>
      <c r="F1" s="48"/>
      <c r="G1" s="48"/>
      <c r="H1" s="48"/>
      <c r="I1" s="48"/>
      <c r="J1" s="48"/>
      <c r="K1" s="50"/>
      <c r="L1" s="50"/>
      <c r="N1" s="7"/>
    </row>
    <row r="2" spans="1:19" ht="16.899999999999999" customHeight="1" x14ac:dyDescent="0.4">
      <c r="A2" s="8" t="s">
        <v>6</v>
      </c>
      <c r="B2" s="52"/>
      <c r="C2" s="53"/>
      <c r="D2" s="53"/>
      <c r="E2" s="53"/>
      <c r="F2" s="53"/>
      <c r="G2" s="53"/>
      <c r="H2" s="53"/>
      <c r="I2" s="53"/>
      <c r="J2" s="53"/>
      <c r="K2" s="54"/>
      <c r="L2" s="54"/>
      <c r="N2" s="7"/>
    </row>
    <row r="3" spans="1:19" ht="16.149999999999999" customHeight="1" x14ac:dyDescent="0.35">
      <c r="A3" s="153" t="s">
        <v>32</v>
      </c>
      <c r="B3" s="55"/>
      <c r="C3" s="56"/>
      <c r="D3" s="56"/>
      <c r="E3" s="56"/>
      <c r="F3" s="56"/>
      <c r="G3" s="56"/>
      <c r="H3" s="56"/>
      <c r="I3" s="56"/>
      <c r="J3" s="56"/>
      <c r="K3" s="57"/>
      <c r="L3" s="57"/>
      <c r="N3" s="7"/>
    </row>
    <row r="4" spans="1:19" ht="16.149999999999999" customHeight="1" x14ac:dyDescent="0.35">
      <c r="A4" s="55" t="s">
        <v>8</v>
      </c>
      <c r="B4" s="55" t="str">
        <f>Sammendrag!B4</f>
        <v>Veg 1</v>
      </c>
      <c r="C4" s="56"/>
      <c r="D4" s="56"/>
      <c r="E4" s="56"/>
      <c r="F4" s="56"/>
      <c r="G4" s="56"/>
      <c r="H4" s="56"/>
      <c r="I4" s="56"/>
      <c r="J4" s="56"/>
      <c r="K4" s="57"/>
      <c r="L4" s="57"/>
      <c r="M4" s="132" t="s">
        <v>97</v>
      </c>
      <c r="N4" s="7">
        <v>1</v>
      </c>
    </row>
    <row r="5" spans="1:19" ht="15" customHeight="1" x14ac:dyDescent="0.3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56"/>
      <c r="H5" s="15">
        <f>Sammendrag!H5</f>
        <v>0</v>
      </c>
      <c r="I5" s="56"/>
      <c r="J5" s="56"/>
      <c r="K5" s="56"/>
      <c r="L5" s="56"/>
      <c r="M5" s="132" t="s">
        <v>3</v>
      </c>
      <c r="N5" s="31">
        <v>1</v>
      </c>
    </row>
    <row r="6" spans="1:19" ht="15" customHeight="1" x14ac:dyDescent="0.3">
      <c r="A6" s="56"/>
      <c r="B6" s="56"/>
      <c r="C6" s="56"/>
      <c r="D6" s="56"/>
      <c r="E6" s="56"/>
      <c r="F6" s="56" t="str">
        <f>Sammendrag!F6</f>
        <v>Slutt profil:</v>
      </c>
      <c r="G6" s="56"/>
      <c r="H6" s="15">
        <f>Sammendrag!H6</f>
        <v>382.54</v>
      </c>
      <c r="I6" s="56"/>
      <c r="J6" s="56"/>
      <c r="K6" s="56"/>
      <c r="L6" s="56"/>
      <c r="M6" s="132" t="s">
        <v>4</v>
      </c>
      <c r="N6" s="31">
        <v>1</v>
      </c>
    </row>
    <row r="7" spans="1:19" ht="15" customHeight="1" x14ac:dyDescent="0.3">
      <c r="A7" s="56"/>
      <c r="B7" s="56"/>
      <c r="C7" s="56"/>
      <c r="D7" s="56"/>
      <c r="E7" s="56"/>
      <c r="F7" s="56" t="str">
        <f>Sammendrag!F7</f>
        <v>Dato sist endret:</v>
      </c>
      <c r="G7" s="56"/>
      <c r="H7" s="58" t="str">
        <f>Sammendrag!H7</f>
        <v>5/8/2020 1:04:50 PM</v>
      </c>
      <c r="I7" s="56"/>
      <c r="J7" s="56"/>
      <c r="K7" s="56"/>
      <c r="L7" s="56"/>
      <c r="M7" s="132" t="s">
        <v>5</v>
      </c>
      <c r="N7" s="31">
        <v>1</v>
      </c>
    </row>
    <row r="8" spans="1:1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9" ht="15" customHeight="1" x14ac:dyDescent="0.3">
      <c r="A9" s="44"/>
      <c r="B9" s="44"/>
      <c r="C9" s="44"/>
      <c r="D9" s="19"/>
      <c r="E9" s="44"/>
      <c r="F9" s="44"/>
      <c r="G9" s="19"/>
      <c r="H9" s="19"/>
      <c r="I9" s="19"/>
      <c r="J9" s="19"/>
      <c r="K9" s="19"/>
      <c r="L9" s="19"/>
    </row>
    <row r="10" spans="1:19" ht="15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59"/>
      <c r="L10" s="59"/>
    </row>
    <row r="11" spans="1:19" x14ac:dyDescent="0.3">
      <c r="A11" s="60"/>
      <c r="B11" s="61"/>
      <c r="C11" s="61"/>
      <c r="D11" s="61"/>
      <c r="E11" s="62"/>
      <c r="F11" s="61"/>
      <c r="G11" s="61"/>
      <c r="H11" s="61"/>
      <c r="I11" s="63"/>
      <c r="J11" s="19"/>
      <c r="K11" s="64"/>
      <c r="L11" s="64"/>
      <c r="M11" s="65"/>
    </row>
    <row r="12" spans="1:19" ht="39.65" customHeight="1" thickBot="1" x14ac:dyDescent="0.35">
      <c r="A12" s="66" t="s">
        <v>25</v>
      </c>
      <c r="B12" s="148" t="s">
        <v>71</v>
      </c>
      <c r="C12" s="148" t="s">
        <v>72</v>
      </c>
      <c r="D12" s="148" t="s">
        <v>73</v>
      </c>
      <c r="E12" s="148" t="s">
        <v>74</v>
      </c>
      <c r="F12" s="148" t="s">
        <v>75</v>
      </c>
      <c r="G12" s="148" t="s">
        <v>76</v>
      </c>
      <c r="H12" s="148" t="s">
        <v>77</v>
      </c>
      <c r="I12" s="149" t="s">
        <v>78</v>
      </c>
      <c r="J12" s="19"/>
      <c r="K12" s="154" t="s">
        <v>79</v>
      </c>
      <c r="L12" s="154" t="s">
        <v>80</v>
      </c>
      <c r="M12" s="68"/>
      <c r="N12" s="131"/>
      <c r="O12" s="68"/>
      <c r="P12" s="68"/>
      <c r="Q12" s="68"/>
      <c r="R12" s="68"/>
      <c r="S12" s="68"/>
    </row>
    <row r="13" spans="1:19" ht="16.149999999999999" customHeight="1" thickTop="1" x14ac:dyDescent="0.3">
      <c r="A13" s="69" t="s">
        <v>26</v>
      </c>
      <c r="B13" s="59">
        <f ca="1">SUM([0]!Lev_SoilCut)</f>
        <v>0</v>
      </c>
      <c r="C13" s="70">
        <f ca="1">SUM([0]!Lev_RockCut)</f>
        <v>482.59760568727199</v>
      </c>
      <c r="D13" s="70">
        <f ca="1">SUM([0]!Lev_DeepBlasting)</f>
        <v>0</v>
      </c>
      <c r="E13" s="71">
        <f ca="1">SUM([0]!Lev_Fill)</f>
        <v>82.084395948832807</v>
      </c>
      <c r="F13" s="59">
        <f ca="1">SUM([0]!Lev_P_SoilCut)</f>
        <v>0</v>
      </c>
      <c r="G13" s="70">
        <f ca="1">SUM([0]!Lev_P_RockCut)</f>
        <v>482.59760568727199</v>
      </c>
      <c r="H13" s="70">
        <f ca="1">SUM([0]!Lev_P_DeepBlasting)</f>
        <v>0</v>
      </c>
      <c r="I13" s="71">
        <f ca="1">SUM([0]!Lev_P_Fill)</f>
        <v>82.084395948832807</v>
      </c>
      <c r="J13" s="72"/>
      <c r="K13" s="70">
        <f ca="1">SUM([0]!Mass_Profile)</f>
        <v>400.51320973843912</v>
      </c>
      <c r="L13" s="73"/>
      <c r="M13" s="68"/>
      <c r="N13" s="131"/>
      <c r="O13" s="68"/>
    </row>
    <row r="14" spans="1:19" x14ac:dyDescent="0.3">
      <c r="A14" s="74">
        <v>0</v>
      </c>
      <c r="B14" s="75">
        <v>0</v>
      </c>
      <c r="C14" s="74">
        <v>4.1882422864737796</v>
      </c>
      <c r="D14" s="74">
        <v>0</v>
      </c>
      <c r="E14" s="51">
        <v>0</v>
      </c>
      <c r="F14" s="74">
        <f t="shared" ref="F14:F53" si="0">B14*N$4</f>
        <v>0</v>
      </c>
      <c r="G14" s="76">
        <f t="shared" ref="G14:G53" si="1">C14*N$5</f>
        <v>4.1882422864737796</v>
      </c>
      <c r="H14" s="76">
        <f t="shared" ref="H14:H53" si="2">D14*N$6</f>
        <v>0</v>
      </c>
      <c r="I14" s="74">
        <f t="shared" ref="I14:I53" si="3">E14*N$7</f>
        <v>0</v>
      </c>
      <c r="K14" s="74">
        <f t="shared" ref="K14:K53" si="4">F14+G14+H14-I14</f>
        <v>4.1882422864737796</v>
      </c>
      <c r="L14" s="74">
        <f t="shared" ref="L14:L53" si="5">K14+L13</f>
        <v>4.1882422864737796</v>
      </c>
    </row>
    <row r="15" spans="1:19" x14ac:dyDescent="0.3">
      <c r="A15" s="74">
        <v>10</v>
      </c>
      <c r="B15" s="75">
        <v>0</v>
      </c>
      <c r="C15" s="74">
        <v>8.4486234100400708</v>
      </c>
      <c r="D15" s="74">
        <v>0</v>
      </c>
      <c r="E15" s="51">
        <v>0</v>
      </c>
      <c r="F15" s="74">
        <f t="shared" si="0"/>
        <v>0</v>
      </c>
      <c r="G15" s="76">
        <f t="shared" si="1"/>
        <v>8.4486234100400708</v>
      </c>
      <c r="H15" s="76">
        <f t="shared" si="2"/>
        <v>0</v>
      </c>
      <c r="I15" s="74">
        <f t="shared" si="3"/>
        <v>0</v>
      </c>
      <c r="K15" s="74">
        <f t="shared" si="4"/>
        <v>8.4486234100400708</v>
      </c>
      <c r="L15" s="74">
        <f t="shared" si="5"/>
        <v>12.636865696513851</v>
      </c>
    </row>
    <row r="16" spans="1:19" x14ac:dyDescent="0.3">
      <c r="A16" s="74">
        <v>20</v>
      </c>
      <c r="B16" s="75">
        <v>0</v>
      </c>
      <c r="C16" s="74">
        <v>30.186348463174099</v>
      </c>
      <c r="D16" s="74">
        <v>0</v>
      </c>
      <c r="E16" s="51">
        <v>0</v>
      </c>
      <c r="F16" s="74">
        <f t="shared" si="0"/>
        <v>0</v>
      </c>
      <c r="G16" s="76">
        <f t="shared" si="1"/>
        <v>30.186348463174099</v>
      </c>
      <c r="H16" s="76">
        <f t="shared" si="2"/>
        <v>0</v>
      </c>
      <c r="I16" s="74">
        <f t="shared" si="3"/>
        <v>0</v>
      </c>
      <c r="K16" s="74">
        <f t="shared" si="4"/>
        <v>30.186348463174099</v>
      </c>
      <c r="L16" s="74">
        <f t="shared" si="5"/>
        <v>42.82321415968795</v>
      </c>
    </row>
    <row r="17" spans="1:12" x14ac:dyDescent="0.3">
      <c r="A17" s="74">
        <v>30</v>
      </c>
      <c r="B17" s="75">
        <v>0</v>
      </c>
      <c r="C17" s="74">
        <v>12.1758703951021</v>
      </c>
      <c r="D17" s="74">
        <v>0</v>
      </c>
      <c r="E17" s="51">
        <v>1.93210042570737</v>
      </c>
      <c r="F17" s="74">
        <f t="shared" si="0"/>
        <v>0</v>
      </c>
      <c r="G17" s="76">
        <f t="shared" si="1"/>
        <v>12.1758703951021</v>
      </c>
      <c r="H17" s="76">
        <f t="shared" si="2"/>
        <v>0</v>
      </c>
      <c r="I17" s="74">
        <f t="shared" si="3"/>
        <v>1.93210042570737</v>
      </c>
      <c r="K17" s="74">
        <f t="shared" si="4"/>
        <v>10.24376996939473</v>
      </c>
      <c r="L17" s="74">
        <f t="shared" si="5"/>
        <v>53.066984129082684</v>
      </c>
    </row>
    <row r="18" spans="1:12" x14ac:dyDescent="0.3">
      <c r="A18" s="74">
        <v>40</v>
      </c>
      <c r="B18" s="75">
        <v>0</v>
      </c>
      <c r="C18" s="74">
        <v>6.3516208617843199</v>
      </c>
      <c r="D18" s="74">
        <v>0</v>
      </c>
      <c r="E18" s="51">
        <v>1.93210042570737</v>
      </c>
      <c r="F18" s="74">
        <f t="shared" si="0"/>
        <v>0</v>
      </c>
      <c r="G18" s="76">
        <f t="shared" si="1"/>
        <v>6.3516208617843199</v>
      </c>
      <c r="H18" s="76">
        <f t="shared" si="2"/>
        <v>0</v>
      </c>
      <c r="I18" s="74">
        <f t="shared" si="3"/>
        <v>1.93210042570737</v>
      </c>
      <c r="K18" s="74">
        <f t="shared" si="4"/>
        <v>4.41952043607695</v>
      </c>
      <c r="L18" s="74">
        <f t="shared" si="5"/>
        <v>57.486504565159635</v>
      </c>
    </row>
    <row r="19" spans="1:12" x14ac:dyDescent="0.3">
      <c r="A19" s="74">
        <v>50</v>
      </c>
      <c r="B19" s="75">
        <v>0</v>
      </c>
      <c r="C19" s="74">
        <v>10.380156227049699</v>
      </c>
      <c r="D19" s="74">
        <v>0</v>
      </c>
      <c r="E19" s="51">
        <v>0.16982</v>
      </c>
      <c r="F19" s="74">
        <f t="shared" si="0"/>
        <v>0</v>
      </c>
      <c r="G19" s="76">
        <f t="shared" si="1"/>
        <v>10.380156227049699</v>
      </c>
      <c r="H19" s="76">
        <f t="shared" si="2"/>
        <v>0</v>
      </c>
      <c r="I19" s="74">
        <f t="shared" si="3"/>
        <v>0.16982</v>
      </c>
      <c r="K19" s="74">
        <f t="shared" si="4"/>
        <v>10.2103362270497</v>
      </c>
      <c r="L19" s="74">
        <f t="shared" si="5"/>
        <v>67.696840792209329</v>
      </c>
    </row>
    <row r="20" spans="1:12" x14ac:dyDescent="0.3">
      <c r="A20" s="74">
        <v>60</v>
      </c>
      <c r="B20" s="75">
        <v>0</v>
      </c>
      <c r="C20" s="74">
        <v>13.723626676521301</v>
      </c>
      <c r="D20" s="74">
        <v>0</v>
      </c>
      <c r="E20" s="51">
        <v>0.290437209088662</v>
      </c>
      <c r="F20" s="74">
        <f t="shared" si="0"/>
        <v>0</v>
      </c>
      <c r="G20" s="76">
        <f t="shared" si="1"/>
        <v>13.723626676521301</v>
      </c>
      <c r="H20" s="76">
        <f t="shared" si="2"/>
        <v>0</v>
      </c>
      <c r="I20" s="74">
        <f t="shared" si="3"/>
        <v>0.290437209088662</v>
      </c>
      <c r="K20" s="74">
        <f t="shared" si="4"/>
        <v>13.433189467432639</v>
      </c>
      <c r="L20" s="74">
        <f t="shared" si="5"/>
        <v>81.13003025964197</v>
      </c>
    </row>
    <row r="21" spans="1:12" x14ac:dyDescent="0.3">
      <c r="A21" s="74">
        <v>70</v>
      </c>
      <c r="B21" s="75">
        <v>0</v>
      </c>
      <c r="C21" s="74">
        <v>0.85719864800516998</v>
      </c>
      <c r="D21" s="74">
        <v>0</v>
      </c>
      <c r="E21" s="51">
        <v>14.301676279496</v>
      </c>
      <c r="F21" s="74">
        <f t="shared" si="0"/>
        <v>0</v>
      </c>
      <c r="G21" s="76">
        <f t="shared" si="1"/>
        <v>0.85719864800516998</v>
      </c>
      <c r="H21" s="76">
        <f t="shared" si="2"/>
        <v>0</v>
      </c>
      <c r="I21" s="74">
        <f t="shared" si="3"/>
        <v>14.301676279496</v>
      </c>
      <c r="K21" s="74">
        <f t="shared" si="4"/>
        <v>-13.44447763149083</v>
      </c>
      <c r="L21" s="74">
        <f t="shared" si="5"/>
        <v>67.685552628151143</v>
      </c>
    </row>
    <row r="22" spans="1:12" x14ac:dyDescent="0.3">
      <c r="A22" s="74">
        <v>80</v>
      </c>
      <c r="B22" s="75">
        <v>0</v>
      </c>
      <c r="C22" s="74">
        <v>0</v>
      </c>
      <c r="D22" s="74">
        <v>0</v>
      </c>
      <c r="E22" s="51">
        <v>11.0726680257825</v>
      </c>
      <c r="F22" s="74">
        <f t="shared" si="0"/>
        <v>0</v>
      </c>
      <c r="G22" s="76">
        <f t="shared" si="1"/>
        <v>0</v>
      </c>
      <c r="H22" s="76">
        <f t="shared" si="2"/>
        <v>0</v>
      </c>
      <c r="I22" s="74">
        <f t="shared" si="3"/>
        <v>11.0726680257825</v>
      </c>
      <c r="K22" s="74">
        <f t="shared" si="4"/>
        <v>-11.0726680257825</v>
      </c>
      <c r="L22" s="74">
        <f t="shared" si="5"/>
        <v>56.612884602368645</v>
      </c>
    </row>
    <row r="23" spans="1:12" x14ac:dyDescent="0.3">
      <c r="A23" s="74">
        <v>90</v>
      </c>
      <c r="B23" s="75">
        <v>0</v>
      </c>
      <c r="C23" s="74">
        <v>8.9705810292651496</v>
      </c>
      <c r="D23" s="74">
        <v>0</v>
      </c>
      <c r="E23" s="51">
        <v>0</v>
      </c>
      <c r="F23" s="74">
        <f t="shared" si="0"/>
        <v>0</v>
      </c>
      <c r="G23" s="76">
        <f t="shared" si="1"/>
        <v>8.9705810292651496</v>
      </c>
      <c r="H23" s="76">
        <f t="shared" si="2"/>
        <v>0</v>
      </c>
      <c r="I23" s="74">
        <f t="shared" si="3"/>
        <v>0</v>
      </c>
      <c r="K23" s="74">
        <f t="shared" si="4"/>
        <v>8.9705810292651496</v>
      </c>
      <c r="L23" s="74">
        <f t="shared" si="5"/>
        <v>65.5834656316338</v>
      </c>
    </row>
    <row r="24" spans="1:12" x14ac:dyDescent="0.3">
      <c r="A24" s="74">
        <v>100</v>
      </c>
      <c r="B24" s="75">
        <v>0</v>
      </c>
      <c r="C24" s="74">
        <v>10.5065317477546</v>
      </c>
      <c r="D24" s="74">
        <v>0</v>
      </c>
      <c r="E24" s="51">
        <v>1.57831875804446</v>
      </c>
      <c r="F24" s="74">
        <f t="shared" si="0"/>
        <v>0</v>
      </c>
      <c r="G24" s="76">
        <f t="shared" si="1"/>
        <v>10.5065317477546</v>
      </c>
      <c r="H24" s="76">
        <f t="shared" si="2"/>
        <v>0</v>
      </c>
      <c r="I24" s="74">
        <f t="shared" si="3"/>
        <v>1.57831875804446</v>
      </c>
      <c r="K24" s="74">
        <f t="shared" si="4"/>
        <v>8.9282129897101399</v>
      </c>
      <c r="L24" s="74">
        <f t="shared" si="5"/>
        <v>74.511678621343947</v>
      </c>
    </row>
    <row r="25" spans="1:12" x14ac:dyDescent="0.3">
      <c r="A25" s="74">
        <v>110</v>
      </c>
      <c r="B25" s="75">
        <v>0</v>
      </c>
      <c r="C25" s="74">
        <v>6.8005457876890398</v>
      </c>
      <c r="D25" s="74">
        <v>0</v>
      </c>
      <c r="E25" s="51">
        <v>2.4207442334082399</v>
      </c>
      <c r="F25" s="74">
        <f t="shared" si="0"/>
        <v>0</v>
      </c>
      <c r="G25" s="76">
        <f t="shared" si="1"/>
        <v>6.8005457876890398</v>
      </c>
      <c r="H25" s="76">
        <f t="shared" si="2"/>
        <v>0</v>
      </c>
      <c r="I25" s="74">
        <f t="shared" si="3"/>
        <v>2.4207442334082399</v>
      </c>
      <c r="K25" s="74">
        <f t="shared" si="4"/>
        <v>4.3798015542807995</v>
      </c>
      <c r="L25" s="74">
        <f t="shared" si="5"/>
        <v>78.89148017562475</v>
      </c>
    </row>
    <row r="26" spans="1:12" x14ac:dyDescent="0.3">
      <c r="A26" s="74">
        <v>120</v>
      </c>
      <c r="B26" s="75">
        <v>0</v>
      </c>
      <c r="C26" s="74">
        <v>56.207572357321901</v>
      </c>
      <c r="D26" s="74">
        <v>0</v>
      </c>
      <c r="E26" s="51">
        <v>0</v>
      </c>
      <c r="F26" s="74">
        <f t="shared" si="0"/>
        <v>0</v>
      </c>
      <c r="G26" s="76">
        <f t="shared" si="1"/>
        <v>56.207572357321901</v>
      </c>
      <c r="H26" s="76">
        <f t="shared" si="2"/>
        <v>0</v>
      </c>
      <c r="I26" s="74">
        <f t="shared" si="3"/>
        <v>0</v>
      </c>
      <c r="K26" s="74">
        <f t="shared" si="4"/>
        <v>56.207572357321901</v>
      </c>
      <c r="L26" s="74">
        <f t="shared" si="5"/>
        <v>135.09905253294664</v>
      </c>
    </row>
    <row r="27" spans="1:12" x14ac:dyDescent="0.3">
      <c r="A27" s="74">
        <v>130</v>
      </c>
      <c r="B27" s="75">
        <v>0</v>
      </c>
      <c r="C27" s="74">
        <v>102.72728681827699</v>
      </c>
      <c r="D27" s="74">
        <v>0</v>
      </c>
      <c r="E27" s="51">
        <v>0</v>
      </c>
      <c r="F27" s="74">
        <f t="shared" si="0"/>
        <v>0</v>
      </c>
      <c r="G27" s="76">
        <f t="shared" si="1"/>
        <v>102.72728681827699</v>
      </c>
      <c r="H27" s="76">
        <f t="shared" si="2"/>
        <v>0</v>
      </c>
      <c r="I27" s="74">
        <f t="shared" si="3"/>
        <v>0</v>
      </c>
      <c r="K27" s="74">
        <f t="shared" si="4"/>
        <v>102.72728681827699</v>
      </c>
      <c r="L27" s="74">
        <f t="shared" si="5"/>
        <v>237.82633935122362</v>
      </c>
    </row>
    <row r="28" spans="1:12" x14ac:dyDescent="0.3">
      <c r="A28" s="74">
        <v>140</v>
      </c>
      <c r="B28" s="75">
        <v>0</v>
      </c>
      <c r="C28" s="74">
        <v>61.540403187377102</v>
      </c>
      <c r="D28" s="74">
        <v>0</v>
      </c>
      <c r="E28" s="51">
        <v>0</v>
      </c>
      <c r="F28" s="74">
        <f t="shared" si="0"/>
        <v>0</v>
      </c>
      <c r="G28" s="76">
        <f t="shared" si="1"/>
        <v>61.540403187377102</v>
      </c>
      <c r="H28" s="76">
        <f t="shared" si="2"/>
        <v>0</v>
      </c>
      <c r="I28" s="74">
        <f t="shared" si="3"/>
        <v>0</v>
      </c>
      <c r="K28" s="74">
        <f t="shared" si="4"/>
        <v>61.540403187377102</v>
      </c>
      <c r="L28" s="74">
        <f t="shared" si="5"/>
        <v>299.3667425386007</v>
      </c>
    </row>
    <row r="29" spans="1:12" x14ac:dyDescent="0.3">
      <c r="A29" s="74">
        <v>150</v>
      </c>
      <c r="B29" s="75">
        <v>0</v>
      </c>
      <c r="C29" s="74">
        <v>23.497440060955501</v>
      </c>
      <c r="D29" s="74">
        <v>0</v>
      </c>
      <c r="E29" s="51">
        <v>0</v>
      </c>
      <c r="F29" s="74">
        <f t="shared" si="0"/>
        <v>0</v>
      </c>
      <c r="G29" s="76">
        <f t="shared" si="1"/>
        <v>23.497440060955501</v>
      </c>
      <c r="H29" s="76">
        <f t="shared" si="2"/>
        <v>0</v>
      </c>
      <c r="I29" s="74">
        <f t="shared" si="3"/>
        <v>0</v>
      </c>
      <c r="K29" s="74">
        <f t="shared" si="4"/>
        <v>23.497440060955501</v>
      </c>
      <c r="L29" s="74">
        <f t="shared" si="5"/>
        <v>322.86418259955622</v>
      </c>
    </row>
    <row r="30" spans="1:12" x14ac:dyDescent="0.3">
      <c r="A30" s="74">
        <v>160</v>
      </c>
      <c r="B30" s="75">
        <v>0</v>
      </c>
      <c r="C30" s="74">
        <v>9.2135548100688691</v>
      </c>
      <c r="D30" s="74">
        <v>0</v>
      </c>
      <c r="E30" s="51">
        <v>0</v>
      </c>
      <c r="F30" s="74">
        <f t="shared" si="0"/>
        <v>0</v>
      </c>
      <c r="G30" s="76">
        <f t="shared" si="1"/>
        <v>9.2135548100688691</v>
      </c>
      <c r="H30" s="76">
        <f t="shared" si="2"/>
        <v>0</v>
      </c>
      <c r="I30" s="74">
        <f t="shared" si="3"/>
        <v>0</v>
      </c>
      <c r="K30" s="74">
        <f t="shared" si="4"/>
        <v>9.2135548100688691</v>
      </c>
      <c r="L30" s="74">
        <f t="shared" si="5"/>
        <v>332.07773740962506</v>
      </c>
    </row>
    <row r="31" spans="1:12" x14ac:dyDescent="0.3">
      <c r="A31" s="74">
        <v>170</v>
      </c>
      <c r="B31" s="75">
        <v>0</v>
      </c>
      <c r="C31" s="74">
        <v>1.8371893187344199</v>
      </c>
      <c r="D31" s="74">
        <v>0</v>
      </c>
      <c r="E31" s="51">
        <v>0.70411638743514804</v>
      </c>
      <c r="F31" s="74">
        <f t="shared" si="0"/>
        <v>0</v>
      </c>
      <c r="G31" s="76">
        <f t="shared" si="1"/>
        <v>1.8371893187344199</v>
      </c>
      <c r="H31" s="76">
        <f t="shared" si="2"/>
        <v>0</v>
      </c>
      <c r="I31" s="74">
        <f t="shared" si="3"/>
        <v>0.70411638743514804</v>
      </c>
      <c r="K31" s="74">
        <f t="shared" si="4"/>
        <v>1.1330729312992718</v>
      </c>
      <c r="L31" s="74">
        <f t="shared" si="5"/>
        <v>333.21081034092435</v>
      </c>
    </row>
    <row r="32" spans="1:12" x14ac:dyDescent="0.3">
      <c r="A32" s="74">
        <v>180</v>
      </c>
      <c r="B32" s="75">
        <v>0</v>
      </c>
      <c r="C32" s="74">
        <v>0</v>
      </c>
      <c r="D32" s="74">
        <v>0</v>
      </c>
      <c r="E32" s="51">
        <v>9.0217509565646505</v>
      </c>
      <c r="F32" s="74">
        <f t="shared" si="0"/>
        <v>0</v>
      </c>
      <c r="G32" s="76">
        <f t="shared" si="1"/>
        <v>0</v>
      </c>
      <c r="H32" s="76">
        <f t="shared" si="2"/>
        <v>0</v>
      </c>
      <c r="I32" s="74">
        <f t="shared" si="3"/>
        <v>9.0217509565646505</v>
      </c>
      <c r="K32" s="74">
        <f t="shared" si="4"/>
        <v>-9.0217509565646505</v>
      </c>
      <c r="L32" s="74">
        <f t="shared" si="5"/>
        <v>324.18905938435972</v>
      </c>
    </row>
    <row r="33" spans="1:12" x14ac:dyDescent="0.3">
      <c r="A33" s="74">
        <v>190</v>
      </c>
      <c r="B33" s="75">
        <v>0</v>
      </c>
      <c r="C33" s="74">
        <v>0</v>
      </c>
      <c r="D33" s="74">
        <v>0</v>
      </c>
      <c r="E33" s="51">
        <v>9.7953776035480207</v>
      </c>
      <c r="F33" s="74">
        <f t="shared" si="0"/>
        <v>0</v>
      </c>
      <c r="G33" s="76">
        <f t="shared" si="1"/>
        <v>0</v>
      </c>
      <c r="H33" s="76">
        <f t="shared" si="2"/>
        <v>0</v>
      </c>
      <c r="I33" s="74">
        <f t="shared" si="3"/>
        <v>9.7953776035480207</v>
      </c>
      <c r="K33" s="74">
        <f t="shared" si="4"/>
        <v>-9.7953776035480207</v>
      </c>
      <c r="L33" s="74">
        <f t="shared" si="5"/>
        <v>314.39368178081168</v>
      </c>
    </row>
    <row r="34" spans="1:12" x14ac:dyDescent="0.3">
      <c r="A34" s="74">
        <v>200</v>
      </c>
      <c r="B34" s="75">
        <v>0</v>
      </c>
      <c r="C34" s="74">
        <v>0</v>
      </c>
      <c r="D34" s="74">
        <v>0</v>
      </c>
      <c r="E34" s="51">
        <v>2.8200313966563901</v>
      </c>
      <c r="F34" s="74">
        <f t="shared" si="0"/>
        <v>0</v>
      </c>
      <c r="G34" s="76">
        <f t="shared" si="1"/>
        <v>0</v>
      </c>
      <c r="H34" s="76">
        <f t="shared" si="2"/>
        <v>0</v>
      </c>
      <c r="I34" s="74">
        <f t="shared" si="3"/>
        <v>2.8200313966563901</v>
      </c>
      <c r="K34" s="74">
        <f t="shared" si="4"/>
        <v>-2.8200313966563901</v>
      </c>
      <c r="L34" s="74">
        <f t="shared" si="5"/>
        <v>311.57365038415526</v>
      </c>
    </row>
    <row r="35" spans="1:12" x14ac:dyDescent="0.3">
      <c r="A35" s="74">
        <v>210</v>
      </c>
      <c r="B35" s="75">
        <v>0</v>
      </c>
      <c r="C35" s="74">
        <v>3.27585370311184</v>
      </c>
      <c r="D35" s="74">
        <v>0</v>
      </c>
      <c r="E35" s="51">
        <v>1.3985532052599701E-2</v>
      </c>
      <c r="F35" s="74">
        <f t="shared" si="0"/>
        <v>0</v>
      </c>
      <c r="G35" s="76">
        <f t="shared" si="1"/>
        <v>3.27585370311184</v>
      </c>
      <c r="H35" s="76">
        <f t="shared" si="2"/>
        <v>0</v>
      </c>
      <c r="I35" s="74">
        <f t="shared" si="3"/>
        <v>1.3985532052599701E-2</v>
      </c>
      <c r="K35" s="74">
        <f t="shared" si="4"/>
        <v>3.2618681710592403</v>
      </c>
      <c r="L35" s="74">
        <f t="shared" si="5"/>
        <v>314.83551855521449</v>
      </c>
    </row>
    <row r="36" spans="1:12" x14ac:dyDescent="0.3">
      <c r="A36" s="74">
        <v>220</v>
      </c>
      <c r="B36" s="75">
        <v>0</v>
      </c>
      <c r="C36" s="74">
        <v>2.7172335552411502</v>
      </c>
      <c r="D36" s="74">
        <v>0</v>
      </c>
      <c r="E36" s="51">
        <v>2.44558427043438</v>
      </c>
      <c r="F36" s="74">
        <f t="shared" si="0"/>
        <v>0</v>
      </c>
      <c r="G36" s="76">
        <f t="shared" si="1"/>
        <v>2.7172335552411502</v>
      </c>
      <c r="H36" s="76">
        <f t="shared" si="2"/>
        <v>0</v>
      </c>
      <c r="I36" s="74">
        <f t="shared" si="3"/>
        <v>2.44558427043438</v>
      </c>
      <c r="K36" s="74">
        <f t="shared" si="4"/>
        <v>0.2716492848067702</v>
      </c>
      <c r="L36" s="74">
        <f t="shared" si="5"/>
        <v>315.10716784002125</v>
      </c>
    </row>
    <row r="37" spans="1:12" x14ac:dyDescent="0.3">
      <c r="A37" s="74">
        <v>230</v>
      </c>
      <c r="B37" s="75">
        <v>0</v>
      </c>
      <c r="C37" s="74">
        <v>0</v>
      </c>
      <c r="D37" s="74">
        <v>0</v>
      </c>
      <c r="E37" s="51">
        <v>13.2975893954291</v>
      </c>
      <c r="F37" s="74">
        <f t="shared" si="0"/>
        <v>0</v>
      </c>
      <c r="G37" s="76">
        <f t="shared" si="1"/>
        <v>0</v>
      </c>
      <c r="H37" s="76">
        <f t="shared" si="2"/>
        <v>0</v>
      </c>
      <c r="I37" s="74">
        <f t="shared" si="3"/>
        <v>13.2975893954291</v>
      </c>
      <c r="K37" s="74">
        <f t="shared" si="4"/>
        <v>-13.2975893954291</v>
      </c>
      <c r="L37" s="74">
        <f t="shared" si="5"/>
        <v>301.80957844459215</v>
      </c>
    </row>
    <row r="38" spans="1:12" x14ac:dyDescent="0.3">
      <c r="A38" s="74">
        <v>240</v>
      </c>
      <c r="B38" s="75">
        <v>0</v>
      </c>
      <c r="C38" s="74">
        <v>0</v>
      </c>
      <c r="D38" s="74">
        <v>0</v>
      </c>
      <c r="E38" s="51">
        <v>8.9060988398613894</v>
      </c>
      <c r="F38" s="74">
        <f t="shared" si="0"/>
        <v>0</v>
      </c>
      <c r="G38" s="76">
        <f t="shared" si="1"/>
        <v>0</v>
      </c>
      <c r="H38" s="76">
        <f t="shared" si="2"/>
        <v>0</v>
      </c>
      <c r="I38" s="74">
        <f t="shared" si="3"/>
        <v>8.9060988398613894</v>
      </c>
      <c r="K38" s="74">
        <f t="shared" si="4"/>
        <v>-8.9060988398613894</v>
      </c>
      <c r="L38" s="74">
        <f t="shared" si="5"/>
        <v>292.90347960473076</v>
      </c>
    </row>
    <row r="39" spans="1:12" x14ac:dyDescent="0.3">
      <c r="A39" s="74">
        <v>250</v>
      </c>
      <c r="B39" s="75">
        <v>0</v>
      </c>
      <c r="C39" s="74">
        <v>0.57273219150601795</v>
      </c>
      <c r="D39" s="74">
        <v>0</v>
      </c>
      <c r="E39" s="51">
        <v>1.3819962096165299</v>
      </c>
      <c r="F39" s="74">
        <f t="shared" si="0"/>
        <v>0</v>
      </c>
      <c r="G39" s="76">
        <f t="shared" si="1"/>
        <v>0.57273219150601795</v>
      </c>
      <c r="H39" s="76">
        <f t="shared" si="2"/>
        <v>0</v>
      </c>
      <c r="I39" s="74">
        <f t="shared" si="3"/>
        <v>1.3819962096165299</v>
      </c>
      <c r="K39" s="74">
        <f t="shared" si="4"/>
        <v>-0.80926401811051196</v>
      </c>
      <c r="L39" s="74">
        <f t="shared" si="5"/>
        <v>292.09421558662024</v>
      </c>
    </row>
    <row r="40" spans="1:12" x14ac:dyDescent="0.3">
      <c r="A40" s="74">
        <v>260</v>
      </c>
      <c r="B40" s="75">
        <v>0</v>
      </c>
      <c r="C40" s="74">
        <v>6.3262611142090499</v>
      </c>
      <c r="D40" s="74">
        <v>0</v>
      </c>
      <c r="E40" s="51">
        <v>0</v>
      </c>
      <c r="F40" s="74">
        <f t="shared" si="0"/>
        <v>0</v>
      </c>
      <c r="G40" s="76">
        <f t="shared" si="1"/>
        <v>6.3262611142090499</v>
      </c>
      <c r="H40" s="76">
        <f t="shared" si="2"/>
        <v>0</v>
      </c>
      <c r="I40" s="74">
        <f t="shared" si="3"/>
        <v>0</v>
      </c>
      <c r="K40" s="74">
        <f t="shared" si="4"/>
        <v>6.3262611142090499</v>
      </c>
      <c r="L40" s="74">
        <f t="shared" si="5"/>
        <v>298.42047670082928</v>
      </c>
    </row>
    <row r="41" spans="1:12" x14ac:dyDescent="0.3">
      <c r="A41" s="74">
        <v>270</v>
      </c>
      <c r="B41" s="75">
        <v>0</v>
      </c>
      <c r="C41" s="74">
        <v>12.2775552719175</v>
      </c>
      <c r="D41" s="74">
        <v>0</v>
      </c>
      <c r="E41" s="51">
        <v>0</v>
      </c>
      <c r="F41" s="74">
        <f t="shared" si="0"/>
        <v>0</v>
      </c>
      <c r="G41" s="76">
        <f t="shared" si="1"/>
        <v>12.2775552719175</v>
      </c>
      <c r="H41" s="76">
        <f t="shared" si="2"/>
        <v>0</v>
      </c>
      <c r="I41" s="74">
        <f t="shared" si="3"/>
        <v>0</v>
      </c>
      <c r="K41" s="74">
        <f t="shared" si="4"/>
        <v>12.2775552719175</v>
      </c>
      <c r="L41" s="74">
        <f t="shared" si="5"/>
        <v>310.69803197274678</v>
      </c>
    </row>
    <row r="42" spans="1:12" x14ac:dyDescent="0.3">
      <c r="A42" s="74">
        <v>280</v>
      </c>
      <c r="B42" s="75">
        <v>0</v>
      </c>
      <c r="C42" s="74">
        <v>12.6098797687575</v>
      </c>
      <c r="D42" s="74">
        <v>0</v>
      </c>
      <c r="E42" s="51">
        <v>0</v>
      </c>
      <c r="F42" s="74">
        <f t="shared" si="0"/>
        <v>0</v>
      </c>
      <c r="G42" s="76">
        <f t="shared" si="1"/>
        <v>12.6098797687575</v>
      </c>
      <c r="H42" s="76">
        <f t="shared" si="2"/>
        <v>0</v>
      </c>
      <c r="I42" s="74">
        <f t="shared" si="3"/>
        <v>0</v>
      </c>
      <c r="K42" s="74">
        <f t="shared" si="4"/>
        <v>12.6098797687575</v>
      </c>
      <c r="L42" s="74">
        <f t="shared" si="5"/>
        <v>323.30791174150426</v>
      </c>
    </row>
    <row r="43" spans="1:12" x14ac:dyDescent="0.3">
      <c r="A43" s="74">
        <v>290</v>
      </c>
      <c r="B43" s="75">
        <v>0</v>
      </c>
      <c r="C43" s="74">
        <v>7.39989545120745</v>
      </c>
      <c r="D43" s="74">
        <v>0</v>
      </c>
      <c r="E43" s="51">
        <v>0</v>
      </c>
      <c r="F43" s="74">
        <f t="shared" si="0"/>
        <v>0</v>
      </c>
      <c r="G43" s="76">
        <f t="shared" si="1"/>
        <v>7.39989545120745</v>
      </c>
      <c r="H43" s="76">
        <f t="shared" si="2"/>
        <v>0</v>
      </c>
      <c r="I43" s="74">
        <f t="shared" si="3"/>
        <v>0</v>
      </c>
      <c r="K43" s="74">
        <f t="shared" si="4"/>
        <v>7.39989545120745</v>
      </c>
      <c r="L43" s="74">
        <f t="shared" si="5"/>
        <v>330.7078071927117</v>
      </c>
    </row>
    <row r="44" spans="1:12" x14ac:dyDescent="0.3">
      <c r="A44" s="74">
        <v>300</v>
      </c>
      <c r="B44" s="75">
        <v>0</v>
      </c>
      <c r="C44" s="74">
        <v>5.3970317229011204</v>
      </c>
      <c r="D44" s="74">
        <v>0</v>
      </c>
      <c r="E44" s="51">
        <v>0</v>
      </c>
      <c r="F44" s="74">
        <f t="shared" si="0"/>
        <v>0</v>
      </c>
      <c r="G44" s="76">
        <f t="shared" si="1"/>
        <v>5.3970317229011204</v>
      </c>
      <c r="H44" s="76">
        <f t="shared" si="2"/>
        <v>0</v>
      </c>
      <c r="I44" s="74">
        <f t="shared" si="3"/>
        <v>0</v>
      </c>
      <c r="K44" s="74">
        <f t="shared" si="4"/>
        <v>5.3970317229011204</v>
      </c>
      <c r="L44" s="74">
        <f t="shared" si="5"/>
        <v>336.10483891561285</v>
      </c>
    </row>
    <row r="45" spans="1:12" x14ac:dyDescent="0.3">
      <c r="A45" s="74">
        <v>310</v>
      </c>
      <c r="B45" s="75">
        <v>0</v>
      </c>
      <c r="C45" s="74">
        <v>4.2320376193435996</v>
      </c>
      <c r="D45" s="74">
        <v>0</v>
      </c>
      <c r="E45" s="51">
        <v>0</v>
      </c>
      <c r="F45" s="74">
        <f t="shared" si="0"/>
        <v>0</v>
      </c>
      <c r="G45" s="76">
        <f t="shared" si="1"/>
        <v>4.2320376193435996</v>
      </c>
      <c r="H45" s="76">
        <f t="shared" si="2"/>
        <v>0</v>
      </c>
      <c r="I45" s="74">
        <f t="shared" si="3"/>
        <v>0</v>
      </c>
      <c r="K45" s="74">
        <f t="shared" si="4"/>
        <v>4.2320376193435996</v>
      </c>
      <c r="L45" s="74">
        <f t="shared" si="5"/>
        <v>340.33687653495645</v>
      </c>
    </row>
    <row r="46" spans="1:12" x14ac:dyDescent="0.3">
      <c r="A46" s="74">
        <v>320</v>
      </c>
      <c r="B46" s="75">
        <v>0</v>
      </c>
      <c r="C46" s="74">
        <v>7.52615521536495</v>
      </c>
      <c r="D46" s="74">
        <v>0</v>
      </c>
      <c r="E46" s="51">
        <v>0</v>
      </c>
      <c r="F46" s="74">
        <f t="shared" si="0"/>
        <v>0</v>
      </c>
      <c r="G46" s="76">
        <f t="shared" si="1"/>
        <v>7.52615521536495</v>
      </c>
      <c r="H46" s="76">
        <f t="shared" si="2"/>
        <v>0</v>
      </c>
      <c r="I46" s="74">
        <f t="shared" si="3"/>
        <v>0</v>
      </c>
      <c r="K46" s="74">
        <f t="shared" si="4"/>
        <v>7.52615521536495</v>
      </c>
      <c r="L46" s="74">
        <f t="shared" si="5"/>
        <v>347.8630317503214</v>
      </c>
    </row>
    <row r="47" spans="1:12" x14ac:dyDescent="0.3">
      <c r="A47" s="74">
        <v>330</v>
      </c>
      <c r="B47" s="75">
        <v>0</v>
      </c>
      <c r="C47" s="74">
        <v>8.5746667826027192</v>
      </c>
      <c r="D47" s="74">
        <v>0</v>
      </c>
      <c r="E47" s="51">
        <v>0</v>
      </c>
      <c r="F47" s="74">
        <f t="shared" si="0"/>
        <v>0</v>
      </c>
      <c r="G47" s="76">
        <f t="shared" si="1"/>
        <v>8.5746667826027192</v>
      </c>
      <c r="H47" s="76">
        <f t="shared" si="2"/>
        <v>0</v>
      </c>
      <c r="I47" s="74">
        <f t="shared" si="3"/>
        <v>0</v>
      </c>
      <c r="K47" s="74">
        <f t="shared" si="4"/>
        <v>8.5746667826027192</v>
      </c>
      <c r="L47" s="74">
        <f t="shared" si="5"/>
        <v>356.43769853292412</v>
      </c>
    </row>
    <row r="48" spans="1:12" x14ac:dyDescent="0.3">
      <c r="A48" s="74">
        <v>340</v>
      </c>
      <c r="B48" s="75">
        <v>0</v>
      </c>
      <c r="C48" s="74">
        <v>8.0658318817761696</v>
      </c>
      <c r="D48" s="74">
        <v>0</v>
      </c>
      <c r="E48" s="51">
        <v>0</v>
      </c>
      <c r="F48" s="74">
        <f t="shared" si="0"/>
        <v>0</v>
      </c>
      <c r="G48" s="76">
        <f t="shared" si="1"/>
        <v>8.0658318817761696</v>
      </c>
      <c r="H48" s="76">
        <f t="shared" si="2"/>
        <v>0</v>
      </c>
      <c r="I48" s="74">
        <f t="shared" si="3"/>
        <v>0</v>
      </c>
      <c r="K48" s="74">
        <f t="shared" si="4"/>
        <v>8.0658318817761696</v>
      </c>
      <c r="L48" s="74">
        <f t="shared" si="5"/>
        <v>364.50353041470026</v>
      </c>
    </row>
    <row r="49" spans="1:12" x14ac:dyDescent="0.3">
      <c r="A49" s="74">
        <v>350</v>
      </c>
      <c r="B49" s="75">
        <v>0</v>
      </c>
      <c r="C49" s="74">
        <v>8.6377169924685404</v>
      </c>
      <c r="D49" s="74">
        <v>0</v>
      </c>
      <c r="E49" s="51">
        <v>0</v>
      </c>
      <c r="F49" s="74">
        <f t="shared" si="0"/>
        <v>0</v>
      </c>
      <c r="G49" s="76">
        <f t="shared" si="1"/>
        <v>8.6377169924685404</v>
      </c>
      <c r="H49" s="76">
        <f t="shared" si="2"/>
        <v>0</v>
      </c>
      <c r="I49" s="74">
        <f t="shared" si="3"/>
        <v>0</v>
      </c>
      <c r="K49" s="74">
        <f t="shared" si="4"/>
        <v>8.6377169924685404</v>
      </c>
      <c r="L49" s="74">
        <f t="shared" si="5"/>
        <v>373.14124740716881</v>
      </c>
    </row>
    <row r="50" spans="1:12" x14ac:dyDescent="0.3">
      <c r="A50" s="74">
        <v>360</v>
      </c>
      <c r="B50" s="75">
        <v>0</v>
      </c>
      <c r="C50" s="74">
        <v>9.7970610360570092</v>
      </c>
      <c r="D50" s="74">
        <v>0</v>
      </c>
      <c r="E50" s="51">
        <v>0</v>
      </c>
      <c r="F50" s="74">
        <f t="shared" si="0"/>
        <v>0</v>
      </c>
      <c r="G50" s="76">
        <f t="shared" si="1"/>
        <v>9.7970610360570092</v>
      </c>
      <c r="H50" s="76">
        <f t="shared" si="2"/>
        <v>0</v>
      </c>
      <c r="I50" s="74">
        <f t="shared" si="3"/>
        <v>0</v>
      </c>
      <c r="K50" s="74">
        <f t="shared" si="4"/>
        <v>9.7970610360570092</v>
      </c>
      <c r="L50" s="74">
        <f t="shared" si="5"/>
        <v>382.93830844322582</v>
      </c>
    </row>
    <row r="51" spans="1:12" x14ac:dyDescent="0.3">
      <c r="A51" s="74">
        <v>370</v>
      </c>
      <c r="B51" s="75">
        <v>0</v>
      </c>
      <c r="C51" s="74">
        <v>10.7717029141356</v>
      </c>
      <c r="D51" s="74">
        <v>0</v>
      </c>
      <c r="E51" s="51">
        <v>0</v>
      </c>
      <c r="F51" s="74">
        <f t="shared" si="0"/>
        <v>0</v>
      </c>
      <c r="G51" s="76">
        <f t="shared" si="1"/>
        <v>10.7717029141356</v>
      </c>
      <c r="H51" s="76">
        <f t="shared" si="2"/>
        <v>0</v>
      </c>
      <c r="I51" s="74">
        <f t="shared" si="3"/>
        <v>0</v>
      </c>
      <c r="K51" s="74">
        <f t="shared" si="4"/>
        <v>10.7717029141356</v>
      </c>
      <c r="L51" s="74">
        <f t="shared" si="5"/>
        <v>393.7100113573614</v>
      </c>
    </row>
    <row r="52" spans="1:12" x14ac:dyDescent="0.3">
      <c r="A52" s="74">
        <v>380</v>
      </c>
      <c r="B52" s="75">
        <v>0</v>
      </c>
      <c r="C52" s="74">
        <v>5.7867042464292702</v>
      </c>
      <c r="D52" s="74">
        <v>0</v>
      </c>
      <c r="E52" s="51">
        <v>0</v>
      </c>
      <c r="F52" s="74">
        <f t="shared" si="0"/>
        <v>0</v>
      </c>
      <c r="G52" s="76">
        <f t="shared" si="1"/>
        <v>5.7867042464292702</v>
      </c>
      <c r="H52" s="76">
        <f t="shared" si="2"/>
        <v>0</v>
      </c>
      <c r="I52" s="74">
        <f t="shared" si="3"/>
        <v>0</v>
      </c>
      <c r="K52" s="74">
        <f t="shared" si="4"/>
        <v>5.7867042464292702</v>
      </c>
      <c r="L52" s="74">
        <f t="shared" si="5"/>
        <v>399.49671560379068</v>
      </c>
    </row>
    <row r="53" spans="1:12" x14ac:dyDescent="0.3">
      <c r="A53" s="74">
        <v>382.54</v>
      </c>
      <c r="B53" s="75">
        <v>0</v>
      </c>
      <c r="C53" s="74">
        <v>1.01649413464842</v>
      </c>
      <c r="D53" s="74">
        <v>0</v>
      </c>
      <c r="E53" s="51">
        <v>0</v>
      </c>
      <c r="F53" s="74">
        <f t="shared" si="0"/>
        <v>0</v>
      </c>
      <c r="G53" s="76">
        <f t="shared" si="1"/>
        <v>1.01649413464842</v>
      </c>
      <c r="H53" s="76">
        <f t="shared" si="2"/>
        <v>0</v>
      </c>
      <c r="I53" s="74">
        <f t="shared" si="3"/>
        <v>0</v>
      </c>
      <c r="K53" s="74">
        <f t="shared" si="4"/>
        <v>1.01649413464842</v>
      </c>
      <c r="L53" s="74">
        <f t="shared" si="5"/>
        <v>400.51320973843912</v>
      </c>
    </row>
  </sheetData>
  <conditionalFormatting sqref="B12:C12 F12">
    <cfRule type="cellIs" dxfId="15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workbookViewId="0">
      <selection activeCell="A2" sqref="A2"/>
    </sheetView>
  </sheetViews>
  <sheetFormatPr baseColWidth="10" defaultColWidth="11.6328125" defaultRowHeight="13" x14ac:dyDescent="0.3"/>
  <cols>
    <col min="1" max="1" width="15.7265625" style="74" customWidth="1"/>
    <col min="2" max="2" width="12.7265625" style="76" customWidth="1"/>
    <col min="3" max="3" width="12.81640625" style="74" customWidth="1"/>
    <col min="4" max="4" width="11.6328125" style="74" customWidth="1"/>
    <col min="5" max="5" width="11.6328125" style="51" customWidth="1"/>
    <col min="6" max="6" width="12.7265625" style="74" customWidth="1"/>
    <col min="7" max="7" width="12.36328125" style="74" bestFit="1" customWidth="1"/>
    <col min="8" max="8" width="13.7265625" style="51" customWidth="1"/>
    <col min="9" max="9" width="13.7265625" style="74" customWidth="1"/>
    <col min="10" max="10" width="15" style="51" customWidth="1"/>
    <col min="11" max="11" width="11.6328125" style="83" customWidth="1"/>
    <col min="12" max="12" width="11" style="51" customWidth="1"/>
    <col min="13" max="13" width="11.7265625" style="51" customWidth="1"/>
    <col min="14" max="14" width="15" style="51" customWidth="1"/>
    <col min="15" max="15" width="15.26953125" style="51" customWidth="1"/>
    <col min="16" max="16" width="14.6328125" style="51" customWidth="1"/>
    <col min="17" max="17" width="13.7265625" style="51" customWidth="1"/>
    <col min="18" max="18" width="11.6328125" style="51" customWidth="1"/>
    <col min="19" max="19" width="16" style="51" customWidth="1"/>
    <col min="20" max="20" width="11.6328125" style="51" customWidth="1"/>
    <col min="21" max="16384" width="11.6328125" style="51"/>
  </cols>
  <sheetData>
    <row r="1" spans="1:19" ht="45" customHeight="1" x14ac:dyDescent="0.6">
      <c r="A1" s="48"/>
      <c r="B1" s="48"/>
      <c r="C1" s="49"/>
      <c r="D1" s="48"/>
      <c r="E1" s="48"/>
      <c r="F1" s="48"/>
      <c r="G1" s="48"/>
      <c r="H1" s="48"/>
      <c r="I1" s="48"/>
      <c r="J1" s="48"/>
      <c r="K1" s="80"/>
    </row>
    <row r="2" spans="1:19" ht="16.899999999999999" customHeight="1" x14ac:dyDescent="0.4">
      <c r="A2" s="8" t="s">
        <v>6</v>
      </c>
      <c r="B2" s="52"/>
      <c r="C2" s="53"/>
      <c r="D2" s="53"/>
      <c r="E2" s="53"/>
      <c r="F2" s="53"/>
      <c r="G2" s="53"/>
      <c r="H2" s="53"/>
      <c r="I2" s="53"/>
      <c r="J2" s="53"/>
      <c r="K2" s="80"/>
    </row>
    <row r="3" spans="1:19" ht="16.149999999999999" customHeight="1" x14ac:dyDescent="0.35">
      <c r="A3" s="153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80"/>
    </row>
    <row r="4" spans="1:19" ht="16.149999999999999" customHeight="1" x14ac:dyDescent="0.35">
      <c r="A4" s="55" t="s">
        <v>8</v>
      </c>
      <c r="B4" s="55" t="str">
        <f>Sammendrag!B4</f>
        <v>Veg 1</v>
      </c>
      <c r="C4" s="56"/>
      <c r="D4" s="56"/>
      <c r="E4" s="56"/>
      <c r="F4" s="56"/>
      <c r="G4" s="56"/>
      <c r="H4" s="56"/>
      <c r="I4" s="56"/>
      <c r="J4" s="56"/>
      <c r="K4" s="80"/>
    </row>
    <row r="5" spans="1:19" ht="15" customHeight="1" x14ac:dyDescent="0.3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56"/>
      <c r="H5" s="15">
        <f>Sammendrag!H5</f>
        <v>0</v>
      </c>
      <c r="I5" s="56"/>
      <c r="J5" s="56"/>
      <c r="K5" s="80"/>
    </row>
    <row r="6" spans="1:19" ht="15" customHeight="1" x14ac:dyDescent="0.3">
      <c r="A6" s="56"/>
      <c r="B6" s="56"/>
      <c r="C6" s="56"/>
      <c r="D6" s="56"/>
      <c r="E6" s="56"/>
      <c r="F6" s="56" t="str">
        <f>Sammendrag!F6</f>
        <v>Slutt profil:</v>
      </c>
      <c r="G6" s="56"/>
      <c r="H6" s="15">
        <f>Sammendrag!H6</f>
        <v>382.54</v>
      </c>
      <c r="I6" s="56"/>
      <c r="J6" s="56"/>
      <c r="K6" s="80"/>
    </row>
    <row r="7" spans="1:19" ht="15" customHeight="1" x14ac:dyDescent="0.3">
      <c r="A7" s="56"/>
      <c r="B7" s="56"/>
      <c r="C7" s="56"/>
      <c r="D7" s="56"/>
      <c r="E7" s="56"/>
      <c r="F7" s="56" t="str">
        <f>Sammendrag!F7</f>
        <v>Dato sist endret:</v>
      </c>
      <c r="G7" s="56"/>
      <c r="H7" s="58" t="str">
        <f>Sammendrag!H7</f>
        <v>5/8/2020 1:04:50 PM</v>
      </c>
      <c r="I7" s="56"/>
      <c r="J7" s="56"/>
      <c r="K7" s="80"/>
    </row>
    <row r="8" spans="1:1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80"/>
    </row>
    <row r="9" spans="1:19" ht="15" customHeight="1" x14ac:dyDescent="0.3">
      <c r="A9" s="44"/>
      <c r="B9" s="44"/>
      <c r="C9" s="44"/>
      <c r="D9" s="19"/>
      <c r="E9" s="44"/>
      <c r="F9" s="44"/>
      <c r="G9" s="19"/>
      <c r="H9" s="19"/>
      <c r="I9" s="19"/>
      <c r="J9" s="19"/>
      <c r="K9" s="80"/>
      <c r="L9" s="81"/>
      <c r="M9" s="82"/>
    </row>
    <row r="10" spans="1:19" ht="15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80"/>
      <c r="L10" s="81"/>
      <c r="M10" s="82"/>
    </row>
    <row r="11" spans="1:19" x14ac:dyDescent="0.3">
      <c r="A11" s="60"/>
      <c r="B11" s="61"/>
      <c r="C11" s="61"/>
      <c r="D11" s="61"/>
      <c r="E11" s="61"/>
      <c r="F11" s="61"/>
      <c r="G11" s="61"/>
      <c r="H11" s="61"/>
      <c r="I11" s="61"/>
      <c r="J11" s="61"/>
      <c r="L11" s="81"/>
      <c r="M11" s="82"/>
    </row>
    <row r="12" spans="1:19" ht="38.5" customHeight="1" thickBot="1" x14ac:dyDescent="0.35">
      <c r="A12" s="66" t="s">
        <v>25</v>
      </c>
      <c r="B12" s="129" t="s">
        <v>92</v>
      </c>
      <c r="C12" s="67" t="s">
        <v>14</v>
      </c>
      <c r="D12" s="67" t="s">
        <v>15</v>
      </c>
      <c r="E12" s="128" t="s">
        <v>18</v>
      </c>
      <c r="F12" s="129" t="s">
        <v>20</v>
      </c>
      <c r="G12" s="67" t="s">
        <v>21</v>
      </c>
      <c r="H12" s="67" t="s">
        <v>22</v>
      </c>
      <c r="I12" s="129" t="s">
        <v>23</v>
      </c>
      <c r="J12" s="129" t="s">
        <v>24</v>
      </c>
      <c r="L12" s="81"/>
      <c r="M12" s="82"/>
      <c r="O12" s="68"/>
      <c r="P12" s="68"/>
      <c r="Q12" s="68"/>
      <c r="R12" s="68"/>
      <c r="S12" s="68"/>
    </row>
    <row r="13" spans="1:19" ht="16.149999999999999" customHeight="1" thickTop="1" x14ac:dyDescent="0.3">
      <c r="A13" s="69" t="s">
        <v>26</v>
      </c>
      <c r="B13" s="71">
        <f ca="1">SUM([0]!Other_SoftSpot)</f>
        <v>0</v>
      </c>
      <c r="C13" s="71">
        <f ca="1">SUM([0]!Other_TopSoil)</f>
        <v>0</v>
      </c>
      <c r="D13" s="71">
        <f ca="1">SUM([0]!Other_Vegetation)</f>
        <v>0</v>
      </c>
      <c r="E13" s="71">
        <f ca="1">SUM([0]!Other_Sodding)</f>
        <v>0</v>
      </c>
      <c r="F13" s="71">
        <f ca="1">SUM([0]!Other_Landsc_Cut)</f>
        <v>0</v>
      </c>
      <c r="G13" s="71">
        <f ca="1">SUM([0]!Other_Landsc_Fill)</f>
        <v>0</v>
      </c>
      <c r="H13" s="71">
        <f ca="1">SUM([0]!Other_SideEdge_Fill)</f>
        <v>0</v>
      </c>
      <c r="I13" s="71">
        <f ca="1">SUM([0]!Other_Rounding_Cut)</f>
        <v>0</v>
      </c>
      <c r="J13" s="70">
        <f ca="1">SUM([0]!Other_Rounding_Fill)</f>
        <v>0</v>
      </c>
      <c r="L13" s="81"/>
      <c r="M13" s="82"/>
      <c r="O13" s="68"/>
    </row>
    <row r="14" spans="1:19" x14ac:dyDescent="0.3">
      <c r="A14" s="74">
        <v>0</v>
      </c>
      <c r="B14" s="76">
        <v>0</v>
      </c>
      <c r="C14" s="74">
        <v>0</v>
      </c>
      <c r="D14" s="74">
        <v>0</v>
      </c>
      <c r="E14" s="51">
        <v>0</v>
      </c>
      <c r="F14" s="74">
        <v>0</v>
      </c>
      <c r="G14" s="74">
        <v>0</v>
      </c>
      <c r="H14" s="51">
        <v>0</v>
      </c>
      <c r="I14" s="74">
        <v>0</v>
      </c>
      <c r="J14" s="51">
        <v>0</v>
      </c>
      <c r="L14" s="81"/>
      <c r="M14" s="82"/>
    </row>
    <row r="15" spans="1:19" x14ac:dyDescent="0.3">
      <c r="A15" s="74">
        <v>10</v>
      </c>
      <c r="B15" s="76">
        <v>0</v>
      </c>
      <c r="C15" s="74">
        <v>0</v>
      </c>
      <c r="D15" s="74">
        <v>0</v>
      </c>
      <c r="E15" s="51">
        <v>0</v>
      </c>
      <c r="F15" s="74">
        <v>0</v>
      </c>
      <c r="G15" s="74">
        <v>0</v>
      </c>
      <c r="H15" s="51">
        <v>0</v>
      </c>
      <c r="I15" s="74">
        <v>0</v>
      </c>
      <c r="J15" s="51">
        <v>0</v>
      </c>
      <c r="L15" s="81"/>
      <c r="M15" s="82"/>
    </row>
    <row r="16" spans="1:19" x14ac:dyDescent="0.3">
      <c r="A16" s="74">
        <v>20</v>
      </c>
      <c r="B16" s="76">
        <v>0</v>
      </c>
      <c r="C16" s="74">
        <v>0</v>
      </c>
      <c r="D16" s="74">
        <v>0</v>
      </c>
      <c r="E16" s="51">
        <v>0</v>
      </c>
      <c r="F16" s="74">
        <v>0</v>
      </c>
      <c r="G16" s="74">
        <v>0</v>
      </c>
      <c r="H16" s="51">
        <v>0</v>
      </c>
      <c r="I16" s="74">
        <v>0</v>
      </c>
      <c r="J16" s="51">
        <v>0</v>
      </c>
      <c r="L16" s="81"/>
      <c r="M16" s="82"/>
    </row>
    <row r="17" spans="1:13" x14ac:dyDescent="0.3">
      <c r="A17" s="74">
        <v>30</v>
      </c>
      <c r="B17" s="76">
        <v>0</v>
      </c>
      <c r="C17" s="74">
        <v>0</v>
      </c>
      <c r="D17" s="74">
        <v>0</v>
      </c>
      <c r="E17" s="51">
        <v>0</v>
      </c>
      <c r="F17" s="74">
        <v>0</v>
      </c>
      <c r="G17" s="74">
        <v>0</v>
      </c>
      <c r="H17" s="51">
        <v>0</v>
      </c>
      <c r="I17" s="74">
        <v>0</v>
      </c>
      <c r="J17" s="51">
        <v>0</v>
      </c>
      <c r="L17" s="81"/>
      <c r="M17" s="82"/>
    </row>
    <row r="18" spans="1:13" x14ac:dyDescent="0.3">
      <c r="A18" s="74">
        <v>40</v>
      </c>
      <c r="B18" s="76">
        <v>0</v>
      </c>
      <c r="C18" s="74">
        <v>0</v>
      </c>
      <c r="D18" s="74">
        <v>0</v>
      </c>
      <c r="E18" s="51">
        <v>0</v>
      </c>
      <c r="F18" s="74">
        <v>0</v>
      </c>
      <c r="G18" s="74">
        <v>0</v>
      </c>
      <c r="H18" s="51">
        <v>0</v>
      </c>
      <c r="I18" s="74">
        <v>0</v>
      </c>
      <c r="J18" s="51">
        <v>0</v>
      </c>
    </row>
    <row r="19" spans="1:13" x14ac:dyDescent="0.3">
      <c r="A19" s="74">
        <v>50</v>
      </c>
      <c r="B19" s="76">
        <v>0</v>
      </c>
      <c r="C19" s="74">
        <v>0</v>
      </c>
      <c r="D19" s="74">
        <v>0</v>
      </c>
      <c r="E19" s="51">
        <v>0</v>
      </c>
      <c r="F19" s="74">
        <v>0</v>
      </c>
      <c r="G19" s="74">
        <v>0</v>
      </c>
      <c r="H19" s="51">
        <v>0</v>
      </c>
      <c r="I19" s="74">
        <v>0</v>
      </c>
      <c r="J19" s="51">
        <v>0</v>
      </c>
    </row>
    <row r="20" spans="1:13" x14ac:dyDescent="0.3">
      <c r="A20" s="74">
        <v>60</v>
      </c>
      <c r="B20" s="76">
        <v>0</v>
      </c>
      <c r="C20" s="74">
        <v>0</v>
      </c>
      <c r="D20" s="74">
        <v>0</v>
      </c>
      <c r="E20" s="51">
        <v>0</v>
      </c>
      <c r="F20" s="74">
        <v>0</v>
      </c>
      <c r="G20" s="74">
        <v>0</v>
      </c>
      <c r="H20" s="51">
        <v>0</v>
      </c>
      <c r="I20" s="74">
        <v>0</v>
      </c>
      <c r="J20" s="51">
        <v>0</v>
      </c>
    </row>
    <row r="21" spans="1:13" x14ac:dyDescent="0.3">
      <c r="A21" s="74">
        <v>70</v>
      </c>
      <c r="B21" s="76">
        <v>0</v>
      </c>
      <c r="C21" s="74">
        <v>0</v>
      </c>
      <c r="D21" s="74">
        <v>0</v>
      </c>
      <c r="E21" s="51">
        <v>0</v>
      </c>
      <c r="F21" s="74">
        <v>0</v>
      </c>
      <c r="G21" s="74">
        <v>0</v>
      </c>
      <c r="H21" s="51">
        <v>0</v>
      </c>
      <c r="I21" s="74">
        <v>0</v>
      </c>
      <c r="J21" s="51">
        <v>0</v>
      </c>
    </row>
    <row r="22" spans="1:13" x14ac:dyDescent="0.3">
      <c r="A22" s="74">
        <v>80</v>
      </c>
      <c r="B22" s="76">
        <v>0</v>
      </c>
      <c r="C22" s="74">
        <v>0</v>
      </c>
      <c r="D22" s="74">
        <v>0</v>
      </c>
      <c r="E22" s="51">
        <v>0</v>
      </c>
      <c r="F22" s="74">
        <v>0</v>
      </c>
      <c r="G22" s="74">
        <v>0</v>
      </c>
      <c r="H22" s="51">
        <v>0</v>
      </c>
      <c r="I22" s="74">
        <v>0</v>
      </c>
      <c r="J22" s="51">
        <v>0</v>
      </c>
    </row>
    <row r="23" spans="1:13" x14ac:dyDescent="0.3">
      <c r="A23" s="74">
        <v>90</v>
      </c>
      <c r="B23" s="76">
        <v>0</v>
      </c>
      <c r="C23" s="74">
        <v>0</v>
      </c>
      <c r="D23" s="74">
        <v>0</v>
      </c>
      <c r="E23" s="51">
        <v>0</v>
      </c>
      <c r="F23" s="74">
        <v>0</v>
      </c>
      <c r="G23" s="74">
        <v>0</v>
      </c>
      <c r="H23" s="51">
        <v>0</v>
      </c>
      <c r="I23" s="74">
        <v>0</v>
      </c>
      <c r="J23" s="51">
        <v>0</v>
      </c>
    </row>
    <row r="24" spans="1:13" x14ac:dyDescent="0.3">
      <c r="A24" s="74">
        <v>100</v>
      </c>
      <c r="B24" s="76">
        <v>0</v>
      </c>
      <c r="C24" s="74">
        <v>0</v>
      </c>
      <c r="D24" s="74">
        <v>0</v>
      </c>
      <c r="E24" s="51">
        <v>0</v>
      </c>
      <c r="F24" s="74">
        <v>0</v>
      </c>
      <c r="G24" s="74">
        <v>0</v>
      </c>
      <c r="H24" s="51">
        <v>0</v>
      </c>
      <c r="I24" s="74">
        <v>0</v>
      </c>
      <c r="J24" s="51">
        <v>0</v>
      </c>
    </row>
    <row r="25" spans="1:13" x14ac:dyDescent="0.3">
      <c r="A25" s="74">
        <v>110</v>
      </c>
      <c r="B25" s="76">
        <v>0</v>
      </c>
      <c r="C25" s="74">
        <v>0</v>
      </c>
      <c r="D25" s="74">
        <v>0</v>
      </c>
      <c r="E25" s="51">
        <v>0</v>
      </c>
      <c r="F25" s="74">
        <v>0</v>
      </c>
      <c r="G25" s="74">
        <v>0</v>
      </c>
      <c r="H25" s="51">
        <v>0</v>
      </c>
      <c r="I25" s="74">
        <v>0</v>
      </c>
      <c r="J25" s="51">
        <v>0</v>
      </c>
    </row>
    <row r="26" spans="1:13" x14ac:dyDescent="0.3">
      <c r="A26" s="74">
        <v>120</v>
      </c>
      <c r="B26" s="76">
        <v>0</v>
      </c>
      <c r="C26" s="74">
        <v>0</v>
      </c>
      <c r="D26" s="74">
        <v>0</v>
      </c>
      <c r="E26" s="51">
        <v>0</v>
      </c>
      <c r="F26" s="74">
        <v>0</v>
      </c>
      <c r="G26" s="74">
        <v>0</v>
      </c>
      <c r="H26" s="51">
        <v>0</v>
      </c>
      <c r="I26" s="74">
        <v>0</v>
      </c>
      <c r="J26" s="51">
        <v>0</v>
      </c>
    </row>
    <row r="27" spans="1:13" x14ac:dyDescent="0.3">
      <c r="A27" s="74">
        <v>130</v>
      </c>
      <c r="B27" s="76">
        <v>0</v>
      </c>
      <c r="C27" s="74">
        <v>0</v>
      </c>
      <c r="D27" s="74">
        <v>0</v>
      </c>
      <c r="E27" s="51">
        <v>0</v>
      </c>
      <c r="F27" s="74">
        <v>0</v>
      </c>
      <c r="G27" s="74">
        <v>0</v>
      </c>
      <c r="H27" s="51">
        <v>0</v>
      </c>
      <c r="I27" s="74">
        <v>0</v>
      </c>
      <c r="J27" s="51">
        <v>0</v>
      </c>
    </row>
    <row r="28" spans="1:13" x14ac:dyDescent="0.3">
      <c r="A28" s="74">
        <v>140</v>
      </c>
      <c r="B28" s="76">
        <v>0</v>
      </c>
      <c r="C28" s="74">
        <v>0</v>
      </c>
      <c r="D28" s="74">
        <v>0</v>
      </c>
      <c r="E28" s="51">
        <v>0</v>
      </c>
      <c r="F28" s="74">
        <v>0</v>
      </c>
      <c r="G28" s="74">
        <v>0</v>
      </c>
      <c r="H28" s="51">
        <v>0</v>
      </c>
      <c r="I28" s="74">
        <v>0</v>
      </c>
      <c r="J28" s="51">
        <v>0</v>
      </c>
    </row>
    <row r="29" spans="1:13" x14ac:dyDescent="0.3">
      <c r="A29" s="74">
        <v>150</v>
      </c>
      <c r="B29" s="76">
        <v>0</v>
      </c>
      <c r="C29" s="74">
        <v>0</v>
      </c>
      <c r="D29" s="74">
        <v>0</v>
      </c>
      <c r="E29" s="51">
        <v>0</v>
      </c>
      <c r="F29" s="74">
        <v>0</v>
      </c>
      <c r="G29" s="74">
        <v>0</v>
      </c>
      <c r="H29" s="51">
        <v>0</v>
      </c>
      <c r="I29" s="74">
        <v>0</v>
      </c>
      <c r="J29" s="51">
        <v>0</v>
      </c>
    </row>
    <row r="30" spans="1:13" x14ac:dyDescent="0.3">
      <c r="A30" s="74">
        <v>160</v>
      </c>
      <c r="B30" s="76">
        <v>0</v>
      </c>
      <c r="C30" s="74">
        <v>0</v>
      </c>
      <c r="D30" s="74">
        <v>0</v>
      </c>
      <c r="E30" s="51">
        <v>0</v>
      </c>
      <c r="F30" s="74">
        <v>0</v>
      </c>
      <c r="G30" s="74">
        <v>0</v>
      </c>
      <c r="H30" s="51">
        <v>0</v>
      </c>
      <c r="I30" s="74">
        <v>0</v>
      </c>
      <c r="J30" s="51">
        <v>0</v>
      </c>
    </row>
    <row r="31" spans="1:13" x14ac:dyDescent="0.3">
      <c r="A31" s="74">
        <v>170</v>
      </c>
      <c r="B31" s="76">
        <v>0</v>
      </c>
      <c r="C31" s="74">
        <v>0</v>
      </c>
      <c r="D31" s="74">
        <v>0</v>
      </c>
      <c r="E31" s="51">
        <v>0</v>
      </c>
      <c r="F31" s="74">
        <v>0</v>
      </c>
      <c r="G31" s="74">
        <v>0</v>
      </c>
      <c r="H31" s="51">
        <v>0</v>
      </c>
      <c r="I31" s="74">
        <v>0</v>
      </c>
      <c r="J31" s="51">
        <v>0</v>
      </c>
    </row>
    <row r="32" spans="1:13" x14ac:dyDescent="0.3">
      <c r="A32" s="74">
        <v>180</v>
      </c>
      <c r="B32" s="76">
        <v>0</v>
      </c>
      <c r="C32" s="74">
        <v>0</v>
      </c>
      <c r="D32" s="74">
        <v>0</v>
      </c>
      <c r="E32" s="51">
        <v>0</v>
      </c>
      <c r="F32" s="74">
        <v>0</v>
      </c>
      <c r="G32" s="74">
        <v>0</v>
      </c>
      <c r="H32" s="51">
        <v>0</v>
      </c>
      <c r="I32" s="74">
        <v>0</v>
      </c>
      <c r="J32" s="51">
        <v>0</v>
      </c>
    </row>
    <row r="33" spans="1:10" x14ac:dyDescent="0.3">
      <c r="A33" s="74">
        <v>190</v>
      </c>
      <c r="B33" s="76">
        <v>0</v>
      </c>
      <c r="C33" s="74">
        <v>0</v>
      </c>
      <c r="D33" s="74">
        <v>0</v>
      </c>
      <c r="E33" s="51">
        <v>0</v>
      </c>
      <c r="F33" s="74">
        <v>0</v>
      </c>
      <c r="G33" s="74">
        <v>0</v>
      </c>
      <c r="H33" s="51">
        <v>0</v>
      </c>
      <c r="I33" s="74">
        <v>0</v>
      </c>
      <c r="J33" s="51">
        <v>0</v>
      </c>
    </row>
    <row r="34" spans="1:10" x14ac:dyDescent="0.3">
      <c r="A34" s="74">
        <v>200</v>
      </c>
      <c r="B34" s="76">
        <v>0</v>
      </c>
      <c r="C34" s="74">
        <v>0</v>
      </c>
      <c r="D34" s="74">
        <v>0</v>
      </c>
      <c r="E34" s="51">
        <v>0</v>
      </c>
      <c r="F34" s="74">
        <v>0</v>
      </c>
      <c r="G34" s="74">
        <v>0</v>
      </c>
      <c r="H34" s="51">
        <v>0</v>
      </c>
      <c r="I34" s="74">
        <v>0</v>
      </c>
      <c r="J34" s="51">
        <v>0</v>
      </c>
    </row>
    <row r="35" spans="1:10" x14ac:dyDescent="0.3">
      <c r="A35" s="74">
        <v>210</v>
      </c>
      <c r="B35" s="76">
        <v>0</v>
      </c>
      <c r="C35" s="74">
        <v>0</v>
      </c>
      <c r="D35" s="74">
        <v>0</v>
      </c>
      <c r="E35" s="51">
        <v>0</v>
      </c>
      <c r="F35" s="74">
        <v>0</v>
      </c>
      <c r="G35" s="74">
        <v>0</v>
      </c>
      <c r="H35" s="51">
        <v>0</v>
      </c>
      <c r="I35" s="74">
        <v>0</v>
      </c>
      <c r="J35" s="51">
        <v>0</v>
      </c>
    </row>
    <row r="36" spans="1:10" x14ac:dyDescent="0.3">
      <c r="A36" s="74">
        <v>220</v>
      </c>
      <c r="B36" s="76">
        <v>0</v>
      </c>
      <c r="C36" s="74">
        <v>0</v>
      </c>
      <c r="D36" s="74">
        <v>0</v>
      </c>
      <c r="E36" s="51">
        <v>0</v>
      </c>
      <c r="F36" s="74">
        <v>0</v>
      </c>
      <c r="G36" s="74">
        <v>0</v>
      </c>
      <c r="H36" s="51">
        <v>0</v>
      </c>
      <c r="I36" s="74">
        <v>0</v>
      </c>
      <c r="J36" s="51">
        <v>0</v>
      </c>
    </row>
    <row r="37" spans="1:10" x14ac:dyDescent="0.3">
      <c r="A37" s="74">
        <v>230</v>
      </c>
      <c r="B37" s="76">
        <v>0</v>
      </c>
      <c r="C37" s="74">
        <v>0</v>
      </c>
      <c r="D37" s="74">
        <v>0</v>
      </c>
      <c r="E37" s="51">
        <v>0</v>
      </c>
      <c r="F37" s="74">
        <v>0</v>
      </c>
      <c r="G37" s="74">
        <v>0</v>
      </c>
      <c r="H37" s="51">
        <v>0</v>
      </c>
      <c r="I37" s="74">
        <v>0</v>
      </c>
      <c r="J37" s="51">
        <v>0</v>
      </c>
    </row>
    <row r="38" spans="1:10" x14ac:dyDescent="0.3">
      <c r="A38" s="74">
        <v>240</v>
      </c>
      <c r="B38" s="76">
        <v>0</v>
      </c>
      <c r="C38" s="74">
        <v>0</v>
      </c>
      <c r="D38" s="74">
        <v>0</v>
      </c>
      <c r="E38" s="51">
        <v>0</v>
      </c>
      <c r="F38" s="74">
        <v>0</v>
      </c>
      <c r="G38" s="74">
        <v>0</v>
      </c>
      <c r="H38" s="51">
        <v>0</v>
      </c>
      <c r="I38" s="74">
        <v>0</v>
      </c>
      <c r="J38" s="51">
        <v>0</v>
      </c>
    </row>
    <row r="39" spans="1:10" x14ac:dyDescent="0.3">
      <c r="A39" s="74">
        <v>250</v>
      </c>
      <c r="B39" s="76">
        <v>0</v>
      </c>
      <c r="C39" s="74">
        <v>0</v>
      </c>
      <c r="D39" s="74">
        <v>0</v>
      </c>
      <c r="E39" s="51">
        <v>0</v>
      </c>
      <c r="F39" s="74">
        <v>0</v>
      </c>
      <c r="G39" s="74">
        <v>0</v>
      </c>
      <c r="H39" s="51">
        <v>0</v>
      </c>
      <c r="I39" s="74">
        <v>0</v>
      </c>
      <c r="J39" s="51">
        <v>0</v>
      </c>
    </row>
    <row r="40" spans="1:10" x14ac:dyDescent="0.3">
      <c r="A40" s="74">
        <v>260</v>
      </c>
      <c r="B40" s="76">
        <v>0</v>
      </c>
      <c r="C40" s="74">
        <v>0</v>
      </c>
      <c r="D40" s="74">
        <v>0</v>
      </c>
      <c r="E40" s="51">
        <v>0</v>
      </c>
      <c r="F40" s="74">
        <v>0</v>
      </c>
      <c r="G40" s="74">
        <v>0</v>
      </c>
      <c r="H40" s="51">
        <v>0</v>
      </c>
      <c r="I40" s="74">
        <v>0</v>
      </c>
      <c r="J40" s="51">
        <v>0</v>
      </c>
    </row>
    <row r="41" spans="1:10" x14ac:dyDescent="0.3">
      <c r="A41" s="74">
        <v>270</v>
      </c>
      <c r="B41" s="76">
        <v>0</v>
      </c>
      <c r="C41" s="74">
        <v>0</v>
      </c>
      <c r="D41" s="74">
        <v>0</v>
      </c>
      <c r="E41" s="51">
        <v>0</v>
      </c>
      <c r="F41" s="74">
        <v>0</v>
      </c>
      <c r="G41" s="74">
        <v>0</v>
      </c>
      <c r="H41" s="51">
        <v>0</v>
      </c>
      <c r="I41" s="74">
        <v>0</v>
      </c>
      <c r="J41" s="51">
        <v>0</v>
      </c>
    </row>
    <row r="42" spans="1:10" x14ac:dyDescent="0.3">
      <c r="A42" s="74">
        <v>280</v>
      </c>
      <c r="B42" s="76">
        <v>0</v>
      </c>
      <c r="C42" s="74">
        <v>0</v>
      </c>
      <c r="D42" s="74">
        <v>0</v>
      </c>
      <c r="E42" s="51">
        <v>0</v>
      </c>
      <c r="F42" s="74">
        <v>0</v>
      </c>
      <c r="G42" s="74">
        <v>0</v>
      </c>
      <c r="H42" s="51">
        <v>0</v>
      </c>
      <c r="I42" s="74">
        <v>0</v>
      </c>
      <c r="J42" s="51">
        <v>0</v>
      </c>
    </row>
    <row r="43" spans="1:10" x14ac:dyDescent="0.3">
      <c r="A43" s="74">
        <v>290</v>
      </c>
      <c r="B43" s="76">
        <v>0</v>
      </c>
      <c r="C43" s="74">
        <v>0</v>
      </c>
      <c r="D43" s="74">
        <v>0</v>
      </c>
      <c r="E43" s="51">
        <v>0</v>
      </c>
      <c r="F43" s="74">
        <v>0</v>
      </c>
      <c r="G43" s="74">
        <v>0</v>
      </c>
      <c r="H43" s="51">
        <v>0</v>
      </c>
      <c r="I43" s="74">
        <v>0</v>
      </c>
      <c r="J43" s="51">
        <v>0</v>
      </c>
    </row>
    <row r="44" spans="1:10" x14ac:dyDescent="0.3">
      <c r="A44" s="74">
        <v>300</v>
      </c>
      <c r="B44" s="76">
        <v>0</v>
      </c>
      <c r="C44" s="74">
        <v>0</v>
      </c>
      <c r="D44" s="74">
        <v>0</v>
      </c>
      <c r="E44" s="51">
        <v>0</v>
      </c>
      <c r="F44" s="74">
        <v>0</v>
      </c>
      <c r="G44" s="74">
        <v>0</v>
      </c>
      <c r="H44" s="51">
        <v>0</v>
      </c>
      <c r="I44" s="74">
        <v>0</v>
      </c>
      <c r="J44" s="51">
        <v>0</v>
      </c>
    </row>
    <row r="45" spans="1:10" x14ac:dyDescent="0.3">
      <c r="A45" s="74">
        <v>310</v>
      </c>
      <c r="B45" s="76">
        <v>0</v>
      </c>
      <c r="C45" s="74">
        <v>0</v>
      </c>
      <c r="D45" s="74">
        <v>0</v>
      </c>
      <c r="E45" s="51">
        <v>0</v>
      </c>
      <c r="F45" s="74">
        <v>0</v>
      </c>
      <c r="G45" s="74">
        <v>0</v>
      </c>
      <c r="H45" s="51">
        <v>0</v>
      </c>
      <c r="I45" s="74">
        <v>0</v>
      </c>
      <c r="J45" s="51">
        <v>0</v>
      </c>
    </row>
    <row r="46" spans="1:10" x14ac:dyDescent="0.3">
      <c r="A46" s="74">
        <v>320</v>
      </c>
      <c r="B46" s="76">
        <v>0</v>
      </c>
      <c r="C46" s="74">
        <v>0</v>
      </c>
      <c r="D46" s="74">
        <v>0</v>
      </c>
      <c r="E46" s="51">
        <v>0</v>
      </c>
      <c r="F46" s="74">
        <v>0</v>
      </c>
      <c r="G46" s="74">
        <v>0</v>
      </c>
      <c r="H46" s="51">
        <v>0</v>
      </c>
      <c r="I46" s="74">
        <v>0</v>
      </c>
      <c r="J46" s="51">
        <v>0</v>
      </c>
    </row>
    <row r="47" spans="1:10" x14ac:dyDescent="0.3">
      <c r="A47" s="74">
        <v>330</v>
      </c>
      <c r="B47" s="76">
        <v>0</v>
      </c>
      <c r="C47" s="74">
        <v>0</v>
      </c>
      <c r="D47" s="74">
        <v>0</v>
      </c>
      <c r="E47" s="51">
        <v>0</v>
      </c>
      <c r="F47" s="74">
        <v>0</v>
      </c>
      <c r="G47" s="74">
        <v>0</v>
      </c>
      <c r="H47" s="51">
        <v>0</v>
      </c>
      <c r="I47" s="74">
        <v>0</v>
      </c>
      <c r="J47" s="51">
        <v>0</v>
      </c>
    </row>
    <row r="48" spans="1:10" x14ac:dyDescent="0.3">
      <c r="A48" s="74">
        <v>340</v>
      </c>
      <c r="B48" s="76">
        <v>0</v>
      </c>
      <c r="C48" s="74">
        <v>0</v>
      </c>
      <c r="D48" s="74">
        <v>0</v>
      </c>
      <c r="E48" s="51">
        <v>0</v>
      </c>
      <c r="F48" s="74">
        <v>0</v>
      </c>
      <c r="G48" s="74">
        <v>0</v>
      </c>
      <c r="H48" s="51">
        <v>0</v>
      </c>
      <c r="I48" s="74">
        <v>0</v>
      </c>
      <c r="J48" s="51">
        <v>0</v>
      </c>
    </row>
    <row r="49" spans="1:10" x14ac:dyDescent="0.3">
      <c r="A49" s="74">
        <v>350</v>
      </c>
      <c r="B49" s="76">
        <v>0</v>
      </c>
      <c r="C49" s="74">
        <v>0</v>
      </c>
      <c r="D49" s="74">
        <v>0</v>
      </c>
      <c r="E49" s="51">
        <v>0</v>
      </c>
      <c r="F49" s="74">
        <v>0</v>
      </c>
      <c r="G49" s="74">
        <v>0</v>
      </c>
      <c r="H49" s="51">
        <v>0</v>
      </c>
      <c r="I49" s="74">
        <v>0</v>
      </c>
      <c r="J49" s="51">
        <v>0</v>
      </c>
    </row>
    <row r="50" spans="1:10" x14ac:dyDescent="0.3">
      <c r="A50" s="74">
        <v>360</v>
      </c>
      <c r="B50" s="76">
        <v>0</v>
      </c>
      <c r="C50" s="74">
        <v>0</v>
      </c>
      <c r="D50" s="74">
        <v>0</v>
      </c>
      <c r="E50" s="51">
        <v>0</v>
      </c>
      <c r="F50" s="74">
        <v>0</v>
      </c>
      <c r="G50" s="74">
        <v>0</v>
      </c>
      <c r="H50" s="51">
        <v>0</v>
      </c>
      <c r="I50" s="74">
        <v>0</v>
      </c>
      <c r="J50" s="51">
        <v>0</v>
      </c>
    </row>
    <row r="51" spans="1:10" x14ac:dyDescent="0.3">
      <c r="A51" s="74">
        <v>370</v>
      </c>
      <c r="B51" s="76">
        <v>0</v>
      </c>
      <c r="C51" s="74">
        <v>0</v>
      </c>
      <c r="D51" s="74">
        <v>0</v>
      </c>
      <c r="E51" s="51">
        <v>0</v>
      </c>
      <c r="F51" s="74">
        <v>0</v>
      </c>
      <c r="G51" s="74">
        <v>0</v>
      </c>
      <c r="H51" s="51">
        <v>0</v>
      </c>
      <c r="I51" s="74">
        <v>0</v>
      </c>
      <c r="J51" s="51">
        <v>0</v>
      </c>
    </row>
    <row r="52" spans="1:10" x14ac:dyDescent="0.3">
      <c r="A52" s="74">
        <v>380</v>
      </c>
      <c r="B52" s="76">
        <v>0</v>
      </c>
      <c r="C52" s="74">
        <v>0</v>
      </c>
      <c r="D52" s="74">
        <v>0</v>
      </c>
      <c r="E52" s="51">
        <v>0</v>
      </c>
      <c r="F52" s="74">
        <v>0</v>
      </c>
      <c r="G52" s="74">
        <v>0</v>
      </c>
      <c r="H52" s="51">
        <v>0</v>
      </c>
      <c r="I52" s="74">
        <v>0</v>
      </c>
      <c r="J52" s="51">
        <v>0</v>
      </c>
    </row>
    <row r="53" spans="1:10" x14ac:dyDescent="0.3">
      <c r="A53" s="74">
        <v>382.54</v>
      </c>
      <c r="B53" s="76">
        <v>0</v>
      </c>
      <c r="C53" s="74">
        <v>0</v>
      </c>
      <c r="D53" s="74">
        <v>0</v>
      </c>
      <c r="E53" s="51">
        <v>0</v>
      </c>
      <c r="F53" s="74">
        <v>0</v>
      </c>
      <c r="G53" s="74">
        <v>0</v>
      </c>
      <c r="H53" s="51">
        <v>0</v>
      </c>
      <c r="I53" s="74">
        <v>0</v>
      </c>
      <c r="J53" s="51">
        <v>0</v>
      </c>
    </row>
  </sheetData>
  <conditionalFormatting sqref="A3">
    <cfRule type="cellIs" dxfId="14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3"/>
  <sheetViews>
    <sheetView workbookViewId="0">
      <selection activeCell="A2" sqref="A2"/>
    </sheetView>
  </sheetViews>
  <sheetFormatPr baseColWidth="10" defaultColWidth="11.6328125" defaultRowHeight="12" x14ac:dyDescent="0.3"/>
  <cols>
    <col min="1" max="1" width="15.7265625" style="126" customWidth="1"/>
    <col min="2" max="2" width="12.08984375" style="127" customWidth="1"/>
    <col min="3" max="3" width="13.26953125" style="126" customWidth="1"/>
    <col min="4" max="4" width="12.6328125" style="137" customWidth="1"/>
    <col min="5" max="5" width="13.08984375" style="106" customWidth="1"/>
    <col min="6" max="6" width="14.26953125" style="106" customWidth="1"/>
    <col min="7" max="7" width="12.36328125" style="106" customWidth="1"/>
    <col min="8" max="11" width="11.6328125" style="106" customWidth="1"/>
    <col min="12" max="12" width="15.81640625" style="106" customWidth="1"/>
    <col min="13" max="13" width="15.26953125" style="106" customWidth="1"/>
    <col min="14" max="14" width="14.6328125" style="106" customWidth="1"/>
    <col min="15" max="15" width="13.7265625" style="106" customWidth="1"/>
    <col min="16" max="16" width="11.6328125" style="106" customWidth="1"/>
    <col min="17" max="17" width="16" style="106" customWidth="1"/>
    <col min="18" max="18" width="11.6328125" style="106" customWidth="1"/>
    <col min="19" max="16384" width="11.6328125" style="106"/>
  </cols>
  <sheetData>
    <row r="1" spans="1:17" ht="45" customHeight="1" x14ac:dyDescent="0.6">
      <c r="A1" s="104"/>
      <c r="B1" s="104"/>
      <c r="C1" s="105"/>
      <c r="D1" s="104"/>
      <c r="E1" s="104"/>
      <c r="F1" s="104"/>
      <c r="G1" s="104"/>
      <c r="H1" s="104"/>
      <c r="I1" s="104"/>
    </row>
    <row r="2" spans="1:17" ht="16.899999999999999" customHeight="1" x14ac:dyDescent="0.4">
      <c r="A2" s="107" t="s">
        <v>6</v>
      </c>
      <c r="B2" s="108"/>
      <c r="C2" s="109"/>
      <c r="D2" s="109"/>
      <c r="E2" s="109"/>
      <c r="F2" s="109"/>
      <c r="G2" s="109"/>
      <c r="H2" s="109"/>
      <c r="I2" s="109"/>
    </row>
    <row r="3" spans="1:17" ht="16.149999999999999" customHeight="1" x14ac:dyDescent="0.35">
      <c r="A3" s="153" t="s">
        <v>37</v>
      </c>
      <c r="B3" s="110"/>
      <c r="C3" s="111"/>
      <c r="D3" s="111"/>
      <c r="E3" s="111"/>
      <c r="F3" s="111"/>
      <c r="G3" s="111"/>
      <c r="H3" s="111"/>
      <c r="I3" s="109"/>
    </row>
    <row r="4" spans="1:17" ht="16.149999999999999" customHeight="1" x14ac:dyDescent="0.35">
      <c r="A4" s="110" t="s">
        <v>8</v>
      </c>
      <c r="B4" s="110" t="str">
        <f>Sammendrag!B4</f>
        <v>Veg 1</v>
      </c>
      <c r="C4" s="110"/>
      <c r="D4" s="111"/>
      <c r="E4" s="111"/>
      <c r="F4" s="111"/>
      <c r="G4" s="111"/>
      <c r="H4" s="111"/>
      <c r="I4" s="109"/>
    </row>
    <row r="5" spans="1:17" ht="15" customHeight="1" x14ac:dyDescent="0.3">
      <c r="A5" s="111"/>
      <c r="B5" s="111" t="str">
        <f>IF(Sammendrag!B5="","",Sammendrag!B5)</f>
        <v/>
      </c>
      <c r="C5" s="111"/>
      <c r="D5" s="111"/>
      <c r="E5" s="111"/>
      <c r="F5" s="111" t="str">
        <f>Sammendrag!F5</f>
        <v>Start profil:</v>
      </c>
      <c r="G5" s="111"/>
      <c r="H5" s="112">
        <f>Sammendrag!H5</f>
        <v>0</v>
      </c>
      <c r="I5" s="109"/>
    </row>
    <row r="6" spans="1:17" ht="15" customHeight="1" x14ac:dyDescent="0.3">
      <c r="A6" s="111"/>
      <c r="B6" s="111"/>
      <c r="C6" s="111"/>
      <c r="D6" s="111"/>
      <c r="E6" s="111"/>
      <c r="F6" s="111" t="str">
        <f>Sammendrag!F6</f>
        <v>Slutt profil:</v>
      </c>
      <c r="G6" s="111"/>
      <c r="H6" s="112">
        <f>Sammendrag!H6</f>
        <v>382.54</v>
      </c>
      <c r="I6" s="109"/>
    </row>
    <row r="7" spans="1:17" ht="15" customHeight="1" x14ac:dyDescent="0.3">
      <c r="A7" s="111"/>
      <c r="B7" s="111"/>
      <c r="C7" s="111"/>
      <c r="D7" s="111"/>
      <c r="E7" s="111"/>
      <c r="F7" s="111" t="str">
        <f>Sammendrag!F7</f>
        <v>Dato sist endret:</v>
      </c>
      <c r="G7" s="111"/>
      <c r="H7" s="113" t="str">
        <f>Sammendrag!H7</f>
        <v>5/8/2020 1:04:50 PM</v>
      </c>
      <c r="I7" s="109"/>
    </row>
    <row r="8" spans="1:17" ht="15" customHeight="1" x14ac:dyDescent="0.3">
      <c r="A8" s="111"/>
      <c r="B8" s="111"/>
      <c r="C8" s="111"/>
      <c r="D8" s="111"/>
      <c r="E8" s="111"/>
      <c r="F8" s="111"/>
      <c r="G8" s="111"/>
      <c r="H8" s="111"/>
      <c r="I8" s="109"/>
    </row>
    <row r="9" spans="1:17" ht="15" customHeight="1" x14ac:dyDescent="0.3">
      <c r="A9" s="114"/>
      <c r="B9" s="114"/>
      <c r="C9" s="114"/>
      <c r="D9" s="115"/>
      <c r="E9" s="114"/>
      <c r="F9" s="114"/>
      <c r="G9" s="115"/>
      <c r="H9" s="115"/>
    </row>
    <row r="10" spans="1:17" ht="15" customHeight="1" x14ac:dyDescent="0.3">
      <c r="A10" s="115"/>
      <c r="B10" s="115"/>
      <c r="C10" s="115"/>
      <c r="D10" s="115"/>
      <c r="E10" s="115"/>
      <c r="F10" s="115"/>
      <c r="G10" s="115"/>
      <c r="H10" s="115"/>
    </row>
    <row r="11" spans="1:17" x14ac:dyDescent="0.3">
      <c r="A11" s="116"/>
      <c r="B11" s="117"/>
      <c r="C11" s="117"/>
      <c r="D11" s="138"/>
      <c r="E11" s="114"/>
      <c r="F11" s="115"/>
      <c r="G11" s="115"/>
      <c r="H11" s="115"/>
      <c r="K11" s="118"/>
    </row>
    <row r="12" spans="1:17" ht="36.65" customHeight="1" thickBot="1" x14ac:dyDescent="0.35">
      <c r="A12" s="119" t="s">
        <v>25</v>
      </c>
      <c r="B12" s="148" t="s">
        <v>81</v>
      </c>
      <c r="C12" s="148" t="s">
        <v>82</v>
      </c>
      <c r="D12" s="149" t="s">
        <v>83</v>
      </c>
      <c r="E12" s="135"/>
      <c r="F12" s="135"/>
      <c r="G12" s="135"/>
      <c r="H12" s="120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ht="16.149999999999999" customHeight="1" thickTop="1" x14ac:dyDescent="0.3">
      <c r="A13" s="122" t="s">
        <v>26</v>
      </c>
      <c r="B13" s="123">
        <f ca="1">SUM([0]!IncLev_CD_SoilCut)</f>
        <v>0</v>
      </c>
      <c r="C13" s="123">
        <f ca="1">SUM([0]!IncLev_CD_RockCut)</f>
        <v>0</v>
      </c>
      <c r="D13" s="136">
        <f ca="1">SUM([0]!IncLev_CD_Fill)</f>
        <v>0</v>
      </c>
      <c r="E13" s="115"/>
      <c r="F13" s="115"/>
      <c r="G13" s="115"/>
      <c r="H13" s="121"/>
      <c r="I13" s="121"/>
      <c r="J13" s="124"/>
      <c r="K13" s="125"/>
      <c r="M13" s="121"/>
    </row>
    <row r="14" spans="1:17" ht="13" x14ac:dyDescent="0.3">
      <c r="A14" s="126">
        <v>0</v>
      </c>
      <c r="B14" s="127">
        <v>0</v>
      </c>
      <c r="C14" s="126">
        <v>0</v>
      </c>
      <c r="D14" s="137">
        <v>0</v>
      </c>
      <c r="J14" s="124"/>
      <c r="K14" s="125"/>
    </row>
    <row r="15" spans="1:17" ht="13" x14ac:dyDescent="0.3">
      <c r="A15" s="126">
        <v>10</v>
      </c>
      <c r="B15" s="127">
        <v>0</v>
      </c>
      <c r="C15" s="126">
        <v>0</v>
      </c>
      <c r="D15" s="137">
        <v>0</v>
      </c>
      <c r="J15" s="124"/>
      <c r="K15" s="125"/>
    </row>
    <row r="16" spans="1:17" ht="13" x14ac:dyDescent="0.3">
      <c r="A16" s="126">
        <v>20</v>
      </c>
      <c r="B16" s="127">
        <v>0</v>
      </c>
      <c r="C16" s="126">
        <v>0</v>
      </c>
      <c r="D16" s="137">
        <v>0</v>
      </c>
      <c r="J16" s="124"/>
      <c r="K16" s="125"/>
    </row>
    <row r="17" spans="1:11" ht="13" x14ac:dyDescent="0.3">
      <c r="A17" s="126">
        <v>30</v>
      </c>
      <c r="B17" s="127">
        <v>0</v>
      </c>
      <c r="C17" s="126">
        <v>0</v>
      </c>
      <c r="D17" s="137">
        <v>0</v>
      </c>
      <c r="J17" s="124"/>
      <c r="K17" s="125"/>
    </row>
    <row r="18" spans="1:11" ht="13" x14ac:dyDescent="0.3">
      <c r="A18" s="126">
        <v>40</v>
      </c>
      <c r="B18" s="127">
        <v>0</v>
      </c>
      <c r="C18" s="126">
        <v>0</v>
      </c>
      <c r="D18" s="137">
        <v>0</v>
      </c>
      <c r="J18" s="124"/>
      <c r="K18" s="125"/>
    </row>
    <row r="19" spans="1:11" x14ac:dyDescent="0.3">
      <c r="A19" s="126">
        <v>50</v>
      </c>
      <c r="B19" s="127">
        <v>0</v>
      </c>
      <c r="C19" s="126">
        <v>0</v>
      </c>
      <c r="D19" s="137">
        <v>0</v>
      </c>
    </row>
    <row r="20" spans="1:11" x14ac:dyDescent="0.3">
      <c r="A20" s="126">
        <v>60</v>
      </c>
      <c r="B20" s="127">
        <v>0</v>
      </c>
      <c r="C20" s="126">
        <v>0</v>
      </c>
      <c r="D20" s="137">
        <v>0</v>
      </c>
    </row>
    <row r="21" spans="1:11" x14ac:dyDescent="0.3">
      <c r="A21" s="126">
        <v>70</v>
      </c>
      <c r="B21" s="127">
        <v>0</v>
      </c>
      <c r="C21" s="126">
        <v>0</v>
      </c>
      <c r="D21" s="137">
        <v>0</v>
      </c>
    </row>
    <row r="22" spans="1:11" x14ac:dyDescent="0.3">
      <c r="A22" s="126">
        <v>80</v>
      </c>
      <c r="B22" s="127">
        <v>0</v>
      </c>
      <c r="C22" s="126">
        <v>0</v>
      </c>
      <c r="D22" s="137">
        <v>0</v>
      </c>
    </row>
    <row r="23" spans="1:11" x14ac:dyDescent="0.3">
      <c r="A23" s="126">
        <v>90</v>
      </c>
      <c r="B23" s="127">
        <v>0</v>
      </c>
      <c r="C23" s="126">
        <v>0</v>
      </c>
      <c r="D23" s="137">
        <v>0</v>
      </c>
    </row>
    <row r="24" spans="1:11" x14ac:dyDescent="0.3">
      <c r="A24" s="126">
        <v>100</v>
      </c>
      <c r="B24" s="127">
        <v>0</v>
      </c>
      <c r="C24" s="126">
        <v>0</v>
      </c>
      <c r="D24" s="137">
        <v>0</v>
      </c>
    </row>
    <row r="25" spans="1:11" x14ac:dyDescent="0.3">
      <c r="A25" s="126">
        <v>110</v>
      </c>
      <c r="B25" s="127">
        <v>0</v>
      </c>
      <c r="C25" s="126">
        <v>0</v>
      </c>
      <c r="D25" s="137">
        <v>0</v>
      </c>
    </row>
    <row r="26" spans="1:11" x14ac:dyDescent="0.3">
      <c r="A26" s="126">
        <v>120</v>
      </c>
      <c r="B26" s="127">
        <v>0</v>
      </c>
      <c r="C26" s="126">
        <v>0</v>
      </c>
      <c r="D26" s="137">
        <v>0</v>
      </c>
    </row>
    <row r="27" spans="1:11" x14ac:dyDescent="0.3">
      <c r="A27" s="126">
        <v>130</v>
      </c>
      <c r="B27" s="127">
        <v>0</v>
      </c>
      <c r="C27" s="126">
        <v>0</v>
      </c>
      <c r="D27" s="137">
        <v>0</v>
      </c>
    </row>
    <row r="28" spans="1:11" x14ac:dyDescent="0.3">
      <c r="A28" s="126">
        <v>140</v>
      </c>
      <c r="B28" s="127">
        <v>0</v>
      </c>
      <c r="C28" s="126">
        <v>0</v>
      </c>
      <c r="D28" s="137">
        <v>0</v>
      </c>
    </row>
    <row r="29" spans="1:11" x14ac:dyDescent="0.3">
      <c r="A29" s="126">
        <v>150</v>
      </c>
      <c r="B29" s="127">
        <v>0</v>
      </c>
      <c r="C29" s="126">
        <v>0</v>
      </c>
      <c r="D29" s="137">
        <v>0</v>
      </c>
    </row>
    <row r="30" spans="1:11" x14ac:dyDescent="0.3">
      <c r="A30" s="126">
        <v>160</v>
      </c>
      <c r="B30" s="127">
        <v>0</v>
      </c>
      <c r="C30" s="126">
        <v>0</v>
      </c>
      <c r="D30" s="137">
        <v>0</v>
      </c>
    </row>
    <row r="31" spans="1:11" x14ac:dyDescent="0.3">
      <c r="A31" s="126">
        <v>170</v>
      </c>
      <c r="B31" s="127">
        <v>0</v>
      </c>
      <c r="C31" s="126">
        <v>0</v>
      </c>
      <c r="D31" s="137">
        <v>0</v>
      </c>
    </row>
    <row r="32" spans="1:11" x14ac:dyDescent="0.3">
      <c r="A32" s="126">
        <v>180</v>
      </c>
      <c r="B32" s="127">
        <v>0</v>
      </c>
      <c r="C32" s="126">
        <v>0</v>
      </c>
      <c r="D32" s="137">
        <v>0</v>
      </c>
    </row>
    <row r="33" spans="1:4" x14ac:dyDescent="0.3">
      <c r="A33" s="126">
        <v>190</v>
      </c>
      <c r="B33" s="127">
        <v>0</v>
      </c>
      <c r="C33" s="126">
        <v>0</v>
      </c>
      <c r="D33" s="137">
        <v>0</v>
      </c>
    </row>
    <row r="34" spans="1:4" x14ac:dyDescent="0.3">
      <c r="A34" s="126">
        <v>200</v>
      </c>
      <c r="B34" s="127">
        <v>0</v>
      </c>
      <c r="C34" s="126">
        <v>0</v>
      </c>
      <c r="D34" s="137">
        <v>0</v>
      </c>
    </row>
    <row r="35" spans="1:4" x14ac:dyDescent="0.3">
      <c r="A35" s="126">
        <v>210</v>
      </c>
      <c r="B35" s="127">
        <v>0</v>
      </c>
      <c r="C35" s="126">
        <v>0</v>
      </c>
      <c r="D35" s="137">
        <v>0</v>
      </c>
    </row>
    <row r="36" spans="1:4" x14ac:dyDescent="0.3">
      <c r="A36" s="126">
        <v>220</v>
      </c>
      <c r="B36" s="127">
        <v>0</v>
      </c>
      <c r="C36" s="126">
        <v>0</v>
      </c>
      <c r="D36" s="137">
        <v>0</v>
      </c>
    </row>
    <row r="37" spans="1:4" x14ac:dyDescent="0.3">
      <c r="A37" s="126">
        <v>230</v>
      </c>
      <c r="B37" s="127">
        <v>0</v>
      </c>
      <c r="C37" s="126">
        <v>0</v>
      </c>
      <c r="D37" s="137">
        <v>0</v>
      </c>
    </row>
    <row r="38" spans="1:4" x14ac:dyDescent="0.3">
      <c r="A38" s="126">
        <v>240</v>
      </c>
      <c r="B38" s="127">
        <v>0</v>
      </c>
      <c r="C38" s="126">
        <v>0</v>
      </c>
      <c r="D38" s="137">
        <v>0</v>
      </c>
    </row>
    <row r="39" spans="1:4" x14ac:dyDescent="0.3">
      <c r="A39" s="126">
        <v>250</v>
      </c>
      <c r="B39" s="127">
        <v>0</v>
      </c>
      <c r="C39" s="126">
        <v>0</v>
      </c>
      <c r="D39" s="137">
        <v>0</v>
      </c>
    </row>
    <row r="40" spans="1:4" x14ac:dyDescent="0.3">
      <c r="A40" s="126">
        <v>260</v>
      </c>
      <c r="B40" s="127">
        <v>0</v>
      </c>
      <c r="C40" s="126">
        <v>0</v>
      </c>
      <c r="D40" s="137">
        <v>0</v>
      </c>
    </row>
    <row r="41" spans="1:4" x14ac:dyDescent="0.3">
      <c r="A41" s="126">
        <v>270</v>
      </c>
      <c r="B41" s="127">
        <v>0</v>
      </c>
      <c r="C41" s="126">
        <v>0</v>
      </c>
      <c r="D41" s="137">
        <v>0</v>
      </c>
    </row>
    <row r="42" spans="1:4" x14ac:dyDescent="0.3">
      <c r="A42" s="126">
        <v>280</v>
      </c>
      <c r="B42" s="127">
        <v>0</v>
      </c>
      <c r="C42" s="126">
        <v>0</v>
      </c>
      <c r="D42" s="137">
        <v>0</v>
      </c>
    </row>
    <row r="43" spans="1:4" x14ac:dyDescent="0.3">
      <c r="A43" s="126">
        <v>290</v>
      </c>
      <c r="B43" s="127">
        <v>0</v>
      </c>
      <c r="C43" s="126">
        <v>0</v>
      </c>
      <c r="D43" s="137">
        <v>0</v>
      </c>
    </row>
    <row r="44" spans="1:4" x14ac:dyDescent="0.3">
      <c r="A44" s="126">
        <v>300</v>
      </c>
      <c r="B44" s="127">
        <v>0</v>
      </c>
      <c r="C44" s="126">
        <v>0</v>
      </c>
      <c r="D44" s="137">
        <v>0</v>
      </c>
    </row>
    <row r="45" spans="1:4" x14ac:dyDescent="0.3">
      <c r="A45" s="126">
        <v>310</v>
      </c>
      <c r="B45" s="127">
        <v>0</v>
      </c>
      <c r="C45" s="126">
        <v>0</v>
      </c>
      <c r="D45" s="137">
        <v>0</v>
      </c>
    </row>
    <row r="46" spans="1:4" x14ac:dyDescent="0.3">
      <c r="A46" s="126">
        <v>320</v>
      </c>
      <c r="B46" s="127">
        <v>0</v>
      </c>
      <c r="C46" s="126">
        <v>0</v>
      </c>
      <c r="D46" s="137">
        <v>0</v>
      </c>
    </row>
    <row r="47" spans="1:4" x14ac:dyDescent="0.3">
      <c r="A47" s="126">
        <v>330</v>
      </c>
      <c r="B47" s="127">
        <v>0</v>
      </c>
      <c r="C47" s="126">
        <v>0</v>
      </c>
      <c r="D47" s="137">
        <v>0</v>
      </c>
    </row>
    <row r="48" spans="1:4" x14ac:dyDescent="0.3">
      <c r="A48" s="126">
        <v>340</v>
      </c>
      <c r="B48" s="127">
        <v>0</v>
      </c>
      <c r="C48" s="126">
        <v>0</v>
      </c>
      <c r="D48" s="137">
        <v>0</v>
      </c>
    </row>
    <row r="49" spans="1:4" x14ac:dyDescent="0.3">
      <c r="A49" s="126">
        <v>350</v>
      </c>
      <c r="B49" s="127">
        <v>0</v>
      </c>
      <c r="C49" s="126">
        <v>0</v>
      </c>
      <c r="D49" s="137">
        <v>0</v>
      </c>
    </row>
    <row r="50" spans="1:4" x14ac:dyDescent="0.3">
      <c r="A50" s="126">
        <v>360</v>
      </c>
      <c r="B50" s="127">
        <v>0</v>
      </c>
      <c r="C50" s="126">
        <v>0</v>
      </c>
      <c r="D50" s="137">
        <v>0</v>
      </c>
    </row>
    <row r="51" spans="1:4" x14ac:dyDescent="0.3">
      <c r="A51" s="126">
        <v>370</v>
      </c>
      <c r="B51" s="127">
        <v>0</v>
      </c>
      <c r="C51" s="126">
        <v>0</v>
      </c>
      <c r="D51" s="137">
        <v>0</v>
      </c>
    </row>
    <row r="52" spans="1:4" x14ac:dyDescent="0.3">
      <c r="A52" s="126">
        <v>380</v>
      </c>
      <c r="B52" s="127">
        <v>0</v>
      </c>
      <c r="C52" s="126">
        <v>0</v>
      </c>
      <c r="D52" s="137">
        <v>0</v>
      </c>
    </row>
    <row r="53" spans="1:4" x14ac:dyDescent="0.3">
      <c r="A53" s="126">
        <v>382.54</v>
      </c>
      <c r="B53" s="127">
        <v>0</v>
      </c>
      <c r="C53" s="126">
        <v>0</v>
      </c>
      <c r="D53" s="137">
        <v>0</v>
      </c>
    </row>
  </sheetData>
  <conditionalFormatting sqref="B12:D12">
    <cfRule type="cellIs" dxfId="13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3"/>
  <sheetViews>
    <sheetView workbookViewId="0">
      <selection activeCell="A2" sqref="A2"/>
    </sheetView>
  </sheetViews>
  <sheetFormatPr baseColWidth="10" defaultColWidth="11.6328125" defaultRowHeight="13" x14ac:dyDescent="0.3"/>
  <cols>
    <col min="1" max="1" width="15.7265625" style="74" customWidth="1"/>
    <col min="2" max="2" width="12.7265625" style="76" customWidth="1"/>
    <col min="3" max="3" width="12.81640625" style="95" customWidth="1"/>
    <col min="4" max="4" width="11.6328125" style="76" customWidth="1"/>
    <col min="5" max="5" width="11.6328125" style="95" customWidth="1"/>
    <col min="6" max="6" width="11.6328125" style="76" customWidth="1"/>
    <col min="7" max="7" width="11.6328125" style="95" customWidth="1"/>
    <col min="8" max="8" width="11.6328125" style="76" customWidth="1"/>
    <col min="9" max="9" width="11.6328125" style="95" customWidth="1"/>
    <col min="10" max="10" width="11.6328125" style="76" customWidth="1"/>
    <col min="11" max="11" width="11.6328125" style="134" customWidth="1"/>
    <col min="12" max="13" width="11.6328125" style="51" customWidth="1"/>
    <col min="14" max="14" width="11.6328125" style="76" customWidth="1"/>
    <col min="15" max="15" width="11.6328125" style="51" customWidth="1"/>
    <col min="16" max="16" width="11.6328125" style="76" customWidth="1"/>
    <col min="17" max="17" width="11.6328125" style="134" customWidth="1"/>
    <col min="18" max="19" width="11.6328125" style="51" customWidth="1"/>
    <col min="20" max="20" width="13" style="76" customWidth="1"/>
    <col min="21" max="21" width="11.26953125" style="95" customWidth="1"/>
    <col min="22" max="22" width="14.6328125" style="51" customWidth="1"/>
    <col min="23" max="31" width="11.6328125" style="80" customWidth="1"/>
    <col min="32" max="32" width="11.6328125" style="51" customWidth="1"/>
    <col min="33" max="16384" width="11.6328125" style="51"/>
  </cols>
  <sheetData>
    <row r="1" spans="1:31" ht="45" customHeight="1" x14ac:dyDescent="0.6">
      <c r="A1" s="48"/>
      <c r="B1" s="48"/>
      <c r="C1" s="49"/>
      <c r="D1" s="48"/>
      <c r="E1" s="48"/>
      <c r="F1" s="48"/>
      <c r="G1" s="48"/>
      <c r="H1" s="48"/>
      <c r="I1" s="48"/>
      <c r="J1" s="84"/>
      <c r="K1" s="84"/>
      <c r="L1" s="84"/>
      <c r="M1" s="84"/>
      <c r="N1" s="48"/>
      <c r="O1" s="85"/>
      <c r="P1" s="84"/>
      <c r="Q1" s="85"/>
      <c r="R1" s="85"/>
      <c r="S1" s="85"/>
      <c r="T1" s="48"/>
      <c r="U1" s="48"/>
    </row>
    <row r="2" spans="1:31" ht="16.899999999999999" customHeight="1" x14ac:dyDescent="0.4">
      <c r="A2" s="8" t="s">
        <v>6</v>
      </c>
      <c r="B2" s="52"/>
      <c r="C2" s="53"/>
      <c r="D2" s="53"/>
      <c r="E2" s="53"/>
      <c r="F2" s="53"/>
      <c r="G2" s="53"/>
      <c r="H2" s="53"/>
      <c r="I2" s="53"/>
      <c r="J2" s="86"/>
      <c r="K2" s="86"/>
      <c r="L2" s="86"/>
      <c r="M2" s="86"/>
      <c r="N2" s="53"/>
      <c r="O2" s="87"/>
      <c r="P2" s="86"/>
      <c r="Q2" s="87"/>
      <c r="R2" s="87"/>
      <c r="S2" s="87"/>
      <c r="T2" s="53"/>
      <c r="U2" s="53"/>
    </row>
    <row r="3" spans="1:31" ht="16.149999999999999" customHeight="1" x14ac:dyDescent="0.35">
      <c r="A3" s="153" t="s">
        <v>41</v>
      </c>
      <c r="B3" s="55"/>
      <c r="C3" s="56"/>
      <c r="D3" s="56"/>
      <c r="E3" s="56"/>
      <c r="F3" s="56"/>
      <c r="G3" s="56"/>
      <c r="H3" s="56"/>
      <c r="I3" s="56"/>
      <c r="J3" s="9"/>
      <c r="K3" s="9"/>
      <c r="L3" s="9"/>
      <c r="M3" s="9"/>
      <c r="N3" s="56"/>
      <c r="O3" s="10"/>
      <c r="P3" s="9"/>
      <c r="Q3" s="10"/>
      <c r="R3" s="10"/>
      <c r="S3" s="10"/>
      <c r="T3" s="56"/>
      <c r="U3" s="56"/>
      <c r="V3" s="19"/>
    </row>
    <row r="4" spans="1:31" ht="16.149999999999999" customHeight="1" x14ac:dyDescent="0.35">
      <c r="A4" s="55" t="s">
        <v>8</v>
      </c>
      <c r="B4" s="55" t="str">
        <f>Sammendrag!B4</f>
        <v>Veg 1</v>
      </c>
      <c r="C4" s="55"/>
      <c r="D4" s="56"/>
      <c r="E4" s="56"/>
      <c r="F4" s="56"/>
      <c r="G4" s="56"/>
      <c r="H4" s="56"/>
      <c r="I4" s="56"/>
      <c r="J4" s="9"/>
      <c r="K4" s="9"/>
      <c r="L4" s="9"/>
      <c r="M4" s="9"/>
      <c r="N4" s="56"/>
      <c r="O4" s="10"/>
      <c r="P4" s="9"/>
      <c r="Q4" s="10"/>
      <c r="R4" s="10"/>
      <c r="S4" s="10"/>
      <c r="T4" s="56"/>
      <c r="U4" s="56"/>
      <c r="V4" s="19"/>
    </row>
    <row r="5" spans="1:31" ht="15" customHeight="1" x14ac:dyDescent="0.3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56"/>
      <c r="H5" s="15">
        <f>Sammendrag!H5</f>
        <v>0</v>
      </c>
      <c r="I5" s="56"/>
      <c r="J5" s="9"/>
      <c r="K5" s="9"/>
      <c r="L5" s="9"/>
      <c r="M5" s="9"/>
      <c r="N5" s="56"/>
      <c r="O5" s="10"/>
      <c r="P5" s="9"/>
      <c r="Q5" s="10"/>
      <c r="R5" s="10"/>
      <c r="S5" s="10"/>
      <c r="T5" s="56"/>
      <c r="U5" s="56"/>
      <c r="V5" s="19"/>
    </row>
    <row r="6" spans="1:31" ht="15" customHeight="1" x14ac:dyDescent="0.3">
      <c r="A6" s="56"/>
      <c r="B6" s="56"/>
      <c r="C6" s="56"/>
      <c r="D6" s="56"/>
      <c r="E6" s="56"/>
      <c r="F6" s="56" t="str">
        <f>Sammendrag!F6</f>
        <v>Slutt profil:</v>
      </c>
      <c r="G6" s="56"/>
      <c r="H6" s="15">
        <f>Sammendrag!H6</f>
        <v>382.54</v>
      </c>
      <c r="I6" s="56"/>
      <c r="J6" s="9"/>
      <c r="K6" s="9"/>
      <c r="L6" s="9"/>
      <c r="M6" s="9"/>
      <c r="N6" s="56"/>
      <c r="O6" s="10"/>
      <c r="P6" s="9"/>
      <c r="Q6" s="10"/>
      <c r="R6" s="10"/>
      <c r="S6" s="10"/>
      <c r="T6" s="56"/>
      <c r="U6" s="56"/>
      <c r="V6" s="19"/>
    </row>
    <row r="7" spans="1:31" ht="15" customHeight="1" x14ac:dyDescent="0.3">
      <c r="A7" s="56"/>
      <c r="B7" s="56"/>
      <c r="C7" s="56"/>
      <c r="D7" s="56"/>
      <c r="E7" s="56"/>
      <c r="F7" s="56" t="str">
        <f>Sammendrag!F7</f>
        <v>Dato sist endret:</v>
      </c>
      <c r="G7" s="56"/>
      <c r="H7" s="58" t="str">
        <f>Sammendrag!H7</f>
        <v>5/8/2020 1:04:50 PM</v>
      </c>
      <c r="I7" s="56"/>
      <c r="J7" s="9"/>
      <c r="K7" s="9"/>
      <c r="L7" s="9"/>
      <c r="M7" s="9"/>
      <c r="N7" s="56"/>
      <c r="O7" s="10"/>
      <c r="P7" s="9"/>
      <c r="Q7" s="10"/>
      <c r="R7" s="10"/>
      <c r="S7" s="10"/>
      <c r="T7" s="56"/>
      <c r="U7" s="56"/>
      <c r="V7" s="19"/>
    </row>
    <row r="8" spans="1:31" ht="15" customHeight="1" x14ac:dyDescent="0.3">
      <c r="A8" s="56"/>
      <c r="B8" s="56"/>
      <c r="C8" s="56"/>
      <c r="D8" s="56"/>
      <c r="E8" s="56"/>
      <c r="F8" s="56"/>
      <c r="G8" s="56"/>
      <c r="H8" s="15"/>
      <c r="I8" s="56"/>
      <c r="J8" s="9"/>
      <c r="K8" s="9"/>
      <c r="L8" s="9"/>
      <c r="M8" s="9"/>
      <c r="N8" s="56"/>
      <c r="O8" s="10"/>
      <c r="P8" s="9"/>
      <c r="Q8" s="10"/>
      <c r="R8" s="10"/>
      <c r="S8" s="10"/>
      <c r="T8" s="56"/>
      <c r="U8" s="56"/>
      <c r="V8" s="19"/>
    </row>
    <row r="9" spans="1:31" ht="15" customHeigh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31" ht="15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31" s="91" customFormat="1" ht="17.5" customHeight="1" x14ac:dyDescent="0.25">
      <c r="A11" s="88"/>
      <c r="B11" s="158" t="s">
        <v>42</v>
      </c>
      <c r="C11" s="159"/>
      <c r="D11" s="158" t="s">
        <v>43</v>
      </c>
      <c r="E11" s="159"/>
      <c r="F11" s="158" t="s">
        <v>44</v>
      </c>
      <c r="G11" s="159"/>
      <c r="H11" s="158" t="s">
        <v>45</v>
      </c>
      <c r="I11" s="159"/>
      <c r="J11" s="158" t="s">
        <v>46</v>
      </c>
      <c r="K11" s="159"/>
      <c r="L11" s="158" t="s">
        <v>47</v>
      </c>
      <c r="M11" s="159"/>
      <c r="N11" s="158" t="s">
        <v>48</v>
      </c>
      <c r="O11" s="159"/>
      <c r="P11" s="158" t="s">
        <v>49</v>
      </c>
      <c r="Q11" s="159"/>
      <c r="R11" s="158" t="s">
        <v>50</v>
      </c>
      <c r="S11" s="159"/>
      <c r="T11" s="158" t="s">
        <v>51</v>
      </c>
      <c r="U11" s="159"/>
      <c r="V11" s="89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91" customFormat="1" ht="21.65" customHeight="1" thickBot="1" x14ac:dyDescent="0.3">
      <c r="A12" s="92" t="s">
        <v>25</v>
      </c>
      <c r="B12" s="150" t="s">
        <v>84</v>
      </c>
      <c r="C12" s="151" t="s">
        <v>85</v>
      </c>
      <c r="D12" s="150" t="s">
        <v>84</v>
      </c>
      <c r="E12" s="151" t="s">
        <v>85</v>
      </c>
      <c r="F12" s="150" t="s">
        <v>84</v>
      </c>
      <c r="G12" s="151" t="s">
        <v>85</v>
      </c>
      <c r="H12" s="150" t="s">
        <v>84</v>
      </c>
      <c r="I12" s="151" t="s">
        <v>85</v>
      </c>
      <c r="J12" s="150" t="s">
        <v>84</v>
      </c>
      <c r="K12" s="151" t="s">
        <v>85</v>
      </c>
      <c r="L12" s="150" t="s">
        <v>84</v>
      </c>
      <c r="M12" s="151" t="s">
        <v>85</v>
      </c>
      <c r="N12" s="150" t="s">
        <v>84</v>
      </c>
      <c r="O12" s="151" t="s">
        <v>85</v>
      </c>
      <c r="P12" s="150" t="s">
        <v>84</v>
      </c>
      <c r="Q12" s="151" t="s">
        <v>85</v>
      </c>
      <c r="R12" s="150" t="s">
        <v>84</v>
      </c>
      <c r="S12" s="151" t="s">
        <v>85</v>
      </c>
      <c r="T12" s="150" t="s">
        <v>84</v>
      </c>
      <c r="U12" s="151" t="s">
        <v>85</v>
      </c>
      <c r="V12" s="93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ht="16.149999999999999" customHeight="1" thickTop="1" x14ac:dyDescent="0.3">
      <c r="A13" s="69" t="s">
        <v>26</v>
      </c>
      <c r="B13" s="70">
        <f ca="1">SUM([0]!ST_Surface_Vol)</f>
        <v>47.483432097395081</v>
      </c>
      <c r="C13" s="94">
        <f ca="1">SUM([0]!ST_Surface_Area)</f>
        <v>729.24936959661318</v>
      </c>
      <c r="D13" s="70">
        <f ca="1">SUM([0]!ST_Binder1_Vol)</f>
        <v>0</v>
      </c>
      <c r="E13" s="94">
        <f ca="1">SUM([0]!ST_Binder1_Area)</f>
        <v>0</v>
      </c>
      <c r="F13" s="70">
        <f ca="1">SUM([0]!ST_Binder2_Vol)</f>
        <v>0</v>
      </c>
      <c r="G13" s="94">
        <f ca="1">SUM([0]!ST_Binder2_Area)</f>
        <v>0</v>
      </c>
      <c r="H13" s="70">
        <f ca="1">SUM([0]!ST_Base1_Vol)</f>
        <v>120.49809487363051</v>
      </c>
      <c r="I13" s="94">
        <f ca="1">SUM([0]!ST_Base1_Area)</f>
        <v>832.29482775814358</v>
      </c>
      <c r="J13" s="70">
        <f ca="1">SUM([0]!ST_Base2_Vol)</f>
        <v>128.25679993816203</v>
      </c>
      <c r="K13" s="133">
        <f ca="1">SUM([0]!ST_Base2_Area)</f>
        <v>825.90358347436018</v>
      </c>
      <c r="L13" s="59">
        <f ca="1">SUM([0]!ST_Base3_Vol)</f>
        <v>0</v>
      </c>
      <c r="M13" s="94">
        <f ca="1">SUM([0]!ST_Base3_Area)</f>
        <v>0</v>
      </c>
      <c r="N13" s="70">
        <f ca="1">SUM([0]!ST_Subbase1_Vol)</f>
        <v>0</v>
      </c>
      <c r="O13" s="94">
        <f ca="1">SUM([0]!ST_Subbase1_Area)</f>
        <v>0</v>
      </c>
      <c r="P13" s="70">
        <f ca="1">SUM([0]!ST_Subbase2_Vol)</f>
        <v>0</v>
      </c>
      <c r="Q13" s="133">
        <f ca="1">SUM([0]!ST_Subbase2_Area)</f>
        <v>0</v>
      </c>
      <c r="R13" s="59">
        <f ca="1">SUM([0]!ST_Subbase3_Vol)</f>
        <v>0</v>
      </c>
      <c r="S13" s="94">
        <f ca="1">SUM([0]!ST_Subbase3_Area)</f>
        <v>0</v>
      </c>
      <c r="T13" s="70">
        <f ca="1">SUM([0]!ST_Filter_Vol)</f>
        <v>0.72856003684459114</v>
      </c>
      <c r="U13" s="94">
        <f ca="1">SUM([0]!ST_Filter_Area)</f>
        <v>776.66974839431862</v>
      </c>
    </row>
    <row r="14" spans="1:31" x14ac:dyDescent="0.3">
      <c r="A14" s="74">
        <v>0</v>
      </c>
      <c r="B14" s="76">
        <v>0.64256410254799301</v>
      </c>
      <c r="C14" s="95">
        <v>9.8797740199402693</v>
      </c>
      <c r="D14" s="76">
        <v>0</v>
      </c>
      <c r="E14" s="95">
        <v>0</v>
      </c>
      <c r="F14" s="76">
        <v>0</v>
      </c>
      <c r="G14" s="95">
        <v>0</v>
      </c>
      <c r="H14" s="76">
        <v>1.46153846179783</v>
      </c>
      <c r="I14" s="95">
        <v>11.1604619406337</v>
      </c>
      <c r="J14" s="76">
        <v>1.5481163415550401</v>
      </c>
      <c r="K14" s="134">
        <v>10.822276128710101</v>
      </c>
      <c r="L14" s="51">
        <v>0</v>
      </c>
      <c r="M14" s="95">
        <v>0</v>
      </c>
      <c r="N14" s="76">
        <v>0</v>
      </c>
      <c r="O14" s="95">
        <v>0</v>
      </c>
      <c r="P14" s="76">
        <v>0</v>
      </c>
      <c r="Q14" s="134">
        <v>0</v>
      </c>
      <c r="R14" s="51">
        <v>0</v>
      </c>
      <c r="S14" s="51">
        <v>0</v>
      </c>
      <c r="T14" s="76">
        <v>9.9754944174606005E-3</v>
      </c>
      <c r="U14" s="95">
        <v>10.389902796140101</v>
      </c>
    </row>
    <row r="15" spans="1:31" x14ac:dyDescent="0.3">
      <c r="A15" s="74">
        <v>10</v>
      </c>
      <c r="B15" s="76">
        <v>1.28512820500384</v>
      </c>
      <c r="C15" s="95">
        <v>19.717159946168699</v>
      </c>
      <c r="D15" s="76">
        <v>0</v>
      </c>
      <c r="E15" s="95">
        <v>0</v>
      </c>
      <c r="F15" s="76">
        <v>0</v>
      </c>
      <c r="G15" s="95">
        <v>0</v>
      </c>
      <c r="H15" s="76">
        <v>2.9230769233787401</v>
      </c>
      <c r="I15" s="95">
        <v>22.276022039070199</v>
      </c>
      <c r="J15" s="76">
        <v>3.0962326828844802</v>
      </c>
      <c r="K15" s="134">
        <v>21.597125336166801</v>
      </c>
      <c r="L15" s="51">
        <v>0</v>
      </c>
      <c r="M15" s="95">
        <v>0</v>
      </c>
      <c r="N15" s="76">
        <v>0</v>
      </c>
      <c r="O15" s="95">
        <v>0</v>
      </c>
      <c r="P15" s="76">
        <v>0</v>
      </c>
      <c r="Q15" s="134">
        <v>0</v>
      </c>
      <c r="R15" s="51">
        <v>0</v>
      </c>
      <c r="S15" s="51">
        <v>0</v>
      </c>
      <c r="T15" s="76">
        <v>1.9950988833500102E-2</v>
      </c>
      <c r="U15" s="95">
        <v>20.732134982833401</v>
      </c>
    </row>
    <row r="16" spans="1:31" x14ac:dyDescent="0.3">
      <c r="A16" s="74">
        <v>20</v>
      </c>
      <c r="B16" s="76">
        <v>1.28039724622664</v>
      </c>
      <c r="C16" s="95">
        <v>19.942080835148101</v>
      </c>
      <c r="D16" s="76">
        <v>0</v>
      </c>
      <c r="E16" s="95">
        <v>0</v>
      </c>
      <c r="F16" s="76">
        <v>0</v>
      </c>
      <c r="G16" s="95">
        <v>0</v>
      </c>
      <c r="H16" s="76">
        <v>2.9152235717924699</v>
      </c>
      <c r="I16" s="95">
        <v>22.5166290140405</v>
      </c>
      <c r="J16" s="76">
        <v>3.0880904098452802</v>
      </c>
      <c r="K16" s="134">
        <v>21.852603052266002</v>
      </c>
      <c r="L16" s="51">
        <v>0</v>
      </c>
      <c r="M16" s="95">
        <v>0</v>
      </c>
      <c r="N16" s="76">
        <v>0</v>
      </c>
      <c r="O16" s="95">
        <v>0</v>
      </c>
      <c r="P16" s="76">
        <v>0</v>
      </c>
      <c r="Q16" s="134">
        <v>0</v>
      </c>
      <c r="R16" s="51">
        <v>0</v>
      </c>
      <c r="S16" s="51">
        <v>0</v>
      </c>
      <c r="T16" s="76">
        <v>1.9977334691304801E-2</v>
      </c>
      <c r="U16" s="95">
        <v>20.9858972369179</v>
      </c>
    </row>
    <row r="17" spans="1:21" x14ac:dyDescent="0.3">
      <c r="A17" s="74">
        <v>30</v>
      </c>
      <c r="B17" s="76">
        <v>1.2797897609800699</v>
      </c>
      <c r="C17" s="95">
        <v>19.942761763322999</v>
      </c>
      <c r="D17" s="76">
        <v>0</v>
      </c>
      <c r="E17" s="95">
        <v>0</v>
      </c>
      <c r="F17" s="76">
        <v>0</v>
      </c>
      <c r="G17" s="95">
        <v>0</v>
      </c>
      <c r="H17" s="76">
        <v>3.7007824985308799</v>
      </c>
      <c r="I17" s="95">
        <v>23.4052642830945</v>
      </c>
      <c r="J17" s="76">
        <v>3.9730587254464398</v>
      </c>
      <c r="K17" s="134">
        <v>23.258280739948098</v>
      </c>
      <c r="L17" s="51">
        <v>0</v>
      </c>
      <c r="M17" s="95">
        <v>0</v>
      </c>
      <c r="N17" s="76">
        <v>0</v>
      </c>
      <c r="O17" s="95">
        <v>0</v>
      </c>
      <c r="P17" s="76">
        <v>0</v>
      </c>
      <c r="Q17" s="134">
        <v>0</v>
      </c>
      <c r="R17" s="51">
        <v>0</v>
      </c>
      <c r="S17" s="51">
        <v>0</v>
      </c>
      <c r="T17" s="76">
        <v>2.02723034848304E-2</v>
      </c>
      <c r="U17" s="95">
        <v>21.826026809187201</v>
      </c>
    </row>
    <row r="18" spans="1:21" x14ac:dyDescent="0.3">
      <c r="A18" s="74">
        <v>40</v>
      </c>
      <c r="B18" s="76">
        <v>0.99578080304692695</v>
      </c>
      <c r="C18" s="95">
        <v>15.519732715822901</v>
      </c>
      <c r="D18" s="76">
        <v>0</v>
      </c>
      <c r="E18" s="95">
        <v>0</v>
      </c>
      <c r="F18" s="76">
        <v>0</v>
      </c>
      <c r="G18" s="95">
        <v>0</v>
      </c>
      <c r="H18" s="76">
        <v>2.9869578423092902</v>
      </c>
      <c r="I18" s="95">
        <v>18.335206566479201</v>
      </c>
      <c r="J18" s="76">
        <v>3.2152167905629798</v>
      </c>
      <c r="K18" s="134">
        <v>18.349479150038501</v>
      </c>
      <c r="L18" s="51">
        <v>0</v>
      </c>
      <c r="M18" s="95">
        <v>0</v>
      </c>
      <c r="N18" s="76">
        <v>0</v>
      </c>
      <c r="O18" s="95">
        <v>0</v>
      </c>
      <c r="P18" s="76">
        <v>0</v>
      </c>
      <c r="Q18" s="134">
        <v>0</v>
      </c>
      <c r="R18" s="51">
        <v>0</v>
      </c>
      <c r="S18" s="51">
        <v>0</v>
      </c>
      <c r="T18" s="76">
        <v>1.5802370243932301E-2</v>
      </c>
      <c r="U18" s="95">
        <v>17.138801167493099</v>
      </c>
    </row>
    <row r="19" spans="1:21" x14ac:dyDescent="0.3">
      <c r="A19" s="74">
        <v>50</v>
      </c>
      <c r="B19" s="76">
        <v>0.73732190381024099</v>
      </c>
      <c r="C19" s="95">
        <v>11.482722838761299</v>
      </c>
      <c r="D19" s="76">
        <v>0</v>
      </c>
      <c r="E19" s="95">
        <v>0</v>
      </c>
      <c r="F19" s="76">
        <v>0</v>
      </c>
      <c r="G19" s="95">
        <v>0</v>
      </c>
      <c r="H19" s="76">
        <v>1.7000467801038901</v>
      </c>
      <c r="I19" s="95">
        <v>12.9963184977914</v>
      </c>
      <c r="J19" s="76">
        <v>1.79911722294376</v>
      </c>
      <c r="K19" s="134">
        <v>12.553998213371599</v>
      </c>
      <c r="L19" s="51">
        <v>0</v>
      </c>
      <c r="M19" s="95">
        <v>0</v>
      </c>
      <c r="N19" s="76">
        <v>0</v>
      </c>
      <c r="O19" s="95">
        <v>0</v>
      </c>
      <c r="P19" s="76">
        <v>0</v>
      </c>
      <c r="Q19" s="134">
        <v>0</v>
      </c>
      <c r="R19" s="51">
        <v>0</v>
      </c>
      <c r="S19" s="51">
        <v>0</v>
      </c>
      <c r="T19" s="76">
        <v>1.1478935756727499E-2</v>
      </c>
      <c r="U19" s="95">
        <v>12.0632125873686</v>
      </c>
    </row>
    <row r="20" spans="1:21" x14ac:dyDescent="0.3">
      <c r="A20" s="74">
        <v>60</v>
      </c>
      <c r="B20" s="76">
        <v>1.2851282049054999</v>
      </c>
      <c r="C20" s="95">
        <v>19.962878183379299</v>
      </c>
      <c r="D20" s="76">
        <v>0</v>
      </c>
      <c r="E20" s="95">
        <v>0</v>
      </c>
      <c r="F20" s="76">
        <v>0</v>
      </c>
      <c r="G20" s="95">
        <v>0</v>
      </c>
      <c r="H20" s="76">
        <v>3.3601472216025199</v>
      </c>
      <c r="I20" s="95">
        <v>23.026782612526301</v>
      </c>
      <c r="J20" s="76">
        <v>3.5848267911300402</v>
      </c>
      <c r="K20" s="134">
        <v>22.616776441607399</v>
      </c>
      <c r="L20" s="51">
        <v>0</v>
      </c>
      <c r="M20" s="95">
        <v>0</v>
      </c>
      <c r="N20" s="76">
        <v>0</v>
      </c>
      <c r="O20" s="95">
        <v>0</v>
      </c>
      <c r="P20" s="76">
        <v>0</v>
      </c>
      <c r="Q20" s="134">
        <v>0</v>
      </c>
      <c r="R20" s="51">
        <v>0</v>
      </c>
      <c r="S20" s="51">
        <v>0</v>
      </c>
      <c r="T20" s="76">
        <v>2.00811486289467E-2</v>
      </c>
      <c r="U20" s="95">
        <v>21.331827794398901</v>
      </c>
    </row>
    <row r="21" spans="1:21" x14ac:dyDescent="0.3">
      <c r="A21" s="74">
        <v>70</v>
      </c>
      <c r="B21" s="76">
        <v>1.2851282049149499</v>
      </c>
      <c r="C21" s="95">
        <v>19.864858875328199</v>
      </c>
      <c r="D21" s="76">
        <v>0</v>
      </c>
      <c r="E21" s="95">
        <v>0</v>
      </c>
      <c r="F21" s="76">
        <v>0</v>
      </c>
      <c r="G21" s="95">
        <v>0</v>
      </c>
      <c r="H21" s="76">
        <v>3.9487179483346599</v>
      </c>
      <c r="I21" s="95">
        <v>23.582176135937701</v>
      </c>
      <c r="J21" s="76">
        <v>4.2731146718890001</v>
      </c>
      <c r="K21" s="134">
        <v>24.680635910717399</v>
      </c>
      <c r="L21" s="51">
        <v>0</v>
      </c>
      <c r="M21" s="95">
        <v>0</v>
      </c>
      <c r="N21" s="76">
        <v>0</v>
      </c>
      <c r="O21" s="95">
        <v>0</v>
      </c>
      <c r="P21" s="76">
        <v>0</v>
      </c>
      <c r="Q21" s="134">
        <v>0</v>
      </c>
      <c r="R21" s="51">
        <v>0</v>
      </c>
      <c r="S21" s="51">
        <v>0</v>
      </c>
      <c r="T21" s="76">
        <v>1.9775194568524099E-2</v>
      </c>
      <c r="U21" s="95">
        <v>21.7832145639806</v>
      </c>
    </row>
    <row r="22" spans="1:21" x14ac:dyDescent="0.3">
      <c r="A22" s="74">
        <v>80</v>
      </c>
      <c r="B22" s="76">
        <v>0.63431636782441803</v>
      </c>
      <c r="C22" s="95">
        <v>9.8049401676183994</v>
      </c>
      <c r="D22" s="76">
        <v>0</v>
      </c>
      <c r="E22" s="95">
        <v>0</v>
      </c>
      <c r="F22" s="76">
        <v>0</v>
      </c>
      <c r="G22" s="95">
        <v>0</v>
      </c>
      <c r="H22" s="76">
        <v>1.94901677277895</v>
      </c>
      <c r="I22" s="95">
        <v>11.6397416711372</v>
      </c>
      <c r="J22" s="76">
        <v>2.1356750051842699</v>
      </c>
      <c r="K22" s="134">
        <v>12.558933843041499</v>
      </c>
      <c r="L22" s="51">
        <v>0</v>
      </c>
      <c r="M22" s="95">
        <v>0</v>
      </c>
      <c r="N22" s="76">
        <v>0</v>
      </c>
      <c r="O22" s="95">
        <v>0</v>
      </c>
      <c r="P22" s="76">
        <v>0</v>
      </c>
      <c r="Q22" s="134">
        <v>0</v>
      </c>
      <c r="R22" s="51">
        <v>0</v>
      </c>
      <c r="S22" s="51">
        <v>0</v>
      </c>
      <c r="T22" s="76">
        <v>9.9182254307947897E-3</v>
      </c>
      <c r="U22" s="95">
        <v>11.2137457663252</v>
      </c>
    </row>
    <row r="23" spans="1:21" x14ac:dyDescent="0.3">
      <c r="A23" s="74">
        <v>90</v>
      </c>
      <c r="B23" s="76">
        <v>0.71203982208851002</v>
      </c>
      <c r="C23" s="95">
        <v>11.0194709832324</v>
      </c>
      <c r="D23" s="76">
        <v>0</v>
      </c>
      <c r="E23" s="95">
        <v>0</v>
      </c>
      <c r="F23" s="76">
        <v>0</v>
      </c>
      <c r="G23" s="95">
        <v>0</v>
      </c>
      <c r="H23" s="76">
        <v>2.1878318553949798</v>
      </c>
      <c r="I23" s="95">
        <v>13.080066784385799</v>
      </c>
      <c r="J23" s="76">
        <v>2.2579390150544398</v>
      </c>
      <c r="K23" s="134">
        <v>11.969169580202699</v>
      </c>
      <c r="L23" s="51">
        <v>0</v>
      </c>
      <c r="M23" s="95">
        <v>0</v>
      </c>
      <c r="N23" s="76">
        <v>0</v>
      </c>
      <c r="O23" s="95">
        <v>0</v>
      </c>
      <c r="P23" s="76">
        <v>0</v>
      </c>
      <c r="Q23" s="134">
        <v>0</v>
      </c>
      <c r="R23" s="51">
        <v>0</v>
      </c>
      <c r="S23" s="51">
        <v>0</v>
      </c>
      <c r="T23" s="76">
        <v>1.0644523191349E-2</v>
      </c>
      <c r="U23" s="95">
        <v>11.0994997919663</v>
      </c>
    </row>
    <row r="24" spans="1:21" x14ac:dyDescent="0.3">
      <c r="A24" s="74">
        <v>100</v>
      </c>
      <c r="B24" s="76">
        <v>1.2846324135470499</v>
      </c>
      <c r="C24" s="95">
        <v>19.981531704319099</v>
      </c>
      <c r="D24" s="76">
        <v>0</v>
      </c>
      <c r="E24" s="95">
        <v>0</v>
      </c>
      <c r="F24" s="76">
        <v>0</v>
      </c>
      <c r="G24" s="95">
        <v>0</v>
      </c>
      <c r="H24" s="76">
        <v>3.9471945665089301</v>
      </c>
      <c r="I24" s="95">
        <v>23.707106435542801</v>
      </c>
      <c r="J24" s="76">
        <v>4.1575804861295396</v>
      </c>
      <c r="K24" s="134">
        <v>22.719893124770699</v>
      </c>
      <c r="L24" s="51">
        <v>0</v>
      </c>
      <c r="M24" s="95">
        <v>0</v>
      </c>
      <c r="N24" s="76">
        <v>0</v>
      </c>
      <c r="O24" s="95">
        <v>0</v>
      </c>
      <c r="P24" s="76">
        <v>0</v>
      </c>
      <c r="Q24" s="134">
        <v>0</v>
      </c>
      <c r="R24" s="51">
        <v>0</v>
      </c>
      <c r="S24" s="51">
        <v>0</v>
      </c>
      <c r="T24" s="76">
        <v>1.9739701033064001E-2</v>
      </c>
      <c r="U24" s="95">
        <v>21.101457186015601</v>
      </c>
    </row>
    <row r="25" spans="1:21" x14ac:dyDescent="0.3">
      <c r="A25" s="74">
        <v>110</v>
      </c>
      <c r="B25" s="76">
        <v>1.2829873953861901</v>
      </c>
      <c r="C25" s="95">
        <v>20.083207604367999</v>
      </c>
      <c r="D25" s="76">
        <v>0</v>
      </c>
      <c r="E25" s="95">
        <v>0</v>
      </c>
      <c r="F25" s="76">
        <v>0</v>
      </c>
      <c r="G25" s="95">
        <v>0</v>
      </c>
      <c r="H25" s="76">
        <v>3.4816056738572199</v>
      </c>
      <c r="I25" s="95">
        <v>23.2970672669802</v>
      </c>
      <c r="J25" s="76">
        <v>3.7304775383503199</v>
      </c>
      <c r="K25" s="134">
        <v>23.2026254344328</v>
      </c>
      <c r="L25" s="51">
        <v>0</v>
      </c>
      <c r="M25" s="95">
        <v>0</v>
      </c>
      <c r="N25" s="76">
        <v>0</v>
      </c>
      <c r="O25" s="95">
        <v>0</v>
      </c>
      <c r="P25" s="76">
        <v>0</v>
      </c>
      <c r="Q25" s="134">
        <v>0</v>
      </c>
      <c r="R25" s="51">
        <v>0</v>
      </c>
      <c r="S25" s="51">
        <v>0</v>
      </c>
      <c r="T25" s="76">
        <v>2.0164350739797499E-2</v>
      </c>
      <c r="U25" s="95">
        <v>21.9121901949358</v>
      </c>
    </row>
    <row r="26" spans="1:21" x14ac:dyDescent="0.3">
      <c r="A26" s="74">
        <v>120</v>
      </c>
      <c r="B26" s="76">
        <v>1.28375693634646</v>
      </c>
      <c r="C26" s="95">
        <v>20.093577761012799</v>
      </c>
      <c r="D26" s="76">
        <v>0</v>
      </c>
      <c r="E26" s="95">
        <v>0</v>
      </c>
      <c r="F26" s="76">
        <v>0</v>
      </c>
      <c r="G26" s="95">
        <v>0</v>
      </c>
      <c r="H26" s="76">
        <v>2.9199579158687698</v>
      </c>
      <c r="I26" s="95">
        <v>22.674550139951801</v>
      </c>
      <c r="J26" s="76">
        <v>3.0929289133282101</v>
      </c>
      <c r="K26" s="134">
        <v>22.0186165000956</v>
      </c>
      <c r="L26" s="51">
        <v>0</v>
      </c>
      <c r="M26" s="95">
        <v>0</v>
      </c>
      <c r="N26" s="76">
        <v>0</v>
      </c>
      <c r="O26" s="95">
        <v>0</v>
      </c>
      <c r="P26" s="76">
        <v>0</v>
      </c>
      <c r="Q26" s="134">
        <v>0</v>
      </c>
      <c r="R26" s="51">
        <v>0</v>
      </c>
      <c r="S26" s="51">
        <v>0</v>
      </c>
      <c r="T26" s="76">
        <v>1.9886701013135201E-2</v>
      </c>
      <c r="U26" s="95">
        <v>21.156092667712901</v>
      </c>
    </row>
    <row r="27" spans="1:21" x14ac:dyDescent="0.3">
      <c r="A27" s="74">
        <v>130</v>
      </c>
      <c r="B27" s="76">
        <v>1.2829162501191</v>
      </c>
      <c r="C27" s="95">
        <v>20.082972930132701</v>
      </c>
      <c r="D27" s="76">
        <v>0</v>
      </c>
      <c r="E27" s="95">
        <v>0</v>
      </c>
      <c r="F27" s="76">
        <v>0</v>
      </c>
      <c r="G27" s="95">
        <v>0</v>
      </c>
      <c r="H27" s="76">
        <v>2.9180457404937701</v>
      </c>
      <c r="I27" s="95">
        <v>22.6632127414465</v>
      </c>
      <c r="J27" s="76">
        <v>3.09090346549281</v>
      </c>
      <c r="K27" s="134">
        <v>22.007105988214398</v>
      </c>
      <c r="L27" s="51">
        <v>0</v>
      </c>
      <c r="M27" s="95">
        <v>0</v>
      </c>
      <c r="N27" s="76">
        <v>0</v>
      </c>
      <c r="O27" s="95">
        <v>0</v>
      </c>
      <c r="P27" s="76">
        <v>0</v>
      </c>
      <c r="Q27" s="134">
        <v>0</v>
      </c>
      <c r="R27" s="51">
        <v>0</v>
      </c>
      <c r="S27" s="51">
        <v>0</v>
      </c>
      <c r="T27" s="76">
        <v>1.9963233515767301E-2</v>
      </c>
      <c r="U27" s="95">
        <v>21.1445613484135</v>
      </c>
    </row>
    <row r="28" spans="1:21" x14ac:dyDescent="0.3">
      <c r="A28" s="74">
        <v>140</v>
      </c>
      <c r="B28" s="76">
        <v>1.28234335572657</v>
      </c>
      <c r="C28" s="95">
        <v>20.075347406648</v>
      </c>
      <c r="D28" s="76">
        <v>0</v>
      </c>
      <c r="E28" s="95">
        <v>0</v>
      </c>
      <c r="F28" s="76">
        <v>0</v>
      </c>
      <c r="G28" s="95">
        <v>0</v>
      </c>
      <c r="H28" s="76">
        <v>2.9167426684769899</v>
      </c>
      <c r="I28" s="95">
        <v>22.655021637454801</v>
      </c>
      <c r="J28" s="76">
        <v>3.08952320297439</v>
      </c>
      <c r="K28" s="134">
        <v>21.998725939770001</v>
      </c>
      <c r="L28" s="51">
        <v>0</v>
      </c>
      <c r="M28" s="95">
        <v>0</v>
      </c>
      <c r="N28" s="76">
        <v>0</v>
      </c>
      <c r="O28" s="95">
        <v>0</v>
      </c>
      <c r="P28" s="76">
        <v>0</v>
      </c>
      <c r="Q28" s="134">
        <v>0</v>
      </c>
      <c r="R28" s="51">
        <v>0</v>
      </c>
      <c r="S28" s="51">
        <v>0</v>
      </c>
      <c r="T28" s="76">
        <v>1.98625279703037E-2</v>
      </c>
      <c r="U28" s="95">
        <v>21.136399114149</v>
      </c>
    </row>
    <row r="29" spans="1:21" x14ac:dyDescent="0.3">
      <c r="A29" s="74">
        <v>150</v>
      </c>
      <c r="B29" s="76">
        <v>1.2842590440386099</v>
      </c>
      <c r="C29" s="95">
        <v>20.100427414778899</v>
      </c>
      <c r="D29" s="76">
        <v>0</v>
      </c>
      <c r="E29" s="95">
        <v>0</v>
      </c>
      <c r="F29" s="76">
        <v>0</v>
      </c>
      <c r="G29" s="95">
        <v>0</v>
      </c>
      <c r="H29" s="76">
        <v>2.92109998049443</v>
      </c>
      <c r="I29" s="95">
        <v>22.681922812892299</v>
      </c>
      <c r="J29" s="76">
        <v>3.0941386310694798</v>
      </c>
      <c r="K29" s="134">
        <v>22.026182488945501</v>
      </c>
      <c r="L29" s="51">
        <v>0</v>
      </c>
      <c r="M29" s="95">
        <v>0</v>
      </c>
      <c r="N29" s="76">
        <v>0</v>
      </c>
      <c r="O29" s="95">
        <v>0</v>
      </c>
      <c r="P29" s="76">
        <v>0</v>
      </c>
      <c r="Q29" s="134">
        <v>0</v>
      </c>
      <c r="R29" s="51">
        <v>0</v>
      </c>
      <c r="S29" s="51">
        <v>0</v>
      </c>
      <c r="T29" s="76">
        <v>1.9941766510299899E-2</v>
      </c>
      <c r="U29" s="95">
        <v>21.1635222526874</v>
      </c>
    </row>
    <row r="30" spans="1:21" x14ac:dyDescent="0.3">
      <c r="A30" s="74">
        <v>160</v>
      </c>
      <c r="B30" s="76">
        <v>1.28457309988724</v>
      </c>
      <c r="C30" s="95">
        <v>19.865588003755001</v>
      </c>
      <c r="D30" s="76">
        <v>0</v>
      </c>
      <c r="E30" s="95">
        <v>0</v>
      </c>
      <c r="F30" s="76">
        <v>0</v>
      </c>
      <c r="G30" s="95">
        <v>0</v>
      </c>
      <c r="H30" s="76">
        <v>2.9218143132769998</v>
      </c>
      <c r="I30" s="95">
        <v>22.433150421695299</v>
      </c>
      <c r="J30" s="76">
        <v>3.09489527901161</v>
      </c>
      <c r="K30" s="134">
        <v>21.763305381908101</v>
      </c>
      <c r="L30" s="51">
        <v>0</v>
      </c>
      <c r="M30" s="95">
        <v>0</v>
      </c>
      <c r="N30" s="76">
        <v>0</v>
      </c>
      <c r="O30" s="95">
        <v>0</v>
      </c>
      <c r="P30" s="76">
        <v>0</v>
      </c>
      <c r="Q30" s="134">
        <v>0</v>
      </c>
      <c r="R30" s="51">
        <v>0</v>
      </c>
      <c r="S30" s="51">
        <v>0</v>
      </c>
      <c r="T30" s="76">
        <v>1.9955552443917699E-2</v>
      </c>
      <c r="U30" s="95">
        <v>20.899244241895602</v>
      </c>
    </row>
    <row r="31" spans="1:21" x14ac:dyDescent="0.3">
      <c r="A31" s="74">
        <v>170</v>
      </c>
      <c r="B31" s="76">
        <v>1.28511210108434</v>
      </c>
      <c r="C31" s="95">
        <v>19.7527640433606</v>
      </c>
      <c r="D31" s="76">
        <v>0</v>
      </c>
      <c r="E31" s="95">
        <v>0</v>
      </c>
      <c r="F31" s="76">
        <v>0</v>
      </c>
      <c r="G31" s="95">
        <v>0</v>
      </c>
      <c r="H31" s="76">
        <v>3.8756347381936398</v>
      </c>
      <c r="I31" s="95">
        <v>23.380366163172098</v>
      </c>
      <c r="J31" s="76">
        <v>4.11037695219051</v>
      </c>
      <c r="K31" s="134">
        <v>23.340809173340599</v>
      </c>
      <c r="L31" s="51">
        <v>0</v>
      </c>
      <c r="M31" s="95">
        <v>0</v>
      </c>
      <c r="N31" s="76">
        <v>0</v>
      </c>
      <c r="O31" s="95">
        <v>0</v>
      </c>
      <c r="P31" s="76">
        <v>0</v>
      </c>
      <c r="Q31" s="134">
        <v>0</v>
      </c>
      <c r="R31" s="51">
        <v>0</v>
      </c>
      <c r="S31" s="51">
        <v>0</v>
      </c>
      <c r="T31" s="76">
        <v>1.9024899025396301E-2</v>
      </c>
      <c r="U31" s="95">
        <v>20.675739760836599</v>
      </c>
    </row>
    <row r="32" spans="1:21" x14ac:dyDescent="0.3">
      <c r="A32" s="74">
        <v>180</v>
      </c>
      <c r="B32" s="76">
        <v>1.40867095709029</v>
      </c>
      <c r="C32" s="95">
        <v>21.169518317331899</v>
      </c>
      <c r="D32" s="76">
        <v>0</v>
      </c>
      <c r="E32" s="95">
        <v>0</v>
      </c>
      <c r="F32" s="76">
        <v>0</v>
      </c>
      <c r="G32" s="95">
        <v>0</v>
      </c>
      <c r="H32" s="76">
        <v>4.2202218982337198</v>
      </c>
      <c r="I32" s="95">
        <v>23.7783610628119</v>
      </c>
      <c r="J32" s="76">
        <v>4.5107028619229403</v>
      </c>
      <c r="K32" s="134">
        <v>25.2413438138245</v>
      </c>
      <c r="L32" s="51">
        <v>0</v>
      </c>
      <c r="M32" s="95">
        <v>0</v>
      </c>
      <c r="N32" s="76">
        <v>0</v>
      </c>
      <c r="O32" s="95">
        <v>0</v>
      </c>
      <c r="P32" s="76">
        <v>0</v>
      </c>
      <c r="Q32" s="134">
        <v>0</v>
      </c>
      <c r="R32" s="51">
        <v>0</v>
      </c>
      <c r="S32" s="51">
        <v>0</v>
      </c>
      <c r="T32" s="76">
        <v>2.0503565732838101E-2</v>
      </c>
      <c r="U32" s="95">
        <v>23.4552704498068</v>
      </c>
    </row>
    <row r="33" spans="1:21" x14ac:dyDescent="0.3">
      <c r="A33" s="74">
        <v>190</v>
      </c>
      <c r="B33" s="76">
        <v>1.4257320569507801</v>
      </c>
      <c r="C33" s="95">
        <v>21.149769973265599</v>
      </c>
      <c r="D33" s="76">
        <v>0</v>
      </c>
      <c r="E33" s="95">
        <v>0</v>
      </c>
      <c r="F33" s="76">
        <v>0</v>
      </c>
      <c r="G33" s="95">
        <v>0</v>
      </c>
      <c r="H33" s="76">
        <v>4.2119817011758904</v>
      </c>
      <c r="I33" s="95">
        <v>23.0043998160833</v>
      </c>
      <c r="J33" s="76">
        <v>4.4183939896939304</v>
      </c>
      <c r="K33" s="134">
        <v>24.038325444626601</v>
      </c>
      <c r="L33" s="51">
        <v>0</v>
      </c>
      <c r="M33" s="95">
        <v>0</v>
      </c>
      <c r="N33" s="76">
        <v>0</v>
      </c>
      <c r="O33" s="95">
        <v>0</v>
      </c>
      <c r="P33" s="76">
        <v>0</v>
      </c>
      <c r="Q33" s="134">
        <v>0</v>
      </c>
      <c r="R33" s="51">
        <v>0</v>
      </c>
      <c r="S33" s="51">
        <v>0</v>
      </c>
      <c r="T33" s="76">
        <v>1.92949481404412E-2</v>
      </c>
      <c r="U33" s="95">
        <v>22.775697783399899</v>
      </c>
    </row>
    <row r="34" spans="1:21" x14ac:dyDescent="0.3">
      <c r="A34" s="74">
        <v>200</v>
      </c>
      <c r="B34" s="76">
        <v>1.3882716502060399</v>
      </c>
      <c r="C34" s="95">
        <v>20.6129580943037</v>
      </c>
      <c r="D34" s="76">
        <v>0</v>
      </c>
      <c r="E34" s="95">
        <v>0</v>
      </c>
      <c r="F34" s="76">
        <v>0</v>
      </c>
      <c r="G34" s="95">
        <v>0</v>
      </c>
      <c r="H34" s="76">
        <v>3.6376842709163402</v>
      </c>
      <c r="I34" s="95">
        <v>22.209226343268199</v>
      </c>
      <c r="J34" s="76">
        <v>3.8040451274162601</v>
      </c>
      <c r="K34" s="134">
        <v>23.1415239380723</v>
      </c>
      <c r="L34" s="51">
        <v>0</v>
      </c>
      <c r="M34" s="95">
        <v>0</v>
      </c>
      <c r="N34" s="76">
        <v>0</v>
      </c>
      <c r="O34" s="95">
        <v>0</v>
      </c>
      <c r="P34" s="76">
        <v>0</v>
      </c>
      <c r="Q34" s="134">
        <v>0</v>
      </c>
      <c r="R34" s="51">
        <v>0</v>
      </c>
      <c r="S34" s="51">
        <v>0</v>
      </c>
      <c r="T34" s="76">
        <v>1.8916040005024101E-2</v>
      </c>
      <c r="U34" s="95">
        <v>22.0418592250793</v>
      </c>
    </row>
    <row r="35" spans="1:21" x14ac:dyDescent="0.3">
      <c r="A35" s="74">
        <v>210</v>
      </c>
      <c r="B35" s="76">
        <v>1.3230989130912001</v>
      </c>
      <c r="C35" s="95">
        <v>20.0151876545793</v>
      </c>
      <c r="D35" s="76">
        <v>0</v>
      </c>
      <c r="E35" s="95">
        <v>0</v>
      </c>
      <c r="F35" s="76">
        <v>0</v>
      </c>
      <c r="G35" s="95">
        <v>0</v>
      </c>
      <c r="H35" s="76">
        <v>2.9667104645698701</v>
      </c>
      <c r="I35" s="95">
        <v>21.997570000806601</v>
      </c>
      <c r="J35" s="76">
        <v>3.0942883949017501</v>
      </c>
      <c r="K35" s="134">
        <v>21.665622055867601</v>
      </c>
      <c r="L35" s="51">
        <v>0</v>
      </c>
      <c r="M35" s="95">
        <v>0</v>
      </c>
      <c r="N35" s="76">
        <v>0</v>
      </c>
      <c r="O35" s="95">
        <v>0</v>
      </c>
      <c r="P35" s="76">
        <v>0</v>
      </c>
      <c r="Q35" s="134">
        <v>0</v>
      </c>
      <c r="R35" s="51">
        <v>0</v>
      </c>
      <c r="S35" s="51">
        <v>0</v>
      </c>
      <c r="T35" s="76">
        <v>1.9303972840475601E-2</v>
      </c>
      <c r="U35" s="95">
        <v>20.452517852883702</v>
      </c>
    </row>
    <row r="36" spans="1:21" x14ac:dyDescent="0.3">
      <c r="A36" s="74">
        <v>220</v>
      </c>
      <c r="B36" s="76">
        <v>1.2851282051822699</v>
      </c>
      <c r="C36" s="95">
        <v>19.654532409051001</v>
      </c>
      <c r="D36" s="76">
        <v>0</v>
      </c>
      <c r="E36" s="95">
        <v>0</v>
      </c>
      <c r="F36" s="76">
        <v>0</v>
      </c>
      <c r="G36" s="95">
        <v>0</v>
      </c>
      <c r="H36" s="76">
        <v>3.5591764960175301</v>
      </c>
      <c r="I36" s="95">
        <v>22.921441973699402</v>
      </c>
      <c r="J36" s="76">
        <v>3.8205036944489201</v>
      </c>
      <c r="K36" s="134">
        <v>23.341588197879901</v>
      </c>
      <c r="L36" s="51">
        <v>0</v>
      </c>
      <c r="M36" s="95">
        <v>0</v>
      </c>
      <c r="N36" s="76">
        <v>0</v>
      </c>
      <c r="O36" s="95">
        <v>0</v>
      </c>
      <c r="P36" s="76">
        <v>0</v>
      </c>
      <c r="Q36" s="134">
        <v>0</v>
      </c>
      <c r="R36" s="51">
        <v>0</v>
      </c>
      <c r="S36" s="51">
        <v>0</v>
      </c>
      <c r="T36" s="76">
        <v>1.9765518171141101E-2</v>
      </c>
      <c r="U36" s="95">
        <v>20.856720965396399</v>
      </c>
    </row>
    <row r="37" spans="1:21" x14ac:dyDescent="0.3">
      <c r="A37" s="74">
        <v>230</v>
      </c>
      <c r="B37" s="76">
        <v>1.2851282052315001</v>
      </c>
      <c r="C37" s="95">
        <v>19.628256387093401</v>
      </c>
      <c r="D37" s="76">
        <v>0</v>
      </c>
      <c r="E37" s="95">
        <v>0</v>
      </c>
      <c r="F37" s="76">
        <v>0</v>
      </c>
      <c r="G37" s="95">
        <v>0</v>
      </c>
      <c r="H37" s="76">
        <v>3.9487179489913702</v>
      </c>
      <c r="I37" s="95">
        <v>23.3285538204109</v>
      </c>
      <c r="J37" s="76">
        <v>4.3481244430525399</v>
      </c>
      <c r="K37" s="134">
        <v>25.241195981822401</v>
      </c>
      <c r="L37" s="51">
        <v>0</v>
      </c>
      <c r="M37" s="95">
        <v>0</v>
      </c>
      <c r="N37" s="76">
        <v>0</v>
      </c>
      <c r="O37" s="95">
        <v>0</v>
      </c>
      <c r="P37" s="76">
        <v>0</v>
      </c>
      <c r="Q37" s="134">
        <v>0</v>
      </c>
      <c r="R37" s="51">
        <v>0</v>
      </c>
      <c r="S37" s="51">
        <v>0</v>
      </c>
      <c r="T37" s="76">
        <v>2.0362865477352401E-2</v>
      </c>
      <c r="U37" s="95">
        <v>22.5549830127019</v>
      </c>
    </row>
    <row r="38" spans="1:21" x14ac:dyDescent="0.3">
      <c r="A38" s="74">
        <v>240</v>
      </c>
      <c r="B38" s="76">
        <v>1.2850785129892299</v>
      </c>
      <c r="C38" s="95">
        <v>19.627536029952701</v>
      </c>
      <c r="D38" s="76">
        <v>0</v>
      </c>
      <c r="E38" s="95">
        <v>0</v>
      </c>
      <c r="F38" s="76">
        <v>0</v>
      </c>
      <c r="G38" s="95">
        <v>0</v>
      </c>
      <c r="H38" s="76">
        <v>3.9485652632893098</v>
      </c>
      <c r="I38" s="95">
        <v>23.327759614926698</v>
      </c>
      <c r="J38" s="76">
        <v>4.3600213105373804</v>
      </c>
      <c r="K38" s="134">
        <v>25.393141938476202</v>
      </c>
      <c r="L38" s="51">
        <v>0</v>
      </c>
      <c r="M38" s="95">
        <v>0</v>
      </c>
      <c r="N38" s="76">
        <v>0</v>
      </c>
      <c r="O38" s="95">
        <v>0</v>
      </c>
      <c r="P38" s="76">
        <v>0</v>
      </c>
      <c r="Q38" s="134">
        <v>0</v>
      </c>
      <c r="R38" s="51">
        <v>0</v>
      </c>
      <c r="S38" s="51">
        <v>0</v>
      </c>
      <c r="T38" s="76">
        <v>2.04120533758783E-2</v>
      </c>
      <c r="U38" s="95">
        <v>22.8543291277356</v>
      </c>
    </row>
    <row r="39" spans="1:21" x14ac:dyDescent="0.3">
      <c r="A39" s="74">
        <v>250</v>
      </c>
      <c r="B39" s="76">
        <v>1.28489023173637</v>
      </c>
      <c r="C39" s="95">
        <v>19.6248066253197</v>
      </c>
      <c r="D39" s="76">
        <v>0</v>
      </c>
      <c r="E39" s="95">
        <v>0</v>
      </c>
      <c r="F39" s="76">
        <v>0</v>
      </c>
      <c r="G39" s="95">
        <v>0</v>
      </c>
      <c r="H39" s="76">
        <v>3.69156007830327</v>
      </c>
      <c r="I39" s="95">
        <v>23.038095025774499</v>
      </c>
      <c r="J39" s="76">
        <v>3.9822088660733401</v>
      </c>
      <c r="K39" s="134">
        <v>24.036416853648898</v>
      </c>
      <c r="L39" s="51">
        <v>0</v>
      </c>
      <c r="M39" s="95">
        <v>0</v>
      </c>
      <c r="N39" s="76">
        <v>0</v>
      </c>
      <c r="O39" s="95">
        <v>0</v>
      </c>
      <c r="P39" s="76">
        <v>0</v>
      </c>
      <c r="Q39" s="134">
        <v>0</v>
      </c>
      <c r="R39" s="51">
        <v>0</v>
      </c>
      <c r="S39" s="51">
        <v>0</v>
      </c>
      <c r="T39" s="76">
        <v>1.9146061843798599E-2</v>
      </c>
      <c r="U39" s="95">
        <v>20.493916299925399</v>
      </c>
    </row>
    <row r="40" spans="1:21" x14ac:dyDescent="0.3">
      <c r="A40" s="74">
        <v>260</v>
      </c>
      <c r="B40" s="76">
        <v>1.28489023164576</v>
      </c>
      <c r="C40" s="95">
        <v>19.6248066239467</v>
      </c>
      <c r="D40" s="76">
        <v>0</v>
      </c>
      <c r="E40" s="95">
        <v>0</v>
      </c>
      <c r="F40" s="76">
        <v>0</v>
      </c>
      <c r="G40" s="95">
        <v>0</v>
      </c>
      <c r="H40" s="76">
        <v>2.9225356425818099</v>
      </c>
      <c r="I40" s="95">
        <v>22.1781289267593</v>
      </c>
      <c r="J40" s="76">
        <v>3.09565933811405</v>
      </c>
      <c r="K40" s="134">
        <v>21.493814645042502</v>
      </c>
      <c r="L40" s="51">
        <v>0</v>
      </c>
      <c r="M40" s="95">
        <v>0</v>
      </c>
      <c r="N40" s="76">
        <v>0</v>
      </c>
      <c r="O40" s="95">
        <v>0</v>
      </c>
      <c r="P40" s="76">
        <v>0</v>
      </c>
      <c r="Q40" s="134">
        <v>0</v>
      </c>
      <c r="R40" s="51">
        <v>0</v>
      </c>
      <c r="S40" s="51">
        <v>0</v>
      </c>
      <c r="T40" s="76">
        <v>1.9925999018823901E-2</v>
      </c>
      <c r="U40" s="95">
        <v>20.628371807876899</v>
      </c>
    </row>
    <row r="41" spans="1:21" x14ac:dyDescent="0.3">
      <c r="A41" s="74">
        <v>270</v>
      </c>
      <c r="B41" s="76">
        <v>1.2848902316694599</v>
      </c>
      <c r="C41" s="95">
        <v>19.624806624337101</v>
      </c>
      <c r="D41" s="76">
        <v>0</v>
      </c>
      <c r="E41" s="95">
        <v>0</v>
      </c>
      <c r="F41" s="76">
        <v>0</v>
      </c>
      <c r="G41" s="95">
        <v>0</v>
      </c>
      <c r="H41" s="76">
        <v>2.9225356426313698</v>
      </c>
      <c r="I41" s="95">
        <v>22.178128927042302</v>
      </c>
      <c r="J41" s="76">
        <v>3.09565933819579</v>
      </c>
      <c r="K41" s="134">
        <v>21.493814646137</v>
      </c>
      <c r="L41" s="51">
        <v>0</v>
      </c>
      <c r="M41" s="95">
        <v>0</v>
      </c>
      <c r="N41" s="76">
        <v>0</v>
      </c>
      <c r="O41" s="95">
        <v>0</v>
      </c>
      <c r="P41" s="76">
        <v>0</v>
      </c>
      <c r="Q41" s="134">
        <v>0</v>
      </c>
      <c r="R41" s="51">
        <v>0</v>
      </c>
      <c r="S41" s="51">
        <v>0</v>
      </c>
      <c r="T41" s="76">
        <v>1.9925999019164899E-2</v>
      </c>
      <c r="U41" s="95">
        <v>20.6283718079974</v>
      </c>
    </row>
    <row r="42" spans="1:21" x14ac:dyDescent="0.3">
      <c r="A42" s="74">
        <v>280</v>
      </c>
      <c r="B42" s="76">
        <v>1.2851144500318099</v>
      </c>
      <c r="C42" s="95">
        <v>19.634045536434499</v>
      </c>
      <c r="D42" s="76">
        <v>0</v>
      </c>
      <c r="E42" s="95">
        <v>0</v>
      </c>
      <c r="F42" s="76">
        <v>0</v>
      </c>
      <c r="G42" s="95">
        <v>0</v>
      </c>
      <c r="H42" s="76">
        <v>2.9230456369653601</v>
      </c>
      <c r="I42" s="95">
        <v>22.187975921768501</v>
      </c>
      <c r="J42" s="76">
        <v>3.0961995426807198</v>
      </c>
      <c r="K42" s="134">
        <v>21.5041317006865</v>
      </c>
      <c r="L42" s="51">
        <v>0</v>
      </c>
      <c r="M42" s="95">
        <v>0</v>
      </c>
      <c r="N42" s="76">
        <v>0</v>
      </c>
      <c r="O42" s="95">
        <v>0</v>
      </c>
      <c r="P42" s="76">
        <v>0</v>
      </c>
      <c r="Q42" s="134">
        <v>0</v>
      </c>
      <c r="R42" s="51">
        <v>0</v>
      </c>
      <c r="S42" s="51">
        <v>0</v>
      </c>
      <c r="T42" s="76">
        <v>1.9949001285454002E-2</v>
      </c>
      <c r="U42" s="95">
        <v>20.638668309531901</v>
      </c>
    </row>
    <row r="43" spans="1:21" x14ac:dyDescent="0.3">
      <c r="A43" s="74">
        <v>290</v>
      </c>
      <c r="B43" s="76">
        <v>1.2851282050997399</v>
      </c>
      <c r="C43" s="95">
        <v>19.678360908377599</v>
      </c>
      <c r="D43" s="76">
        <v>0</v>
      </c>
      <c r="E43" s="95">
        <v>0</v>
      </c>
      <c r="F43" s="76">
        <v>0</v>
      </c>
      <c r="G43" s="95">
        <v>0</v>
      </c>
      <c r="H43" s="76">
        <v>2.9230769234148402</v>
      </c>
      <c r="I43" s="95">
        <v>22.234921162065</v>
      </c>
      <c r="J43" s="76">
        <v>3.0962326824475799</v>
      </c>
      <c r="K43" s="134">
        <v>21.553714405601301</v>
      </c>
      <c r="L43" s="51">
        <v>0</v>
      </c>
      <c r="M43" s="95">
        <v>0</v>
      </c>
      <c r="N43" s="76">
        <v>0</v>
      </c>
      <c r="O43" s="95">
        <v>0</v>
      </c>
      <c r="P43" s="76">
        <v>0</v>
      </c>
      <c r="Q43" s="134">
        <v>0</v>
      </c>
      <c r="R43" s="51">
        <v>0</v>
      </c>
      <c r="S43" s="51">
        <v>0</v>
      </c>
      <c r="T43" s="76">
        <v>1.99509888377634E-2</v>
      </c>
      <c r="U43" s="95">
        <v>20.688501649115299</v>
      </c>
    </row>
    <row r="44" spans="1:21" x14ac:dyDescent="0.3">
      <c r="A44" s="74">
        <v>300</v>
      </c>
      <c r="B44" s="76">
        <v>1.2851282050371</v>
      </c>
      <c r="C44" s="95">
        <v>19.678360907442901</v>
      </c>
      <c r="D44" s="76">
        <v>0</v>
      </c>
      <c r="E44" s="95">
        <v>0</v>
      </c>
      <c r="F44" s="76">
        <v>0</v>
      </c>
      <c r="G44" s="95">
        <v>0</v>
      </c>
      <c r="H44" s="76">
        <v>2.9230769231118101</v>
      </c>
      <c r="I44" s="95">
        <v>22.234921161122301</v>
      </c>
      <c r="J44" s="76">
        <v>3.0962326823828299</v>
      </c>
      <c r="K44" s="134">
        <v>21.553714404909002</v>
      </c>
      <c r="L44" s="51">
        <v>0</v>
      </c>
      <c r="M44" s="95">
        <v>0</v>
      </c>
      <c r="N44" s="76">
        <v>0</v>
      </c>
      <c r="O44" s="95">
        <v>0</v>
      </c>
      <c r="P44" s="76">
        <v>0</v>
      </c>
      <c r="Q44" s="134">
        <v>0</v>
      </c>
      <c r="R44" s="51">
        <v>0</v>
      </c>
      <c r="S44" s="51">
        <v>0</v>
      </c>
      <c r="T44" s="76">
        <v>1.99509888375928E-2</v>
      </c>
      <c r="U44" s="95">
        <v>20.688501649372899</v>
      </c>
    </row>
    <row r="45" spans="1:21" x14ac:dyDescent="0.3">
      <c r="A45" s="74">
        <v>310</v>
      </c>
      <c r="B45" s="76">
        <v>1.28462366299783</v>
      </c>
      <c r="C45" s="95">
        <v>19.671107577617999</v>
      </c>
      <c r="D45" s="76">
        <v>0</v>
      </c>
      <c r="E45" s="95">
        <v>0</v>
      </c>
      <c r="F45" s="76">
        <v>0</v>
      </c>
      <c r="G45" s="95">
        <v>0</v>
      </c>
      <c r="H45" s="76">
        <v>2.92192932129052</v>
      </c>
      <c r="I45" s="95">
        <v>22.227105098683001</v>
      </c>
      <c r="J45" s="76">
        <v>3.0950170999798301</v>
      </c>
      <c r="K45" s="134">
        <v>21.545653232956202</v>
      </c>
      <c r="L45" s="51">
        <v>0</v>
      </c>
      <c r="M45" s="95">
        <v>0</v>
      </c>
      <c r="N45" s="76">
        <v>0</v>
      </c>
      <c r="O45" s="95">
        <v>0</v>
      </c>
      <c r="P45" s="76">
        <v>0</v>
      </c>
      <c r="Q45" s="134">
        <v>0</v>
      </c>
      <c r="R45" s="51">
        <v>0</v>
      </c>
      <c r="S45" s="51">
        <v>0</v>
      </c>
      <c r="T45" s="76">
        <v>1.99742968547412E-2</v>
      </c>
      <c r="U45" s="95">
        <v>20.680445758077902</v>
      </c>
    </row>
    <row r="46" spans="1:21" x14ac:dyDescent="0.3">
      <c r="A46" s="74">
        <v>320</v>
      </c>
      <c r="B46" s="76">
        <v>1.2848554692633301</v>
      </c>
      <c r="C46" s="95">
        <v>19.656478698046399</v>
      </c>
      <c r="D46" s="76">
        <v>0</v>
      </c>
      <c r="E46" s="95">
        <v>0</v>
      </c>
      <c r="F46" s="76">
        <v>0</v>
      </c>
      <c r="G46" s="95">
        <v>0</v>
      </c>
      <c r="H46" s="76">
        <v>2.9224565741955102</v>
      </c>
      <c r="I46" s="95">
        <v>22.211670398901699</v>
      </c>
      <c r="J46" s="76">
        <v>3.0955755859335499</v>
      </c>
      <c r="K46" s="134">
        <v>21.529260371236798</v>
      </c>
      <c r="L46" s="51">
        <v>0</v>
      </c>
      <c r="M46" s="95">
        <v>0</v>
      </c>
      <c r="N46" s="76">
        <v>0</v>
      </c>
      <c r="O46" s="95">
        <v>0</v>
      </c>
      <c r="P46" s="76">
        <v>0</v>
      </c>
      <c r="Q46" s="134">
        <v>0</v>
      </c>
      <c r="R46" s="51">
        <v>0</v>
      </c>
      <c r="S46" s="51">
        <v>0</v>
      </c>
      <c r="T46" s="76">
        <v>1.9964496145689702E-2</v>
      </c>
      <c r="U46" s="95">
        <v>20.6639452840163</v>
      </c>
    </row>
    <row r="47" spans="1:21" x14ac:dyDescent="0.3">
      <c r="A47" s="74">
        <v>330</v>
      </c>
      <c r="B47" s="76">
        <v>1.2851282050591499</v>
      </c>
      <c r="C47" s="95">
        <v>19.637269311643699</v>
      </c>
      <c r="D47" s="76">
        <v>0</v>
      </c>
      <c r="E47" s="95">
        <v>0</v>
      </c>
      <c r="F47" s="76">
        <v>0</v>
      </c>
      <c r="G47" s="95">
        <v>0</v>
      </c>
      <c r="H47" s="76">
        <v>2.9230769230540501</v>
      </c>
      <c r="I47" s="95">
        <v>22.191394311001499</v>
      </c>
      <c r="J47" s="76">
        <v>3.0962326826337399</v>
      </c>
      <c r="K47" s="134">
        <v>21.5077375512614</v>
      </c>
      <c r="L47" s="51">
        <v>0</v>
      </c>
      <c r="M47" s="95">
        <v>0</v>
      </c>
      <c r="N47" s="76">
        <v>0</v>
      </c>
      <c r="O47" s="95">
        <v>0</v>
      </c>
      <c r="P47" s="76">
        <v>0</v>
      </c>
      <c r="Q47" s="134">
        <v>0</v>
      </c>
      <c r="R47" s="51">
        <v>0</v>
      </c>
      <c r="S47" s="51">
        <v>0</v>
      </c>
      <c r="T47" s="76">
        <v>1.9950988836114899E-2</v>
      </c>
      <c r="U47" s="95">
        <v>20.6422874292399</v>
      </c>
    </row>
    <row r="48" spans="1:21" x14ac:dyDescent="0.3">
      <c r="A48" s="74">
        <v>340</v>
      </c>
      <c r="B48" s="76">
        <v>1.2851282050814901</v>
      </c>
      <c r="C48" s="95">
        <v>19.6280802668356</v>
      </c>
      <c r="D48" s="76">
        <v>0</v>
      </c>
      <c r="E48" s="95">
        <v>0</v>
      </c>
      <c r="F48" s="76">
        <v>0</v>
      </c>
      <c r="G48" s="95">
        <v>0</v>
      </c>
      <c r="H48" s="76">
        <v>2.9230769231048201</v>
      </c>
      <c r="I48" s="95">
        <v>22.181660873029301</v>
      </c>
      <c r="J48" s="76">
        <v>3.0962326826875102</v>
      </c>
      <c r="K48" s="134">
        <v>21.497455980924698</v>
      </c>
      <c r="L48" s="51">
        <v>0</v>
      </c>
      <c r="M48" s="95">
        <v>0</v>
      </c>
      <c r="N48" s="76">
        <v>0</v>
      </c>
      <c r="O48" s="95">
        <v>0</v>
      </c>
      <c r="P48" s="76">
        <v>0</v>
      </c>
      <c r="Q48" s="134">
        <v>0</v>
      </c>
      <c r="R48" s="51">
        <v>0</v>
      </c>
      <c r="S48" s="51">
        <v>0</v>
      </c>
      <c r="T48" s="76">
        <v>1.9950988836399099E-2</v>
      </c>
      <c r="U48" s="95">
        <v>20.631952647123398</v>
      </c>
    </row>
    <row r="49" spans="1:21" x14ac:dyDescent="0.3">
      <c r="A49" s="74">
        <v>350</v>
      </c>
      <c r="B49" s="76">
        <v>1.28512820508269</v>
      </c>
      <c r="C49" s="95">
        <v>19.645795548548602</v>
      </c>
      <c r="D49" s="76">
        <v>0</v>
      </c>
      <c r="E49" s="95">
        <v>0</v>
      </c>
      <c r="F49" s="76">
        <v>0</v>
      </c>
      <c r="G49" s="95">
        <v>0</v>
      </c>
      <c r="H49" s="76">
        <v>2.9230769231074301</v>
      </c>
      <c r="I49" s="95">
        <v>22.200425759535701</v>
      </c>
      <c r="J49" s="76">
        <v>3.0962326826901898</v>
      </c>
      <c r="K49" s="134">
        <v>21.517277476611799</v>
      </c>
      <c r="L49" s="51">
        <v>0</v>
      </c>
      <c r="M49" s="95">
        <v>0</v>
      </c>
      <c r="N49" s="76">
        <v>0</v>
      </c>
      <c r="O49" s="95">
        <v>0</v>
      </c>
      <c r="P49" s="76">
        <v>0</v>
      </c>
      <c r="Q49" s="134">
        <v>0</v>
      </c>
      <c r="R49" s="51">
        <v>0</v>
      </c>
      <c r="S49" s="51">
        <v>0</v>
      </c>
      <c r="T49" s="76">
        <v>1.9950988836456001E-2</v>
      </c>
      <c r="U49" s="95">
        <v>20.6518766678616</v>
      </c>
    </row>
    <row r="50" spans="1:21" x14ac:dyDescent="0.3">
      <c r="A50" s="74">
        <v>360</v>
      </c>
      <c r="B50" s="76">
        <v>1.2851282049853101</v>
      </c>
      <c r="C50" s="95">
        <v>19.649925528785001</v>
      </c>
      <c r="D50" s="76">
        <v>0</v>
      </c>
      <c r="E50" s="95">
        <v>0</v>
      </c>
      <c r="F50" s="76">
        <v>0</v>
      </c>
      <c r="G50" s="95">
        <v>0</v>
      </c>
      <c r="H50" s="76">
        <v>2.92307692288631</v>
      </c>
      <c r="I50" s="95">
        <v>22.204800434317399</v>
      </c>
      <c r="J50" s="76">
        <v>3.09623268245582</v>
      </c>
      <c r="K50" s="134">
        <v>21.521898477909399</v>
      </c>
      <c r="L50" s="51">
        <v>0</v>
      </c>
      <c r="M50" s="95">
        <v>0</v>
      </c>
      <c r="N50" s="76">
        <v>0</v>
      </c>
      <c r="O50" s="95">
        <v>0</v>
      </c>
      <c r="P50" s="76">
        <v>0</v>
      </c>
      <c r="Q50" s="134">
        <v>0</v>
      </c>
      <c r="R50" s="51">
        <v>0</v>
      </c>
      <c r="S50" s="51">
        <v>0</v>
      </c>
      <c r="T50" s="76">
        <v>1.9950988834864299E-2</v>
      </c>
      <c r="U50" s="95">
        <v>20.656521570407399</v>
      </c>
    </row>
    <row r="51" spans="1:21" x14ac:dyDescent="0.3">
      <c r="A51" s="74">
        <v>370</v>
      </c>
      <c r="B51" s="76">
        <v>1.28512820510707</v>
      </c>
      <c r="C51" s="95">
        <v>19.649925531080701</v>
      </c>
      <c r="D51" s="76">
        <v>0</v>
      </c>
      <c r="E51" s="95">
        <v>0</v>
      </c>
      <c r="F51" s="76">
        <v>0</v>
      </c>
      <c r="G51" s="95">
        <v>0</v>
      </c>
      <c r="H51" s="76">
        <v>2.9230769231633098</v>
      </c>
      <c r="I51" s="95">
        <v>22.2048004383205</v>
      </c>
      <c r="J51" s="76">
        <v>3.0962326827492501</v>
      </c>
      <c r="K51" s="134">
        <v>21.5218984802028</v>
      </c>
      <c r="L51" s="51">
        <v>0</v>
      </c>
      <c r="M51" s="95">
        <v>0</v>
      </c>
      <c r="N51" s="76">
        <v>0</v>
      </c>
      <c r="O51" s="95">
        <v>0</v>
      </c>
      <c r="P51" s="76">
        <v>0</v>
      </c>
      <c r="Q51" s="134">
        <v>0</v>
      </c>
      <c r="R51" s="51">
        <v>0</v>
      </c>
      <c r="S51" s="51">
        <v>0</v>
      </c>
      <c r="T51" s="76">
        <v>1.9950988836853902E-2</v>
      </c>
      <c r="U51" s="95">
        <v>20.6565215726554</v>
      </c>
    </row>
    <row r="52" spans="1:21" x14ac:dyDescent="0.3">
      <c r="A52" s="74">
        <v>380</v>
      </c>
      <c r="B52" s="76">
        <v>0.80577538462114295</v>
      </c>
      <c r="C52" s="95">
        <v>12.3205033077558</v>
      </c>
      <c r="D52" s="76">
        <v>0</v>
      </c>
      <c r="E52" s="95">
        <v>0</v>
      </c>
      <c r="F52" s="76">
        <v>0</v>
      </c>
      <c r="G52" s="95">
        <v>0</v>
      </c>
      <c r="H52" s="76">
        <v>1.8327692308665999</v>
      </c>
      <c r="I52" s="95">
        <v>13.9224098731219</v>
      </c>
      <c r="J52" s="76">
        <v>1.9413378921297</v>
      </c>
      <c r="K52" s="134">
        <v>13.494230347095501</v>
      </c>
      <c r="L52" s="51">
        <v>0</v>
      </c>
      <c r="M52" s="95">
        <v>0</v>
      </c>
      <c r="N52" s="76">
        <v>0</v>
      </c>
      <c r="O52" s="95">
        <v>0</v>
      </c>
      <c r="P52" s="76">
        <v>0</v>
      </c>
      <c r="Q52" s="134">
        <v>0</v>
      </c>
      <c r="R52" s="51">
        <v>0</v>
      </c>
      <c r="S52" s="51">
        <v>0</v>
      </c>
      <c r="T52" s="76">
        <v>1.2509270001032699E-2</v>
      </c>
      <c r="U52" s="95">
        <v>12.9516390255767</v>
      </c>
    </row>
    <row r="53" spans="1:21" x14ac:dyDescent="0.3">
      <c r="A53" s="74">
        <v>382.54</v>
      </c>
      <c r="B53" s="76">
        <v>0.163211281750861</v>
      </c>
      <c r="C53" s="95">
        <v>2.49554053776553</v>
      </c>
      <c r="D53" s="76">
        <v>0</v>
      </c>
      <c r="E53" s="95">
        <v>0</v>
      </c>
      <c r="F53" s="76">
        <v>0</v>
      </c>
      <c r="G53" s="95">
        <v>0</v>
      </c>
      <c r="H53" s="76">
        <v>0.37123076856450898</v>
      </c>
      <c r="I53" s="95">
        <v>2.8200096504613898</v>
      </c>
      <c r="J53" s="76">
        <v>0.39322154999183601</v>
      </c>
      <c r="K53" s="134">
        <v>2.7332811020193701</v>
      </c>
      <c r="L53" s="51">
        <v>0</v>
      </c>
      <c r="M53" s="95">
        <v>0</v>
      </c>
      <c r="N53" s="76">
        <v>0</v>
      </c>
      <c r="O53" s="95">
        <v>0</v>
      </c>
      <c r="P53" s="76">
        <v>0</v>
      </c>
      <c r="Q53" s="134">
        <v>0</v>
      </c>
      <c r="R53" s="51">
        <v>0</v>
      </c>
      <c r="S53" s="51">
        <v>0</v>
      </c>
      <c r="T53" s="76">
        <v>2.53377557763912E-3</v>
      </c>
      <c r="U53" s="95">
        <v>2.62337823527875</v>
      </c>
    </row>
  </sheetData>
  <mergeCells count="10">
    <mergeCell ref="P11:Q11"/>
    <mergeCell ref="T11:U11"/>
    <mergeCell ref="B11:C11"/>
    <mergeCell ref="D11:E11"/>
    <mergeCell ref="F11:G11"/>
    <mergeCell ref="H11:I11"/>
    <mergeCell ref="J11:K11"/>
    <mergeCell ref="N11:O11"/>
    <mergeCell ref="R11:S11"/>
    <mergeCell ref="L11:M11"/>
  </mergeCells>
  <conditionalFormatting sqref="B11:B12 G12 D11:D12 E12 I12 F11:F12 K12 H11:H12 J11:J12 C12">
    <cfRule type="cellIs" dxfId="12" priority="10" stopIfTrue="1" operator="equal">
      <formula>0</formula>
    </cfRule>
  </conditionalFormatting>
  <conditionalFormatting sqref="L12:M12">
    <cfRule type="cellIs" dxfId="11" priority="9" stopIfTrue="1" operator="equal">
      <formula>0</formula>
    </cfRule>
  </conditionalFormatting>
  <conditionalFormatting sqref="N12:O12">
    <cfRule type="cellIs" dxfId="10" priority="8" stopIfTrue="1" operator="equal">
      <formula>0</formula>
    </cfRule>
  </conditionalFormatting>
  <conditionalFormatting sqref="P12:Q12">
    <cfRule type="cellIs" dxfId="9" priority="7" stopIfTrue="1" operator="equal">
      <formula>0</formula>
    </cfRule>
  </conditionalFormatting>
  <conditionalFormatting sqref="R12:S12">
    <cfRule type="cellIs" dxfId="8" priority="6" stopIfTrue="1" operator="equal">
      <formula>0</formula>
    </cfRule>
  </conditionalFormatting>
  <conditionalFormatting sqref="T12:U12">
    <cfRule type="cellIs" dxfId="7" priority="5" stopIfTrue="1" operator="equal">
      <formula>0</formula>
    </cfRule>
  </conditionalFormatting>
  <conditionalFormatting sqref="L11">
    <cfRule type="cellIs" dxfId="6" priority="4" stopIfTrue="1" operator="equal">
      <formula>0</formula>
    </cfRule>
  </conditionalFormatting>
  <conditionalFormatting sqref="N11 P11">
    <cfRule type="cellIs" dxfId="5" priority="3" stopIfTrue="1" operator="equal">
      <formula>0</formula>
    </cfRule>
  </conditionalFormatting>
  <conditionalFormatting sqref="R11">
    <cfRule type="cellIs" dxfId="4" priority="2" stopIfTrue="1" operator="equal">
      <formula>0</formula>
    </cfRule>
  </conditionalFormatting>
  <conditionalFormatting sqref="T11">
    <cfRule type="cellIs" dxfId="3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3"/>
  <sheetViews>
    <sheetView workbookViewId="0">
      <selection activeCell="A2" sqref="A2"/>
    </sheetView>
  </sheetViews>
  <sheetFormatPr baseColWidth="10" defaultColWidth="11.6328125" defaultRowHeight="12" x14ac:dyDescent="0.3"/>
  <cols>
    <col min="1" max="1" width="15.7265625" style="103" customWidth="1"/>
    <col min="2" max="2" width="13.7265625" style="76" customWidth="1"/>
    <col min="3" max="3" width="12" style="74" customWidth="1"/>
    <col min="4" max="4" width="11.81640625" style="51" customWidth="1"/>
    <col min="5" max="5" width="12.26953125" style="74" customWidth="1"/>
    <col min="6" max="6" width="12.6328125" style="51" customWidth="1"/>
    <col min="7" max="7" width="12.81640625" style="74" customWidth="1"/>
    <col min="8" max="8" width="13.6328125" style="51" customWidth="1"/>
    <col min="9" max="9" width="14.7265625" style="156" customWidth="1"/>
    <col min="10" max="10" width="15.7265625" style="74" customWidth="1"/>
    <col min="11" max="11" width="15.7265625" style="51" customWidth="1"/>
    <col min="12" max="12" width="12.7265625" style="74" customWidth="1"/>
    <col min="13" max="15" width="11.6328125" style="51" customWidth="1"/>
    <col min="16" max="16384" width="11.6328125" style="51"/>
  </cols>
  <sheetData>
    <row r="1" spans="1:12" ht="45" customHeight="1" x14ac:dyDescent="0.6">
      <c r="A1" s="96"/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</row>
    <row r="2" spans="1:12" ht="16.899999999999999" customHeight="1" x14ac:dyDescent="0.4">
      <c r="A2" s="8" t="s">
        <v>6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6.149999999999999" customHeight="1" x14ac:dyDescent="0.35">
      <c r="A3" s="152" t="s">
        <v>52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3"/>
    </row>
    <row r="4" spans="1:12" ht="16.149999999999999" customHeight="1" x14ac:dyDescent="0.35">
      <c r="A4" s="97" t="s">
        <v>8</v>
      </c>
      <c r="B4" s="55" t="str">
        <f>Sammendrag!B4</f>
        <v>Veg 1</v>
      </c>
      <c r="C4" s="56"/>
      <c r="D4" s="56"/>
      <c r="E4" s="56"/>
      <c r="F4" s="56"/>
      <c r="G4" s="56"/>
      <c r="H4" s="56"/>
      <c r="I4" s="56"/>
      <c r="J4" s="56"/>
      <c r="K4" s="56"/>
      <c r="L4" s="53"/>
    </row>
    <row r="5" spans="1:12" ht="15" customHeight="1" x14ac:dyDescent="0.3">
      <c r="A5" s="98"/>
      <c r="B5" s="56" t="str">
        <f>IF(Sammendrag!B5="","",Sammendrag!B5)</f>
        <v/>
      </c>
      <c r="C5" s="56"/>
      <c r="D5" s="56"/>
      <c r="E5" s="56"/>
      <c r="F5" s="56"/>
      <c r="G5" s="56" t="str">
        <f>Sammendrag!F5</f>
        <v>Start profil:</v>
      </c>
      <c r="H5" s="56"/>
      <c r="I5" s="15">
        <f>Sammendrag!H5</f>
        <v>0</v>
      </c>
      <c r="J5" s="56"/>
      <c r="K5" s="56"/>
      <c r="L5" s="53"/>
    </row>
    <row r="6" spans="1:12" ht="15" customHeight="1" x14ac:dyDescent="0.3">
      <c r="A6" s="98"/>
      <c r="B6" s="56"/>
      <c r="C6" s="56"/>
      <c r="D6" s="56"/>
      <c r="E6" s="56"/>
      <c r="F6" s="56"/>
      <c r="G6" s="56" t="str">
        <f>Sammendrag!F6</f>
        <v>Slutt profil:</v>
      </c>
      <c r="H6" s="56"/>
      <c r="I6" s="15">
        <f>Sammendrag!H6</f>
        <v>382.54</v>
      </c>
      <c r="J6" s="56"/>
      <c r="K6" s="56"/>
      <c r="L6" s="53"/>
    </row>
    <row r="7" spans="1:12" ht="15" customHeight="1" x14ac:dyDescent="0.3">
      <c r="A7" s="98"/>
      <c r="B7" s="56"/>
      <c r="C7" s="56"/>
      <c r="D7" s="56"/>
      <c r="E7" s="56"/>
      <c r="F7" s="56"/>
      <c r="G7" s="56" t="str">
        <f>Sammendrag!F7</f>
        <v>Dato sist endret:</v>
      </c>
      <c r="H7" s="56"/>
      <c r="I7" s="58" t="str">
        <f>Sammendrag!H7</f>
        <v>5/8/2020 1:04:50 PM</v>
      </c>
      <c r="J7" s="56"/>
      <c r="K7" s="56"/>
      <c r="L7" s="53"/>
    </row>
    <row r="8" spans="1:12" ht="15" customHeight="1" x14ac:dyDescent="0.3">
      <c r="A8" s="98"/>
      <c r="B8" s="56"/>
      <c r="C8" s="56"/>
      <c r="D8" s="56"/>
      <c r="E8" s="56"/>
      <c r="F8" s="56"/>
      <c r="G8" s="56"/>
      <c r="H8" s="56"/>
      <c r="I8" s="56"/>
      <c r="J8" s="56"/>
      <c r="K8" s="56"/>
      <c r="L8" s="53"/>
    </row>
    <row r="9" spans="1:12" ht="15" customHeight="1" x14ac:dyDescent="0.3">
      <c r="A9" s="99"/>
      <c r="B9" s="19"/>
      <c r="C9" s="19"/>
      <c r="D9" s="19"/>
      <c r="E9" s="19"/>
      <c r="F9" s="19"/>
      <c r="G9" s="19"/>
      <c r="H9" s="19"/>
      <c r="I9" s="19"/>
      <c r="J9" s="19"/>
      <c r="K9" s="19"/>
      <c r="L9" s="51"/>
    </row>
    <row r="10" spans="1:12" ht="15" customHeight="1" x14ac:dyDescent="0.3">
      <c r="A10" s="9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51"/>
    </row>
    <row r="11" spans="1:12" x14ac:dyDescent="0.3">
      <c r="A11" s="100"/>
      <c r="B11" s="61"/>
      <c r="C11" s="61"/>
      <c r="D11" s="61"/>
      <c r="E11" s="61"/>
      <c r="F11" s="61"/>
      <c r="G11" s="61"/>
      <c r="H11" s="61"/>
      <c r="I11" s="157"/>
      <c r="J11" s="61"/>
      <c r="K11" s="61"/>
      <c r="L11" s="101"/>
    </row>
    <row r="12" spans="1:12" ht="39" customHeight="1" thickBot="1" x14ac:dyDescent="0.35">
      <c r="A12" s="66" t="s">
        <v>25</v>
      </c>
      <c r="B12" s="148" t="s">
        <v>93</v>
      </c>
      <c r="C12" s="148" t="s">
        <v>94</v>
      </c>
      <c r="D12" s="148" t="s">
        <v>103</v>
      </c>
      <c r="E12" s="148" t="s">
        <v>104</v>
      </c>
      <c r="F12" s="148" t="s">
        <v>105</v>
      </c>
      <c r="G12" s="148" t="s">
        <v>106</v>
      </c>
      <c r="H12" s="148" t="s">
        <v>107</v>
      </c>
      <c r="I12" s="148" t="s">
        <v>86</v>
      </c>
      <c r="J12" s="148" t="s">
        <v>87</v>
      </c>
      <c r="K12" s="148" t="s">
        <v>88</v>
      </c>
      <c r="L12" s="149" t="s">
        <v>89</v>
      </c>
    </row>
    <row r="13" spans="1:12" ht="16.149999999999999" customHeight="1" thickTop="1" x14ac:dyDescent="0.3">
      <c r="A13" s="102" t="s">
        <v>26</v>
      </c>
      <c r="B13" s="71">
        <f ca="1">SUM([0]!Areas_SG0)</f>
        <v>530.30340139106227</v>
      </c>
      <c r="C13" s="71">
        <f ca="1">SUM([0]!Areas_SG1)</f>
        <v>142.39619753101209</v>
      </c>
      <c r="D13" s="71">
        <f ca="1">SUM([0]!Areas_SG2)</f>
        <v>192.20040141000001</v>
      </c>
      <c r="E13" s="71">
        <f ca="1">SUM([0]!Areas_SG3)</f>
        <v>382.41851264947366</v>
      </c>
      <c r="F13" s="71">
        <f ca="1">SUM([0]!Areas_SG4)</f>
        <v>0</v>
      </c>
      <c r="G13" s="71">
        <f ca="1">SUM([0]!Areas_SG5)</f>
        <v>169.76295142329903</v>
      </c>
      <c r="H13" s="70">
        <f ca="1">SUM([0]!Areas_SG6)</f>
        <v>0</v>
      </c>
      <c r="I13" s="155">
        <f ca="1">SUM([0]!Areas_RB_SoilCut)</f>
        <v>7.4734844423693101</v>
      </c>
      <c r="J13" s="71">
        <f ca="1">SUM([0]!Areas_RB_RockCut)</f>
        <v>634.86816687265036</v>
      </c>
      <c r="K13" s="71">
        <f ca="1">SUM([0]!Areas_RB_Fill)</f>
        <v>197.36746539706328</v>
      </c>
      <c r="L13" s="71">
        <f ca="1">SUM([0]!Areas_Rock_trimming)</f>
        <v>700.87877523198415</v>
      </c>
    </row>
    <row r="14" spans="1:12" x14ac:dyDescent="0.3">
      <c r="A14" s="103">
        <v>0</v>
      </c>
      <c r="B14" s="74">
        <v>7.0590523435078003</v>
      </c>
      <c r="C14" s="134">
        <v>2.0168720928458899</v>
      </c>
      <c r="D14" s="51">
        <f>3.13501336+0.50359787</f>
        <v>3.63861123</v>
      </c>
      <c r="E14" s="74">
        <v>2.9623074590334602</v>
      </c>
      <c r="F14" s="74">
        <v>0</v>
      </c>
      <c r="G14" s="74">
        <v>0</v>
      </c>
      <c r="H14" s="76">
        <v>0</v>
      </c>
      <c r="I14" s="156">
        <v>0</v>
      </c>
      <c r="J14" s="74">
        <v>11.3595267718482</v>
      </c>
      <c r="K14" s="51">
        <v>0</v>
      </c>
      <c r="L14" s="74">
        <v>11.1947395344895</v>
      </c>
    </row>
    <row r="15" spans="1:12" x14ac:dyDescent="0.3">
      <c r="A15" s="103">
        <v>10</v>
      </c>
      <c r="B15" s="74">
        <v>14.0857165663563</v>
      </c>
      <c r="C15" s="134">
        <v>4.0244904428045301</v>
      </c>
      <c r="D15" s="51">
        <f>6.26711645+1.00487945</f>
        <v>7.2719958999999994</v>
      </c>
      <c r="E15" s="74">
        <v>5.7038678170881196</v>
      </c>
      <c r="F15" s="74">
        <v>0</v>
      </c>
      <c r="G15" s="74">
        <v>0</v>
      </c>
      <c r="H15" s="76">
        <v>0</v>
      </c>
      <c r="I15" s="156">
        <v>0</v>
      </c>
      <c r="J15" s="74">
        <v>22.671335714789901</v>
      </c>
      <c r="K15" s="51">
        <v>0</v>
      </c>
      <c r="L15" s="74">
        <v>22.367528711136998</v>
      </c>
    </row>
    <row r="16" spans="1:12" x14ac:dyDescent="0.3">
      <c r="A16" s="103">
        <v>20</v>
      </c>
      <c r="B16" s="74">
        <v>14.257757079844399</v>
      </c>
      <c r="C16" s="134">
        <v>4.07448785131802</v>
      </c>
      <c r="D16" s="51">
        <f>6.28694637+1.01596197</f>
        <v>7.3029083400000001</v>
      </c>
      <c r="E16" s="74">
        <v>26.345061188344602</v>
      </c>
      <c r="F16" s="74">
        <v>0</v>
      </c>
      <c r="G16" s="74">
        <v>0</v>
      </c>
      <c r="H16" s="76">
        <v>0</v>
      </c>
      <c r="I16" s="156">
        <v>0</v>
      </c>
      <c r="J16" s="74">
        <v>22.9236626006725</v>
      </c>
      <c r="K16" s="51">
        <v>0</v>
      </c>
      <c r="L16" s="74">
        <v>40.012695701343702</v>
      </c>
    </row>
    <row r="17" spans="1:12" x14ac:dyDescent="0.3">
      <c r="A17" s="103">
        <v>30</v>
      </c>
      <c r="B17" s="74">
        <v>14.258059831432799</v>
      </c>
      <c r="C17" s="134">
        <v>4.0749662401230102</v>
      </c>
      <c r="D17" s="51">
        <f>5.34813272+0.59249135</f>
        <v>5.9406240700000001</v>
      </c>
      <c r="E17" s="74">
        <v>11.6336067503305</v>
      </c>
      <c r="F17" s="74">
        <v>0</v>
      </c>
      <c r="G17" s="74">
        <v>7.1382075937421599</v>
      </c>
      <c r="H17" s="76">
        <v>0</v>
      </c>
      <c r="I17" s="156">
        <v>0.15770944729007499</v>
      </c>
      <c r="J17" s="74">
        <v>18.548400820295001</v>
      </c>
      <c r="K17" s="51">
        <v>4.9587043052490296</v>
      </c>
      <c r="L17" s="74">
        <v>23.240449408143199</v>
      </c>
    </row>
    <row r="18" spans="1:12" x14ac:dyDescent="0.3">
      <c r="A18" s="103">
        <v>40</v>
      </c>
      <c r="B18" s="74">
        <v>11.095043432721701</v>
      </c>
      <c r="C18" s="134">
        <v>3.17124723674993</v>
      </c>
      <c r="D18" s="51">
        <f>2.16013224+0.34744656</f>
        <v>2.5075787999999997</v>
      </c>
      <c r="E18" s="74">
        <v>5.5143167277877803</v>
      </c>
      <c r="F18" s="74">
        <v>0</v>
      </c>
      <c r="G18" s="74">
        <v>7.1382075937421599</v>
      </c>
      <c r="H18" s="76">
        <v>0</v>
      </c>
      <c r="I18" s="156">
        <v>0.37204152552919301</v>
      </c>
      <c r="J18" s="74">
        <v>13.3969650504092</v>
      </c>
      <c r="K18" s="51">
        <v>4.9587043052490296</v>
      </c>
      <c r="L18" s="74">
        <v>14.419284947220699</v>
      </c>
    </row>
    <row r="19" spans="1:12" x14ac:dyDescent="0.3">
      <c r="A19" s="103">
        <v>50</v>
      </c>
      <c r="B19" s="74">
        <v>8.2115763266907802</v>
      </c>
      <c r="C19" s="134">
        <v>2.3461646672493299</v>
      </c>
      <c r="D19" s="51">
        <f>3.60876512+0.58247268</f>
        <v>4.1912377999999997</v>
      </c>
      <c r="E19" s="74">
        <v>9.2854641811467307</v>
      </c>
      <c r="F19" s="74">
        <v>0</v>
      </c>
      <c r="G19" s="74">
        <v>2.5311809478981999</v>
      </c>
      <c r="H19" s="76">
        <v>0</v>
      </c>
      <c r="I19" s="156">
        <v>0.56796805476521495</v>
      </c>
      <c r="J19" s="74">
        <v>13.23575703937</v>
      </c>
      <c r="K19" s="51">
        <v>0.731549724349004</v>
      </c>
      <c r="L19" s="74">
        <v>17.442823876880599</v>
      </c>
    </row>
    <row r="20" spans="1:12" x14ac:dyDescent="0.3">
      <c r="A20" s="103">
        <v>60</v>
      </c>
      <c r="B20" s="74">
        <v>14.2734464410246</v>
      </c>
      <c r="C20" s="134">
        <v>4.0781275584449403</v>
      </c>
      <c r="D20" s="51">
        <f>5.41842347+0.76410861</f>
        <v>6.1825320799999997</v>
      </c>
      <c r="E20" s="74">
        <v>11.937772203738801</v>
      </c>
      <c r="F20" s="74">
        <v>0</v>
      </c>
      <c r="G20" s="74">
        <v>3.0239685718872198</v>
      </c>
      <c r="H20" s="76">
        <v>0</v>
      </c>
      <c r="I20" s="156">
        <v>2.69568404621904E-2</v>
      </c>
      <c r="J20" s="74">
        <v>21.673583076445599</v>
      </c>
      <c r="K20" s="51">
        <v>1.5934922155897799</v>
      </c>
      <c r="L20" s="74">
        <v>25.6228052073096</v>
      </c>
    </row>
    <row r="21" spans="1:12" x14ac:dyDescent="0.3">
      <c r="A21" s="103">
        <v>70</v>
      </c>
      <c r="B21" s="74">
        <v>14.198564598020701</v>
      </c>
      <c r="C21" s="134">
        <v>4.0567327141826102</v>
      </c>
      <c r="D21" s="51">
        <f>1.89239096+0.07603267</f>
        <v>1.96842363</v>
      </c>
      <c r="E21" s="74">
        <v>1.3420737220102199</v>
      </c>
      <c r="F21" s="74">
        <v>0</v>
      </c>
      <c r="G21" s="74">
        <v>22.9854286951518</v>
      </c>
      <c r="H21" s="76">
        <v>0</v>
      </c>
      <c r="I21" s="156">
        <v>0.25549089328118701</v>
      </c>
      <c r="J21" s="74">
        <v>4.3297269245574803</v>
      </c>
      <c r="K21" s="51">
        <v>18.523110151188099</v>
      </c>
      <c r="L21" s="74">
        <v>4.1130433026974602</v>
      </c>
    </row>
    <row r="22" spans="1:12" x14ac:dyDescent="0.3">
      <c r="A22" s="103">
        <v>80</v>
      </c>
      <c r="B22" s="74">
        <v>7.0081583190837504</v>
      </c>
      <c r="C22" s="134">
        <v>2.00233093994524</v>
      </c>
      <c r="D22" s="51">
        <f>0+0</f>
        <v>0</v>
      </c>
      <c r="E22" s="74">
        <v>0</v>
      </c>
      <c r="F22" s="74">
        <v>0</v>
      </c>
      <c r="G22" s="74">
        <v>16.018157577365301</v>
      </c>
      <c r="H22" s="76">
        <v>0</v>
      </c>
      <c r="I22" s="156">
        <v>0.621984478444775</v>
      </c>
      <c r="J22" s="74">
        <v>0</v>
      </c>
      <c r="K22" s="51">
        <v>11.261156246965699</v>
      </c>
      <c r="L22" s="74">
        <v>0</v>
      </c>
    </row>
    <row r="23" spans="1:12" x14ac:dyDescent="0.3">
      <c r="A23" s="103">
        <v>90</v>
      </c>
      <c r="B23" s="74">
        <v>7.87687743777487</v>
      </c>
      <c r="C23" s="134">
        <v>2.2505592141543902</v>
      </c>
      <c r="D23" s="51">
        <f>3.21157103+0.4586806</f>
        <v>3.6702516300000001</v>
      </c>
      <c r="E23" s="74">
        <v>7.0578888365069901</v>
      </c>
      <c r="F23" s="74">
        <v>0</v>
      </c>
      <c r="G23" s="74">
        <v>0</v>
      </c>
      <c r="H23" s="76">
        <v>0</v>
      </c>
      <c r="I23" s="156">
        <v>0.87170365118509296</v>
      </c>
      <c r="J23" s="74">
        <v>13.370855564699401</v>
      </c>
      <c r="K23" s="51">
        <v>0</v>
      </c>
      <c r="L23" s="74">
        <v>15.4862938100463</v>
      </c>
    </row>
    <row r="24" spans="1:12" x14ac:dyDescent="0.3">
      <c r="A24" s="103">
        <v>100</v>
      </c>
      <c r="B24" s="74">
        <v>14.2876976678447</v>
      </c>
      <c r="C24" s="134">
        <v>4.0823077078329497</v>
      </c>
      <c r="D24" s="51">
        <f>4.37963992+0.64593566</f>
        <v>5.0255755799999999</v>
      </c>
      <c r="E24" s="74">
        <v>8.5222359639446204</v>
      </c>
      <c r="F24" s="74">
        <v>0</v>
      </c>
      <c r="G24" s="74">
        <v>6.6046460978611998</v>
      </c>
      <c r="H24" s="76">
        <v>0</v>
      </c>
      <c r="I24" s="156">
        <v>3.5105331487955999E-2</v>
      </c>
      <c r="J24" s="74">
        <v>19.191563088053599</v>
      </c>
      <c r="K24" s="51">
        <v>4.8850266006131298</v>
      </c>
      <c r="L24" s="74">
        <v>20.840641607142501</v>
      </c>
    </row>
    <row r="25" spans="1:12" x14ac:dyDescent="0.3">
      <c r="A25" s="103">
        <v>110</v>
      </c>
      <c r="B25" s="74">
        <v>14.3654384548938</v>
      </c>
      <c r="C25" s="134">
        <v>4.1048153055823997</v>
      </c>
      <c r="D25" s="51">
        <f>3.87758195+0.65935803</f>
        <v>4.5369399800000005</v>
      </c>
      <c r="E25" s="74">
        <v>5.6550862942600499</v>
      </c>
      <c r="F25" s="74">
        <v>0</v>
      </c>
      <c r="G25" s="74">
        <v>7.9845773433416198</v>
      </c>
      <c r="H25" s="76">
        <v>0</v>
      </c>
      <c r="I25" s="156">
        <v>0.100225483634527</v>
      </c>
      <c r="J25" s="74">
        <v>15.855271083075101</v>
      </c>
      <c r="K25" s="51">
        <v>7.6935464970501499</v>
      </c>
      <c r="L25" s="74">
        <v>16.089445764805198</v>
      </c>
    </row>
    <row r="26" spans="1:12" x14ac:dyDescent="0.3">
      <c r="A26" s="103">
        <v>120</v>
      </c>
      <c r="B26" s="74">
        <v>14.373322672999899</v>
      </c>
      <c r="C26" s="134">
        <v>4.1069361194409799</v>
      </c>
      <c r="D26" s="51">
        <f>6.2919676+1.0255989</f>
        <v>7.3175665000000008</v>
      </c>
      <c r="E26" s="74">
        <v>45.551436408933597</v>
      </c>
      <c r="F26" s="74">
        <v>0</v>
      </c>
      <c r="G26" s="74">
        <v>0</v>
      </c>
      <c r="H26" s="76">
        <v>0</v>
      </c>
      <c r="I26" s="156">
        <v>0</v>
      </c>
      <c r="J26" s="74">
        <v>23.0952076033144</v>
      </c>
      <c r="K26" s="51">
        <v>0</v>
      </c>
      <c r="L26" s="74">
        <v>35.4975828537846</v>
      </c>
    </row>
    <row r="27" spans="1:12" x14ac:dyDescent="0.3">
      <c r="A27" s="103">
        <v>130</v>
      </c>
      <c r="B27" s="74">
        <v>14.3650981164207</v>
      </c>
      <c r="C27" s="134">
        <v>4.1049211935073604</v>
      </c>
      <c r="D27" s="51">
        <f>6.29057146+1.02520097</f>
        <v>7.31577243</v>
      </c>
      <c r="E27" s="74">
        <v>78.953906740633002</v>
      </c>
      <c r="F27" s="74">
        <v>0</v>
      </c>
      <c r="G27" s="74">
        <v>0</v>
      </c>
      <c r="H27" s="76">
        <v>0</v>
      </c>
      <c r="I27" s="156">
        <v>0</v>
      </c>
      <c r="J27" s="74">
        <v>23.083352209299299</v>
      </c>
      <c r="K27" s="51">
        <v>0</v>
      </c>
      <c r="L27" s="74">
        <v>31.602267637443099</v>
      </c>
    </row>
    <row r="28" spans="1:12" x14ac:dyDescent="0.3">
      <c r="A28" s="103">
        <v>140</v>
      </c>
      <c r="B28" s="74">
        <v>14.359281912835501</v>
      </c>
      <c r="C28" s="134">
        <v>4.10337954806218</v>
      </c>
      <c r="D28" s="51">
        <f>6.28954083+1.02485247</f>
        <v>7.3143932999999999</v>
      </c>
      <c r="E28" s="74">
        <v>49.584786335628003</v>
      </c>
      <c r="F28" s="74">
        <v>0</v>
      </c>
      <c r="G28" s="74">
        <v>0</v>
      </c>
      <c r="H28" s="76">
        <v>0</v>
      </c>
      <c r="I28" s="156">
        <v>0</v>
      </c>
      <c r="J28" s="74">
        <v>23.074968883236401</v>
      </c>
      <c r="K28" s="51">
        <v>0</v>
      </c>
      <c r="L28" s="74">
        <v>32.8439524432479</v>
      </c>
    </row>
    <row r="29" spans="1:12" x14ac:dyDescent="0.3">
      <c r="A29" s="103">
        <v>150</v>
      </c>
      <c r="B29" s="74">
        <v>14.378511636702299</v>
      </c>
      <c r="C29" s="134">
        <v>4.1083547062810002</v>
      </c>
      <c r="D29" s="51">
        <f>6.29290667+1.02593538</f>
        <v>7.3188420499999998</v>
      </c>
      <c r="E29" s="74">
        <v>19.7957621436063</v>
      </c>
      <c r="F29" s="74">
        <v>0</v>
      </c>
      <c r="G29" s="74">
        <v>0</v>
      </c>
      <c r="H29" s="76">
        <v>0</v>
      </c>
      <c r="I29" s="156">
        <v>0</v>
      </c>
      <c r="J29" s="74">
        <v>23.102831278047098</v>
      </c>
      <c r="K29" s="51">
        <v>0</v>
      </c>
      <c r="L29" s="74">
        <v>28.215474093092801</v>
      </c>
    </row>
    <row r="30" spans="1:12" x14ac:dyDescent="0.3">
      <c r="A30" s="103">
        <v>160</v>
      </c>
      <c r="B30" s="74">
        <v>14.199154179621701</v>
      </c>
      <c r="C30" s="134">
        <v>4.0569798152185497</v>
      </c>
      <c r="D30" s="51">
        <f>6.27687721+1.01303562</f>
        <v>7.2899128300000005</v>
      </c>
      <c r="E30" s="74">
        <v>6.9632325744534</v>
      </c>
      <c r="F30" s="74">
        <v>0</v>
      </c>
      <c r="G30" s="74">
        <v>0</v>
      </c>
      <c r="H30" s="76">
        <v>0</v>
      </c>
      <c r="I30" s="156">
        <v>0</v>
      </c>
      <c r="J30" s="74">
        <v>22.838405105708599</v>
      </c>
      <c r="K30" s="51">
        <v>0</v>
      </c>
      <c r="L30" s="74">
        <v>22.483058689948599</v>
      </c>
    </row>
    <row r="31" spans="1:12" x14ac:dyDescent="0.3">
      <c r="A31" s="103">
        <v>170</v>
      </c>
      <c r="B31" s="74">
        <v>14.1129204595514</v>
      </c>
      <c r="C31" s="134">
        <v>4.0322676147938701</v>
      </c>
      <c r="D31" s="51">
        <f>1.7048653+0.23726194</f>
        <v>1.94212724</v>
      </c>
      <c r="E31" s="74">
        <v>0.54249015073936502</v>
      </c>
      <c r="F31" s="74">
        <v>0</v>
      </c>
      <c r="G31" s="74">
        <v>7.5589742896331202</v>
      </c>
      <c r="H31" s="76">
        <v>0</v>
      </c>
      <c r="I31" s="156">
        <v>0.31604818504377602</v>
      </c>
      <c r="J31" s="74">
        <v>14.756693118864099</v>
      </c>
      <c r="K31" s="51">
        <v>7.95604160360232</v>
      </c>
      <c r="L31" s="74">
        <v>13.905887495895501</v>
      </c>
    </row>
    <row r="32" spans="1:12" x14ac:dyDescent="0.3">
      <c r="A32" s="103">
        <v>180</v>
      </c>
      <c r="B32" s="74">
        <v>17.015091711757002</v>
      </c>
      <c r="C32" s="134">
        <v>3.0083284087073801</v>
      </c>
      <c r="D32" s="51">
        <f>0+0</f>
        <v>0</v>
      </c>
      <c r="E32" s="74">
        <v>0</v>
      </c>
      <c r="F32" s="74">
        <v>0</v>
      </c>
      <c r="G32" s="74">
        <v>13.1014314110475</v>
      </c>
      <c r="H32" s="76">
        <v>0</v>
      </c>
      <c r="I32" s="156">
        <v>0</v>
      </c>
      <c r="J32" s="74">
        <v>0</v>
      </c>
      <c r="K32" s="51">
        <v>23.454616192574999</v>
      </c>
      <c r="L32" s="74">
        <v>0</v>
      </c>
    </row>
    <row r="33" spans="1:12" x14ac:dyDescent="0.3">
      <c r="A33" s="103">
        <v>190</v>
      </c>
      <c r="B33" s="74">
        <v>18.329823373891799</v>
      </c>
      <c r="C33" s="134">
        <v>2.0161549735337601</v>
      </c>
      <c r="D33" s="51">
        <f>0+0</f>
        <v>0</v>
      </c>
      <c r="E33" s="74">
        <v>0</v>
      </c>
      <c r="F33" s="74">
        <v>0</v>
      </c>
      <c r="G33" s="74">
        <v>10.0020582391959</v>
      </c>
      <c r="H33" s="76">
        <v>0</v>
      </c>
      <c r="I33" s="156">
        <v>0</v>
      </c>
      <c r="J33" s="74">
        <v>0</v>
      </c>
      <c r="K33" s="51">
        <v>22.775228143510098</v>
      </c>
      <c r="L33" s="74">
        <v>0</v>
      </c>
    </row>
    <row r="34" spans="1:12" x14ac:dyDescent="0.3">
      <c r="A34" s="103">
        <v>200</v>
      </c>
      <c r="B34" s="74">
        <v>17.793011495169399</v>
      </c>
      <c r="C34" s="134">
        <v>2.0161549733639501</v>
      </c>
      <c r="D34" s="51">
        <f>0+0</f>
        <v>0</v>
      </c>
      <c r="E34" s="74">
        <v>0</v>
      </c>
      <c r="F34" s="74">
        <v>0</v>
      </c>
      <c r="G34" s="74">
        <v>6.2242498945160598</v>
      </c>
      <c r="H34" s="76">
        <v>0</v>
      </c>
      <c r="I34" s="156">
        <v>0.41749464423941801</v>
      </c>
      <c r="J34" s="74">
        <v>0</v>
      </c>
      <c r="K34" s="51">
        <v>21.624151302387101</v>
      </c>
      <c r="L34" s="74">
        <v>0</v>
      </c>
    </row>
    <row r="35" spans="1:12" x14ac:dyDescent="0.3">
      <c r="A35" s="103">
        <v>210</v>
      </c>
      <c r="B35" s="74">
        <v>15.332854672696</v>
      </c>
      <c r="C35" s="134">
        <v>3.3976175184637998</v>
      </c>
      <c r="D35" s="51">
        <f>3.60097077+0.6038134</f>
        <v>4.2047841699999999</v>
      </c>
      <c r="E35" s="74">
        <v>1.74623222805692</v>
      </c>
      <c r="F35" s="74">
        <v>0</v>
      </c>
      <c r="G35" s="74">
        <v>1.4881620284783801</v>
      </c>
      <c r="H35" s="76">
        <v>0</v>
      </c>
      <c r="I35" s="156">
        <v>0.58159589903493503</v>
      </c>
      <c r="J35" s="74">
        <v>20.557385046116</v>
      </c>
      <c r="K35" s="51">
        <v>0.96638359472924196</v>
      </c>
      <c r="L35" s="74">
        <v>20.101641218247401</v>
      </c>
    </row>
    <row r="36" spans="1:12" x14ac:dyDescent="0.3">
      <c r="A36" s="103">
        <v>220</v>
      </c>
      <c r="B36" s="74">
        <v>14.0378631784496</v>
      </c>
      <c r="C36" s="134">
        <v>4.0108180467902699</v>
      </c>
      <c r="D36" s="51">
        <f>3.81705139+0.3817505</f>
        <v>4.1988018900000004</v>
      </c>
      <c r="E36" s="74">
        <v>2.0464210333988402</v>
      </c>
      <c r="F36" s="74">
        <v>0</v>
      </c>
      <c r="G36" s="74">
        <v>7.5359116040955296</v>
      </c>
      <c r="H36" s="76">
        <v>0</v>
      </c>
      <c r="I36" s="156">
        <v>2.0326349759672899</v>
      </c>
      <c r="J36" s="74">
        <v>9.2848938454768302</v>
      </c>
      <c r="K36" s="51">
        <v>9.4384244420051804</v>
      </c>
      <c r="L36" s="74">
        <v>9.1598473766550299</v>
      </c>
    </row>
    <row r="37" spans="1:12" x14ac:dyDescent="0.3">
      <c r="A37" s="103">
        <v>230</v>
      </c>
      <c r="B37" s="74">
        <v>14.017785782753499</v>
      </c>
      <c r="C37" s="134">
        <v>4.0050816490809398</v>
      </c>
      <c r="D37" s="51">
        <f>0+0</f>
        <v>0</v>
      </c>
      <c r="E37" s="74">
        <v>0</v>
      </c>
      <c r="F37" s="74">
        <v>0</v>
      </c>
      <c r="G37" s="74">
        <v>22.1262358649433</v>
      </c>
      <c r="H37" s="76">
        <v>0</v>
      </c>
      <c r="I37" s="156">
        <v>0</v>
      </c>
      <c r="J37" s="74">
        <v>0</v>
      </c>
      <c r="K37" s="51">
        <v>22.682718944441799</v>
      </c>
      <c r="L37" s="74">
        <v>0</v>
      </c>
    </row>
    <row r="38" spans="1:12" x14ac:dyDescent="0.3">
      <c r="A38" s="103">
        <v>240</v>
      </c>
      <c r="B38" s="74">
        <v>14.0172448110059</v>
      </c>
      <c r="C38" s="134">
        <v>4.0049270950756304</v>
      </c>
      <c r="D38" s="51">
        <f>0+0</f>
        <v>0</v>
      </c>
      <c r="E38" s="74">
        <v>0</v>
      </c>
      <c r="F38" s="74">
        <v>0</v>
      </c>
      <c r="G38" s="74">
        <v>18.304680634726701</v>
      </c>
      <c r="H38" s="76">
        <v>0</v>
      </c>
      <c r="I38" s="156">
        <v>0</v>
      </c>
      <c r="J38" s="74">
        <v>0</v>
      </c>
      <c r="K38" s="51">
        <v>22.8533300851456</v>
      </c>
      <c r="L38" s="74">
        <v>0</v>
      </c>
    </row>
    <row r="39" spans="1:12" x14ac:dyDescent="0.3">
      <c r="A39" s="103">
        <v>250</v>
      </c>
      <c r="B39" s="74">
        <v>14.015195088020199</v>
      </c>
      <c r="C39" s="134">
        <v>4.0043414913311004</v>
      </c>
      <c r="D39" s="51">
        <f>0.3231488+0.10072195</f>
        <v>0.42387075000000002</v>
      </c>
      <c r="E39" s="74">
        <v>7.8914613492609795E-2</v>
      </c>
      <c r="F39" s="74">
        <v>0</v>
      </c>
      <c r="G39" s="74">
        <v>9.9968730356728592</v>
      </c>
      <c r="H39" s="76">
        <v>0</v>
      </c>
      <c r="I39" s="156">
        <v>1.1165250320036799</v>
      </c>
      <c r="J39" s="74">
        <v>10.3556833083169</v>
      </c>
      <c r="K39" s="51">
        <v>11.011281042413</v>
      </c>
      <c r="L39" s="74">
        <v>10.144726929027501</v>
      </c>
    </row>
    <row r="40" spans="1:12" x14ac:dyDescent="0.3">
      <c r="A40" s="103">
        <v>260</v>
      </c>
      <c r="B40" s="74">
        <v>14.0151950860915</v>
      </c>
      <c r="C40" s="134">
        <v>4.0043414922026104</v>
      </c>
      <c r="D40" s="51">
        <f>6.26055318+0.99983608</f>
        <v>7.2603892599999993</v>
      </c>
      <c r="E40" s="74">
        <v>4.4336169986051503</v>
      </c>
      <c r="F40" s="74">
        <v>0</v>
      </c>
      <c r="G40" s="74">
        <v>0</v>
      </c>
      <c r="H40" s="76">
        <v>0</v>
      </c>
      <c r="I40" s="156">
        <v>0</v>
      </c>
      <c r="J40" s="74">
        <v>22.5673808623825</v>
      </c>
      <c r="K40" s="51">
        <v>0</v>
      </c>
      <c r="L40" s="74">
        <v>22.237053129208299</v>
      </c>
    </row>
    <row r="41" spans="1:12" x14ac:dyDescent="0.3">
      <c r="A41" s="103">
        <v>270</v>
      </c>
      <c r="B41" s="74">
        <v>14.015195087213</v>
      </c>
      <c r="C41" s="134">
        <v>4.0043414919061702</v>
      </c>
      <c r="D41" s="51">
        <f>6.26055318+0.99983607</f>
        <v>7.2603892499999994</v>
      </c>
      <c r="E41" s="74">
        <v>9.7617258466290995</v>
      </c>
      <c r="F41" s="74">
        <v>0</v>
      </c>
      <c r="G41" s="74">
        <v>0</v>
      </c>
      <c r="H41" s="76">
        <v>0</v>
      </c>
      <c r="I41" s="156">
        <v>0</v>
      </c>
      <c r="J41" s="74">
        <v>22.5673808626509</v>
      </c>
      <c r="K41" s="51">
        <v>0</v>
      </c>
      <c r="L41" s="74">
        <v>22.767157435825698</v>
      </c>
    </row>
    <row r="42" spans="1:12" x14ac:dyDescent="0.3">
      <c r="A42" s="103">
        <v>280</v>
      </c>
      <c r="B42" s="74">
        <v>14.022211990583999</v>
      </c>
      <c r="C42" s="134">
        <v>4.0063462818903997</v>
      </c>
      <c r="D42" s="51">
        <f>6.26140033+1.00033778</f>
        <v>7.2617381099999996</v>
      </c>
      <c r="E42" s="74">
        <v>10.0241990420582</v>
      </c>
      <c r="F42" s="74">
        <v>0</v>
      </c>
      <c r="G42" s="74">
        <v>0</v>
      </c>
      <c r="H42" s="76">
        <v>0</v>
      </c>
      <c r="I42" s="156">
        <v>0</v>
      </c>
      <c r="J42" s="74">
        <v>22.577771300667798</v>
      </c>
      <c r="K42" s="51">
        <v>0</v>
      </c>
      <c r="L42" s="74">
        <v>22.797200872829901</v>
      </c>
    </row>
    <row r="43" spans="1:12" x14ac:dyDescent="0.3">
      <c r="A43" s="103">
        <v>290</v>
      </c>
      <c r="B43" s="74">
        <v>14.0560714371292</v>
      </c>
      <c r="C43" s="134">
        <v>4.0160204063204796</v>
      </c>
      <c r="D43" s="51">
        <f>6.26444935+1.00275932</f>
        <v>7.2672086699999996</v>
      </c>
      <c r="E43" s="74">
        <v>5.38586025872383</v>
      </c>
      <c r="F43" s="74">
        <v>0</v>
      </c>
      <c r="G43" s="74">
        <v>0</v>
      </c>
      <c r="H43" s="76">
        <v>0</v>
      </c>
      <c r="I43" s="156">
        <v>0</v>
      </c>
      <c r="J43" s="74">
        <v>22.627659070743299</v>
      </c>
      <c r="K43" s="51">
        <v>0</v>
      </c>
      <c r="L43" s="74">
        <v>22.335931996521399</v>
      </c>
    </row>
    <row r="44" spans="1:12" x14ac:dyDescent="0.3">
      <c r="A44" s="103">
        <v>300</v>
      </c>
      <c r="B44" s="74">
        <v>14.056071436877399</v>
      </c>
      <c r="C44" s="134">
        <v>4.01602040691568</v>
      </c>
      <c r="D44" s="51">
        <f>6.26444936+1.00275932</f>
        <v>7.2672086800000004</v>
      </c>
      <c r="E44" s="74">
        <v>3.5771582458747999</v>
      </c>
      <c r="F44" s="74">
        <v>0</v>
      </c>
      <c r="G44" s="74">
        <v>0</v>
      </c>
      <c r="H44" s="76">
        <v>0</v>
      </c>
      <c r="I44" s="156">
        <v>0</v>
      </c>
      <c r="J44" s="74">
        <v>22.627659066590901</v>
      </c>
      <c r="K44" s="51">
        <v>0</v>
      </c>
      <c r="L44" s="74">
        <v>22.155937068303398</v>
      </c>
    </row>
    <row r="45" spans="1:12" x14ac:dyDescent="0.3">
      <c r="A45" s="103">
        <v>310</v>
      </c>
      <c r="B45" s="74">
        <v>14.0506164103811</v>
      </c>
      <c r="C45" s="134">
        <v>4.01447266511554</v>
      </c>
      <c r="D45" s="51">
        <f>6.26347303+1.0023754</f>
        <v>7.2658484300000001</v>
      </c>
      <c r="E45" s="74">
        <v>2.47425285112157</v>
      </c>
      <c r="F45" s="74">
        <v>0</v>
      </c>
      <c r="G45" s="74">
        <v>0</v>
      </c>
      <c r="H45" s="76">
        <v>0</v>
      </c>
      <c r="I45" s="156">
        <v>0</v>
      </c>
      <c r="J45" s="74">
        <v>22.619406999049598</v>
      </c>
      <c r="K45" s="51">
        <v>0</v>
      </c>
      <c r="L45" s="74">
        <v>22.037560712061499</v>
      </c>
    </row>
    <row r="46" spans="1:12" x14ac:dyDescent="0.3">
      <c r="A46" s="103">
        <v>320</v>
      </c>
      <c r="B46" s="74">
        <v>14.039397925235701</v>
      </c>
      <c r="C46" s="134">
        <v>4.0112626927741202</v>
      </c>
      <c r="D46" s="51">
        <f>6.26269101+1.00157039</f>
        <v>7.2642614000000005</v>
      </c>
      <c r="E46" s="74">
        <v>5.4670636304579201</v>
      </c>
      <c r="F46" s="74">
        <v>0</v>
      </c>
      <c r="G46" s="74">
        <v>0</v>
      </c>
      <c r="H46" s="76">
        <v>0</v>
      </c>
      <c r="I46" s="156">
        <v>0</v>
      </c>
      <c r="J46" s="74">
        <v>22.602976677268298</v>
      </c>
      <c r="K46" s="51">
        <v>0</v>
      </c>
      <c r="L46" s="74">
        <v>22.3392877037879</v>
      </c>
    </row>
    <row r="47" spans="1:12" x14ac:dyDescent="0.3">
      <c r="A47" s="103">
        <v>330</v>
      </c>
      <c r="B47" s="74">
        <v>14.0246728082739</v>
      </c>
      <c r="C47" s="134">
        <v>4.0070493720573799</v>
      </c>
      <c r="D47" s="51">
        <f>6.26163381+1.00051376</f>
        <v>7.2621475699999998</v>
      </c>
      <c r="E47" s="74">
        <v>6.44823358311021</v>
      </c>
      <c r="F47" s="74">
        <v>0</v>
      </c>
      <c r="G47" s="74">
        <v>0</v>
      </c>
      <c r="H47" s="76">
        <v>0</v>
      </c>
      <c r="I47" s="156">
        <v>0</v>
      </c>
      <c r="J47" s="74">
        <v>22.581399130303001</v>
      </c>
      <c r="K47" s="51">
        <v>0</v>
      </c>
      <c r="L47" s="74">
        <v>22.4416199596795</v>
      </c>
    </row>
    <row r="48" spans="1:12" x14ac:dyDescent="0.3">
      <c r="A48" s="103">
        <v>340</v>
      </c>
      <c r="B48" s="74">
        <v>14.017651203678099</v>
      </c>
      <c r="C48" s="134">
        <v>4.0050431994672104</v>
      </c>
      <c r="D48" s="51">
        <f>6.26100486+1.00001159</f>
        <v>7.2610164499999996</v>
      </c>
      <c r="E48" s="74">
        <v>6.0128454355548504</v>
      </c>
      <c r="F48" s="74">
        <v>0</v>
      </c>
      <c r="G48" s="74">
        <v>0</v>
      </c>
      <c r="H48" s="76">
        <v>0</v>
      </c>
      <c r="I48" s="156">
        <v>0</v>
      </c>
      <c r="J48" s="74">
        <v>22.571054134013998</v>
      </c>
      <c r="K48" s="51">
        <v>0</v>
      </c>
      <c r="L48" s="74">
        <v>22.398300414256301</v>
      </c>
    </row>
    <row r="49" spans="1:12" x14ac:dyDescent="0.3">
      <c r="A49" s="103">
        <v>350</v>
      </c>
      <c r="B49" s="74">
        <v>14.031187878936899</v>
      </c>
      <c r="C49" s="134">
        <v>4.0089108211058999</v>
      </c>
      <c r="D49" s="51">
        <f>6.26221771+1.00097971</f>
        <v>7.26319742</v>
      </c>
      <c r="E49" s="74">
        <v>6.5161464698833003</v>
      </c>
      <c r="F49" s="74">
        <v>0</v>
      </c>
      <c r="G49" s="74">
        <v>0</v>
      </c>
      <c r="H49" s="76">
        <v>0</v>
      </c>
      <c r="I49" s="156">
        <v>0</v>
      </c>
      <c r="J49" s="74">
        <v>22.590997851639401</v>
      </c>
      <c r="K49" s="51">
        <v>0</v>
      </c>
      <c r="L49" s="74">
        <v>22.4483745304987</v>
      </c>
    </row>
    <row r="50" spans="1:12" x14ac:dyDescent="0.3">
      <c r="A50" s="103">
        <v>360</v>
      </c>
      <c r="B50" s="74">
        <v>14.0343436949934</v>
      </c>
      <c r="C50" s="134">
        <v>4.0098124827426798</v>
      </c>
      <c r="D50" s="51">
        <f>6.26250047+1.0012054</f>
        <v>7.2637058699999999</v>
      </c>
      <c r="E50" s="74">
        <v>7.5358524617447102</v>
      </c>
      <c r="F50" s="74">
        <v>0</v>
      </c>
      <c r="G50" s="74">
        <v>0</v>
      </c>
      <c r="H50" s="76">
        <v>0</v>
      </c>
      <c r="I50" s="156">
        <v>0</v>
      </c>
      <c r="J50" s="74">
        <v>22.595647344008299</v>
      </c>
      <c r="K50" s="51">
        <v>0</v>
      </c>
      <c r="L50" s="74">
        <v>22.5498363906195</v>
      </c>
    </row>
    <row r="51" spans="1:12" x14ac:dyDescent="0.3">
      <c r="A51" s="103">
        <v>370</v>
      </c>
      <c r="B51" s="74">
        <v>14.0343436967507</v>
      </c>
      <c r="C51" s="134">
        <v>4.0098124825909904</v>
      </c>
      <c r="D51" s="51">
        <f>6.26250047+1.0012054</f>
        <v>7.2637058699999999</v>
      </c>
      <c r="E51" s="74">
        <v>8.4003975177348096</v>
      </c>
      <c r="F51" s="74">
        <v>0</v>
      </c>
      <c r="G51" s="74">
        <v>0</v>
      </c>
      <c r="H51" s="76">
        <v>0</v>
      </c>
      <c r="I51" s="156">
        <v>0</v>
      </c>
      <c r="J51" s="74">
        <v>22.5956473472258</v>
      </c>
      <c r="K51" s="51">
        <v>0</v>
      </c>
      <c r="L51" s="74">
        <v>22.6358608137263</v>
      </c>
    </row>
    <row r="52" spans="1:12" x14ac:dyDescent="0.3">
      <c r="A52" s="103">
        <v>380</v>
      </c>
      <c r="B52" s="74">
        <v>8.7995334976360304</v>
      </c>
      <c r="C52" s="134">
        <v>2.5141524266578199</v>
      </c>
      <c r="D52" s="51">
        <f>3.92658779+0.62775579</f>
        <v>4.5543435800000003</v>
      </c>
      <c r="E52" s="74">
        <v>4.4048117404560703</v>
      </c>
      <c r="F52" s="74">
        <v>0</v>
      </c>
      <c r="G52" s="74">
        <v>0</v>
      </c>
      <c r="H52" s="76">
        <v>0</v>
      </c>
      <c r="I52" s="156">
        <v>0</v>
      </c>
      <c r="J52" s="74">
        <v>14.1674708858261</v>
      </c>
      <c r="K52" s="51">
        <v>0</v>
      </c>
      <c r="L52" s="74">
        <v>14.1068899172156</v>
      </c>
    </row>
    <row r="53" spans="1:12" x14ac:dyDescent="0.3">
      <c r="A53" s="103">
        <v>382.54</v>
      </c>
      <c r="B53" s="74">
        <v>1.78236164621</v>
      </c>
      <c r="C53" s="134">
        <v>0.50924618438104197</v>
      </c>
      <c r="D53" s="51">
        <f>0.79533756+0.12715309</f>
        <v>0.92249064999999997</v>
      </c>
      <c r="E53" s="74">
        <v>0.75348519438545902</v>
      </c>
      <c r="F53" s="74">
        <v>0</v>
      </c>
      <c r="G53" s="74">
        <v>0</v>
      </c>
      <c r="H53" s="76">
        <v>0</v>
      </c>
      <c r="I53" s="156">
        <v>0</v>
      </c>
      <c r="J53" s="74">
        <v>2.8696472076847299</v>
      </c>
      <c r="K53" s="51">
        <v>0</v>
      </c>
      <c r="L53" s="74">
        <v>2.84357367889214</v>
      </c>
    </row>
  </sheetData>
  <conditionalFormatting sqref="B12:H12">
    <cfRule type="cellIs" dxfId="2" priority="2" stopIfTrue="1" operator="equal">
      <formula>0</formula>
    </cfRule>
  </conditionalFormatting>
  <conditionalFormatting sqref="I12:K12">
    <cfRule type="cellIs" dxfId="1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3"/>
  <sheetViews>
    <sheetView workbookViewId="0">
      <selection activeCell="A2" sqref="A2"/>
    </sheetView>
  </sheetViews>
  <sheetFormatPr baseColWidth="10" defaultColWidth="11.6328125" defaultRowHeight="12" x14ac:dyDescent="0.3"/>
  <cols>
    <col min="1" max="1" width="15.7265625" style="74" customWidth="1"/>
    <col min="2" max="2" width="15.7265625" style="76" customWidth="1"/>
    <col min="3" max="3" width="15.7265625" style="142" customWidth="1"/>
    <col min="4" max="6" width="15.7265625" style="51" customWidth="1"/>
    <col min="7" max="7" width="13.08984375" style="51" customWidth="1"/>
    <col min="8" max="8" width="14.36328125" style="51" customWidth="1"/>
    <col min="9" max="9" width="11.6328125" style="51" customWidth="1"/>
    <col min="10" max="16384" width="11.6328125" style="51"/>
  </cols>
  <sheetData>
    <row r="1" spans="1:9" ht="45" customHeight="1" x14ac:dyDescent="0.6">
      <c r="A1" s="48"/>
      <c r="B1" s="48"/>
      <c r="C1" s="49"/>
      <c r="D1" s="48"/>
      <c r="E1" s="48"/>
      <c r="F1" s="48"/>
      <c r="G1" s="48"/>
      <c r="H1" s="48"/>
      <c r="I1" s="48"/>
    </row>
    <row r="2" spans="1:9" ht="16.899999999999999" customHeight="1" x14ac:dyDescent="0.4">
      <c r="A2" s="8" t="s">
        <v>6</v>
      </c>
      <c r="B2" s="52"/>
      <c r="C2" s="53"/>
      <c r="D2" s="53"/>
      <c r="E2" s="53"/>
      <c r="F2" s="53"/>
      <c r="G2" s="53"/>
      <c r="H2" s="53"/>
      <c r="I2" s="53"/>
    </row>
    <row r="3" spans="1:9" ht="16.149999999999999" customHeight="1" x14ac:dyDescent="0.35">
      <c r="A3" s="55" t="s">
        <v>57</v>
      </c>
      <c r="B3" s="55"/>
      <c r="C3" s="56"/>
      <c r="D3" s="56"/>
      <c r="E3" s="56"/>
      <c r="F3" s="56"/>
      <c r="G3" s="56"/>
      <c r="H3" s="56"/>
      <c r="I3" s="53"/>
    </row>
    <row r="4" spans="1:9" ht="16.149999999999999" customHeight="1" x14ac:dyDescent="0.35">
      <c r="A4" s="55" t="s">
        <v>8</v>
      </c>
      <c r="B4" s="55" t="str">
        <f>Sammendrag!B4</f>
        <v>Veg 1</v>
      </c>
      <c r="C4" s="56"/>
      <c r="D4" s="56"/>
      <c r="E4" s="56"/>
      <c r="F4" s="56"/>
      <c r="G4" s="56"/>
      <c r="H4" s="56"/>
      <c r="I4" s="53"/>
    </row>
    <row r="5" spans="1:9" ht="15" customHeight="1" x14ac:dyDescent="0.3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15"/>
      <c r="H5" s="15">
        <f>Sammendrag!H5</f>
        <v>0</v>
      </c>
      <c r="I5" s="53"/>
    </row>
    <row r="6" spans="1:9" ht="15" customHeight="1" x14ac:dyDescent="0.3">
      <c r="A6" s="56"/>
      <c r="B6" s="56"/>
      <c r="C6" s="56"/>
      <c r="D6" s="56"/>
      <c r="E6" s="56"/>
      <c r="F6" s="56" t="str">
        <f>Sammendrag!F6</f>
        <v>Slutt profil:</v>
      </c>
      <c r="G6" s="15"/>
      <c r="H6" s="15">
        <f>Sammendrag!H6</f>
        <v>382.54</v>
      </c>
      <c r="I6" s="53"/>
    </row>
    <row r="7" spans="1:9" ht="15" customHeight="1" x14ac:dyDescent="0.3">
      <c r="A7" s="56"/>
      <c r="B7" s="56"/>
      <c r="C7" s="56"/>
      <c r="D7" s="56"/>
      <c r="E7" s="56"/>
      <c r="F7" s="56" t="str">
        <f>Sammendrag!F7</f>
        <v>Dato sist endret:</v>
      </c>
      <c r="G7" s="58"/>
      <c r="H7" s="58" t="str">
        <f>Sammendrag!H7</f>
        <v>5/8/2020 1:04:50 PM</v>
      </c>
      <c r="I7" s="53"/>
    </row>
    <row r="8" spans="1:9" ht="15" customHeight="1" x14ac:dyDescent="0.3">
      <c r="A8" s="56"/>
      <c r="B8" s="56"/>
      <c r="C8" s="56"/>
      <c r="D8" s="56"/>
      <c r="E8" s="56"/>
      <c r="F8" s="56"/>
      <c r="G8" s="56"/>
      <c r="H8" s="15"/>
      <c r="I8" s="53"/>
    </row>
    <row r="9" spans="1:9" ht="15" customHeight="1" x14ac:dyDescent="0.3">
      <c r="A9" s="19"/>
      <c r="B9" s="19"/>
      <c r="C9" s="19"/>
      <c r="D9" s="19"/>
      <c r="E9" s="19"/>
      <c r="F9" s="19"/>
      <c r="G9" s="19"/>
      <c r="H9" s="19"/>
    </row>
    <row r="10" spans="1:9" ht="15" customHeight="1" x14ac:dyDescent="0.3">
      <c r="A10" s="19"/>
      <c r="B10" s="19"/>
      <c r="C10" s="19"/>
      <c r="D10" s="19"/>
      <c r="E10" s="19"/>
      <c r="F10" s="19"/>
      <c r="G10" s="19"/>
      <c r="H10" s="19"/>
    </row>
    <row r="11" spans="1:9" x14ac:dyDescent="0.3">
      <c r="A11" s="60"/>
      <c r="B11" s="61"/>
      <c r="C11" s="140"/>
      <c r="D11" s="19"/>
      <c r="E11" s="19"/>
      <c r="F11" s="19"/>
      <c r="G11" s="19"/>
      <c r="H11" s="19"/>
    </row>
    <row r="12" spans="1:9" ht="28.15" customHeight="1" thickBot="1" x14ac:dyDescent="0.35">
      <c r="A12" s="66" t="s">
        <v>25</v>
      </c>
      <c r="B12" s="148" t="s">
        <v>90</v>
      </c>
      <c r="C12" s="149" t="s">
        <v>91</v>
      </c>
      <c r="D12" s="139"/>
      <c r="E12" s="139"/>
      <c r="F12" s="139"/>
      <c r="G12" s="78"/>
      <c r="H12" s="78"/>
    </row>
    <row r="13" spans="1:9" ht="16.149999999999999" customHeight="1" thickTop="1" x14ac:dyDescent="0.3">
      <c r="A13" s="69" t="s">
        <v>26</v>
      </c>
      <c r="B13" s="71">
        <f ca="1">SUM([0]!Lengths_SD_Soil)</f>
        <v>0</v>
      </c>
      <c r="C13" s="141">
        <f ca="1">SUM([0]!Lengths_SD_Rock)</f>
        <v>0</v>
      </c>
      <c r="D13" s="19"/>
      <c r="E13" s="19"/>
      <c r="F13" s="19"/>
      <c r="G13" s="79"/>
      <c r="H13" s="68"/>
    </row>
    <row r="14" spans="1:9" x14ac:dyDescent="0.3">
      <c r="A14" s="74">
        <v>0</v>
      </c>
      <c r="B14" s="76">
        <v>0</v>
      </c>
      <c r="C14" s="142">
        <v>0</v>
      </c>
    </row>
    <row r="15" spans="1:9" ht="13" x14ac:dyDescent="0.3">
      <c r="A15" s="74">
        <v>10</v>
      </c>
      <c r="B15" s="76">
        <v>0</v>
      </c>
      <c r="C15" s="142">
        <v>0</v>
      </c>
      <c r="H15" s="81"/>
    </row>
    <row r="16" spans="1:9" ht="13" x14ac:dyDescent="0.3">
      <c r="A16" s="74">
        <v>20</v>
      </c>
      <c r="B16" s="76">
        <v>0</v>
      </c>
      <c r="C16" s="142">
        <v>0</v>
      </c>
      <c r="H16" s="81"/>
    </row>
    <row r="17" spans="1:8" ht="13" x14ac:dyDescent="0.3">
      <c r="A17" s="74">
        <v>30</v>
      </c>
      <c r="B17" s="76">
        <v>0</v>
      </c>
      <c r="C17" s="142">
        <v>0</v>
      </c>
      <c r="H17" s="81"/>
    </row>
    <row r="18" spans="1:8" ht="13" x14ac:dyDescent="0.3">
      <c r="A18" s="74">
        <v>40</v>
      </c>
      <c r="B18" s="76">
        <v>0</v>
      </c>
      <c r="C18" s="142">
        <v>0</v>
      </c>
      <c r="H18" s="81"/>
    </row>
    <row r="19" spans="1:8" ht="13" x14ac:dyDescent="0.3">
      <c r="A19" s="74">
        <v>50</v>
      </c>
      <c r="B19" s="76">
        <v>0</v>
      </c>
      <c r="C19" s="142">
        <v>0</v>
      </c>
      <c r="H19" s="81"/>
    </row>
    <row r="20" spans="1:8" x14ac:dyDescent="0.3">
      <c r="A20" s="74">
        <v>60</v>
      </c>
      <c r="B20" s="76">
        <v>0</v>
      </c>
      <c r="C20" s="142">
        <v>0</v>
      </c>
    </row>
    <row r="21" spans="1:8" x14ac:dyDescent="0.3">
      <c r="A21" s="74">
        <v>70</v>
      </c>
      <c r="B21" s="76">
        <v>0</v>
      </c>
      <c r="C21" s="142">
        <v>0</v>
      </c>
    </row>
    <row r="22" spans="1:8" x14ac:dyDescent="0.3">
      <c r="A22" s="74">
        <v>80</v>
      </c>
      <c r="B22" s="76">
        <v>0</v>
      </c>
      <c r="C22" s="142">
        <v>0</v>
      </c>
    </row>
    <row r="23" spans="1:8" x14ac:dyDescent="0.3">
      <c r="A23" s="74">
        <v>90</v>
      </c>
      <c r="B23" s="76">
        <v>0</v>
      </c>
      <c r="C23" s="142">
        <v>0</v>
      </c>
    </row>
    <row r="24" spans="1:8" x14ac:dyDescent="0.3">
      <c r="A24" s="74">
        <v>100</v>
      </c>
      <c r="B24" s="76">
        <v>0</v>
      </c>
      <c r="C24" s="142">
        <v>0</v>
      </c>
    </row>
    <row r="25" spans="1:8" x14ac:dyDescent="0.3">
      <c r="A25" s="74">
        <v>110</v>
      </c>
      <c r="B25" s="76">
        <v>0</v>
      </c>
      <c r="C25" s="142">
        <v>0</v>
      </c>
    </row>
    <row r="26" spans="1:8" x14ac:dyDescent="0.3">
      <c r="A26" s="74">
        <v>120</v>
      </c>
      <c r="B26" s="76">
        <v>0</v>
      </c>
      <c r="C26" s="142">
        <v>0</v>
      </c>
    </row>
    <row r="27" spans="1:8" x14ac:dyDescent="0.3">
      <c r="A27" s="74">
        <v>130</v>
      </c>
      <c r="B27" s="76">
        <v>0</v>
      </c>
      <c r="C27" s="142">
        <v>0</v>
      </c>
    </row>
    <row r="28" spans="1:8" x14ac:dyDescent="0.3">
      <c r="A28" s="74">
        <v>140</v>
      </c>
      <c r="B28" s="76">
        <v>0</v>
      </c>
      <c r="C28" s="142">
        <v>0</v>
      </c>
    </row>
    <row r="29" spans="1:8" x14ac:dyDescent="0.3">
      <c r="A29" s="74">
        <v>150</v>
      </c>
      <c r="B29" s="76">
        <v>0</v>
      </c>
      <c r="C29" s="142">
        <v>0</v>
      </c>
    </row>
    <row r="30" spans="1:8" x14ac:dyDescent="0.3">
      <c r="A30" s="74">
        <v>160</v>
      </c>
      <c r="B30" s="76">
        <v>0</v>
      </c>
      <c r="C30" s="142">
        <v>0</v>
      </c>
    </row>
    <row r="31" spans="1:8" x14ac:dyDescent="0.3">
      <c r="A31" s="74">
        <v>170</v>
      </c>
      <c r="B31" s="76">
        <v>0</v>
      </c>
      <c r="C31" s="142">
        <v>0</v>
      </c>
    </row>
    <row r="32" spans="1:8" x14ac:dyDescent="0.3">
      <c r="A32" s="74">
        <v>180</v>
      </c>
      <c r="B32" s="76">
        <v>0</v>
      </c>
      <c r="C32" s="142">
        <v>0</v>
      </c>
    </row>
    <row r="33" spans="1:3" x14ac:dyDescent="0.3">
      <c r="A33" s="74">
        <v>190</v>
      </c>
      <c r="B33" s="76">
        <v>0</v>
      </c>
      <c r="C33" s="142">
        <v>0</v>
      </c>
    </row>
    <row r="34" spans="1:3" x14ac:dyDescent="0.3">
      <c r="A34" s="74">
        <v>200</v>
      </c>
      <c r="B34" s="76">
        <v>0</v>
      </c>
      <c r="C34" s="142">
        <v>0</v>
      </c>
    </row>
    <row r="35" spans="1:3" x14ac:dyDescent="0.3">
      <c r="A35" s="74">
        <v>210</v>
      </c>
      <c r="B35" s="76">
        <v>0</v>
      </c>
      <c r="C35" s="142">
        <v>0</v>
      </c>
    </row>
    <row r="36" spans="1:3" x14ac:dyDescent="0.3">
      <c r="A36" s="74">
        <v>220</v>
      </c>
      <c r="B36" s="76">
        <v>0</v>
      </c>
      <c r="C36" s="142">
        <v>0</v>
      </c>
    </row>
    <row r="37" spans="1:3" x14ac:dyDescent="0.3">
      <c r="A37" s="74">
        <v>230</v>
      </c>
      <c r="B37" s="76">
        <v>0</v>
      </c>
      <c r="C37" s="142">
        <v>0</v>
      </c>
    </row>
    <row r="38" spans="1:3" x14ac:dyDescent="0.3">
      <c r="A38" s="74">
        <v>240</v>
      </c>
      <c r="B38" s="76">
        <v>0</v>
      </c>
      <c r="C38" s="142">
        <v>0</v>
      </c>
    </row>
    <row r="39" spans="1:3" x14ac:dyDescent="0.3">
      <c r="A39" s="74">
        <v>250</v>
      </c>
      <c r="B39" s="76">
        <v>0</v>
      </c>
      <c r="C39" s="142">
        <v>0</v>
      </c>
    </row>
    <row r="40" spans="1:3" x14ac:dyDescent="0.3">
      <c r="A40" s="74">
        <v>260</v>
      </c>
      <c r="B40" s="76">
        <v>0</v>
      </c>
      <c r="C40" s="142">
        <v>0</v>
      </c>
    </row>
    <row r="41" spans="1:3" x14ac:dyDescent="0.3">
      <c r="A41" s="74">
        <v>270</v>
      </c>
      <c r="B41" s="76">
        <v>0</v>
      </c>
      <c r="C41" s="142">
        <v>0</v>
      </c>
    </row>
    <row r="42" spans="1:3" x14ac:dyDescent="0.3">
      <c r="A42" s="74">
        <v>280</v>
      </c>
      <c r="B42" s="76">
        <v>0</v>
      </c>
      <c r="C42" s="142">
        <v>0</v>
      </c>
    </row>
    <row r="43" spans="1:3" x14ac:dyDescent="0.3">
      <c r="A43" s="74">
        <v>290</v>
      </c>
      <c r="B43" s="76">
        <v>0</v>
      </c>
      <c r="C43" s="142">
        <v>0</v>
      </c>
    </row>
    <row r="44" spans="1:3" x14ac:dyDescent="0.3">
      <c r="A44" s="74">
        <v>300</v>
      </c>
      <c r="B44" s="76">
        <v>0</v>
      </c>
      <c r="C44" s="142">
        <v>0</v>
      </c>
    </row>
    <row r="45" spans="1:3" x14ac:dyDescent="0.3">
      <c r="A45" s="74">
        <v>310</v>
      </c>
      <c r="B45" s="76">
        <v>0</v>
      </c>
      <c r="C45" s="142">
        <v>0</v>
      </c>
    </row>
    <row r="46" spans="1:3" x14ac:dyDescent="0.3">
      <c r="A46" s="74">
        <v>320</v>
      </c>
      <c r="B46" s="76">
        <v>0</v>
      </c>
      <c r="C46" s="142">
        <v>0</v>
      </c>
    </row>
    <row r="47" spans="1:3" x14ac:dyDescent="0.3">
      <c r="A47" s="74">
        <v>330</v>
      </c>
      <c r="B47" s="76">
        <v>0</v>
      </c>
      <c r="C47" s="142">
        <v>0</v>
      </c>
    </row>
    <row r="48" spans="1:3" x14ac:dyDescent="0.3">
      <c r="A48" s="74">
        <v>340</v>
      </c>
      <c r="B48" s="76">
        <v>0</v>
      </c>
      <c r="C48" s="142">
        <v>0</v>
      </c>
    </row>
    <row r="49" spans="1:3" x14ac:dyDescent="0.3">
      <c r="A49" s="74">
        <v>350</v>
      </c>
      <c r="B49" s="76">
        <v>0</v>
      </c>
      <c r="C49" s="142">
        <v>0</v>
      </c>
    </row>
    <row r="50" spans="1:3" x14ac:dyDescent="0.3">
      <c r="A50" s="74">
        <v>360</v>
      </c>
      <c r="B50" s="76">
        <v>0</v>
      </c>
      <c r="C50" s="142">
        <v>0</v>
      </c>
    </row>
    <row r="51" spans="1:3" x14ac:dyDescent="0.3">
      <c r="A51" s="74">
        <v>370</v>
      </c>
      <c r="B51" s="76">
        <v>0</v>
      </c>
      <c r="C51" s="142">
        <v>0</v>
      </c>
    </row>
    <row r="52" spans="1:3" x14ac:dyDescent="0.3">
      <c r="A52" s="74">
        <v>380</v>
      </c>
      <c r="B52" s="76">
        <v>0</v>
      </c>
      <c r="C52" s="142">
        <v>0</v>
      </c>
    </row>
    <row r="53" spans="1:3" x14ac:dyDescent="0.3">
      <c r="A53" s="74">
        <v>382.54</v>
      </c>
      <c r="B53" s="76">
        <v>0</v>
      </c>
      <c r="C53" s="142">
        <v>0</v>
      </c>
    </row>
  </sheetData>
  <conditionalFormatting sqref="B12:C12">
    <cfRule type="cellIs" dxfId="0" priority="1" stopIfTrue="1" operator="equal">
      <formula>0</formula>
    </cfRule>
  </conditionalFormatting>
  <pageMargins left="0.75" right="0.75" top="1" bottom="1" header="0" footer="0"/>
  <pageSetup fitToHeight="0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3"/>
  <sheetViews>
    <sheetView workbookViewId="0">
      <selection activeCell="A2" sqref="A2"/>
    </sheetView>
  </sheetViews>
  <sheetFormatPr baseColWidth="10" defaultColWidth="11.6328125" defaultRowHeight="12" x14ac:dyDescent="0.3"/>
  <cols>
    <col min="1" max="1" width="15.7265625" style="74" customWidth="1"/>
    <col min="2" max="2" width="15.7265625" style="76" customWidth="1"/>
    <col min="3" max="3" width="15.7265625" style="74" customWidth="1"/>
    <col min="4" max="4" width="17.6328125" style="74" customWidth="1"/>
    <col min="5" max="5" width="13.08984375" style="51" customWidth="1"/>
    <col min="6" max="6" width="14.36328125" style="51" customWidth="1"/>
    <col min="7" max="7" width="11.6328125" style="51" customWidth="1"/>
    <col min="8" max="16384" width="11.6328125" style="51"/>
  </cols>
  <sheetData>
    <row r="1" spans="1:9" ht="45" customHeight="1" x14ac:dyDescent="0.6">
      <c r="A1" s="48"/>
      <c r="B1" s="48"/>
      <c r="C1" s="49"/>
      <c r="D1" s="48"/>
      <c r="E1" s="48"/>
      <c r="F1" s="48"/>
      <c r="G1" s="48"/>
      <c r="H1" s="48"/>
      <c r="I1" s="48"/>
    </row>
    <row r="2" spans="1:9" ht="16.899999999999999" customHeight="1" x14ac:dyDescent="0.4">
      <c r="A2" s="8" t="s">
        <v>6</v>
      </c>
      <c r="B2" s="52"/>
      <c r="C2" s="53"/>
      <c r="D2" s="53"/>
      <c r="E2" s="53"/>
      <c r="F2" s="53"/>
      <c r="G2" s="53"/>
      <c r="H2" s="53"/>
      <c r="I2" s="53"/>
    </row>
    <row r="3" spans="1:9" ht="16.149999999999999" customHeight="1" x14ac:dyDescent="0.35">
      <c r="A3" s="153" t="s">
        <v>56</v>
      </c>
      <c r="B3" s="55"/>
      <c r="C3" s="56"/>
      <c r="D3" s="56"/>
      <c r="E3" s="56"/>
      <c r="F3" s="56"/>
      <c r="G3" s="53"/>
      <c r="H3" s="53"/>
      <c r="I3" s="53"/>
    </row>
    <row r="4" spans="1:9" ht="16.149999999999999" customHeight="1" x14ac:dyDescent="0.35">
      <c r="A4" s="55" t="s">
        <v>8</v>
      </c>
      <c r="B4" s="55" t="str">
        <f>Sammendrag!B4</f>
        <v>Veg 1</v>
      </c>
      <c r="C4" s="56"/>
      <c r="D4" s="56"/>
      <c r="E4" s="56"/>
      <c r="F4" s="56"/>
      <c r="G4" s="56"/>
      <c r="H4" s="56"/>
      <c r="I4" s="53"/>
    </row>
    <row r="5" spans="1:9" ht="15" customHeight="1" x14ac:dyDescent="0.3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15"/>
      <c r="H5" s="15">
        <f>Sammendrag!H5</f>
        <v>0</v>
      </c>
      <c r="I5" s="53"/>
    </row>
    <row r="6" spans="1:9" ht="15" customHeight="1" x14ac:dyDescent="0.3">
      <c r="A6" s="56"/>
      <c r="B6" s="56"/>
      <c r="C6" s="56"/>
      <c r="D6" s="56"/>
      <c r="E6" s="56"/>
      <c r="F6" s="56" t="str">
        <f>Sammendrag!F6</f>
        <v>Slutt profil:</v>
      </c>
      <c r="G6" s="15"/>
      <c r="H6" s="15">
        <f>Sammendrag!H6</f>
        <v>382.54</v>
      </c>
      <c r="I6" s="53"/>
    </row>
    <row r="7" spans="1:9" ht="15" customHeight="1" x14ac:dyDescent="0.3">
      <c r="A7" s="56"/>
      <c r="B7" s="56"/>
      <c r="C7" s="56"/>
      <c r="D7" s="56"/>
      <c r="E7" s="56"/>
      <c r="F7" s="56" t="str">
        <f>Sammendrag!F7</f>
        <v>Dato sist endret:</v>
      </c>
      <c r="G7" s="58"/>
      <c r="H7" s="58" t="str">
        <f>Sammendrag!H7</f>
        <v>5/8/2020 1:04:50 PM</v>
      </c>
      <c r="I7" s="53"/>
    </row>
    <row r="8" spans="1:9" ht="15" customHeight="1" x14ac:dyDescent="0.3">
      <c r="A8" s="56"/>
      <c r="B8" s="56"/>
      <c r="C8" s="56"/>
      <c r="D8" s="56"/>
      <c r="E8" s="56"/>
      <c r="F8" s="15"/>
      <c r="G8" s="53"/>
      <c r="H8" s="53"/>
      <c r="I8" s="53"/>
    </row>
    <row r="9" spans="1:9" ht="15" customHeight="1" x14ac:dyDescent="0.3">
      <c r="A9" s="19"/>
      <c r="B9" s="19"/>
      <c r="C9" s="19"/>
      <c r="D9" s="19"/>
      <c r="E9" s="19"/>
      <c r="F9" s="19"/>
    </row>
    <row r="10" spans="1:9" ht="15" customHeight="1" x14ac:dyDescent="0.3">
      <c r="A10" s="19"/>
      <c r="B10" s="19"/>
      <c r="C10" s="19"/>
      <c r="D10" s="19"/>
      <c r="E10" s="19"/>
      <c r="F10" s="19"/>
    </row>
    <row r="11" spans="1:9" x14ac:dyDescent="0.3">
      <c r="A11" s="60"/>
      <c r="B11" s="61"/>
      <c r="C11" s="61"/>
      <c r="D11" s="77"/>
      <c r="E11" s="19"/>
      <c r="F11" s="19"/>
    </row>
    <row r="12" spans="1:9" ht="46" customHeight="1" thickBot="1" x14ac:dyDescent="0.35">
      <c r="A12" s="66" t="s">
        <v>25</v>
      </c>
      <c r="B12" s="129" t="s">
        <v>66</v>
      </c>
      <c r="C12" s="129" t="s">
        <v>67</v>
      </c>
      <c r="D12" s="130" t="s">
        <v>70</v>
      </c>
      <c r="E12" s="78"/>
      <c r="F12" s="78"/>
    </row>
    <row r="13" spans="1:9" ht="16.149999999999999" customHeight="1" thickTop="1" x14ac:dyDescent="0.3">
      <c r="A13" s="69" t="s">
        <v>26</v>
      </c>
      <c r="B13" s="71">
        <f ca="1">SUM(Flåsprengning!Lengths_SD_Soil)</f>
        <v>700.87877522958286</v>
      </c>
      <c r="C13" s="71">
        <f ca="1">SUM(Flåsprengning!Lengths_SD_Rock)</f>
        <v>482.59760568727205</v>
      </c>
      <c r="D13" s="71">
        <f ca="1">SUM(Flåsprengning!Lengths_CD_Fill)</f>
        <v>832.71064310958263</v>
      </c>
      <c r="E13" s="79"/>
      <c r="F13" s="68"/>
    </row>
    <row r="14" spans="1:9" x14ac:dyDescent="0.3">
      <c r="A14" s="74">
        <v>0</v>
      </c>
      <c r="B14" s="76">
        <v>11.1947395344895</v>
      </c>
      <c r="C14" s="74">
        <v>4.1882422864737796</v>
      </c>
      <c r="D14" s="74">
        <f>0+$B14*1</f>
        <v>11.1947395344895</v>
      </c>
    </row>
    <row r="15" spans="1:9" ht="13" x14ac:dyDescent="0.3">
      <c r="A15" s="74">
        <v>10</v>
      </c>
      <c r="B15" s="76">
        <v>22.367528711136998</v>
      </c>
      <c r="C15" s="74">
        <v>8.4486234100400406</v>
      </c>
      <c r="D15" s="74">
        <f>0+$B15*1</f>
        <v>22.367528711136998</v>
      </c>
      <c r="F15" s="81"/>
    </row>
    <row r="16" spans="1:9" ht="13" x14ac:dyDescent="0.3">
      <c r="A16" s="74">
        <v>20</v>
      </c>
      <c r="B16" s="76">
        <v>40.012695700300199</v>
      </c>
      <c r="C16" s="74">
        <v>30.186348463174099</v>
      </c>
      <c r="D16" s="74">
        <f>1.19803763+$B16*1</f>
        <v>41.210733330300201</v>
      </c>
      <c r="F16" s="81"/>
    </row>
    <row r="17" spans="1:6" ht="13" x14ac:dyDescent="0.3">
      <c r="A17" s="74">
        <v>30</v>
      </c>
      <c r="B17" s="76">
        <v>23.240449408143199</v>
      </c>
      <c r="C17" s="74">
        <v>12.1758703951021</v>
      </c>
      <c r="D17" s="74">
        <f t="shared" ref="D17:D25" si="0">0+$B17*1</f>
        <v>23.240449408143199</v>
      </c>
      <c r="F17" s="81"/>
    </row>
    <row r="18" spans="1:6" ht="13" x14ac:dyDescent="0.3">
      <c r="A18" s="74">
        <v>40</v>
      </c>
      <c r="B18" s="76">
        <v>14.419284947220699</v>
      </c>
      <c r="C18" s="74">
        <v>6.3516208617843199</v>
      </c>
      <c r="D18" s="74">
        <f t="shared" si="0"/>
        <v>14.419284947220699</v>
      </c>
      <c r="F18" s="81"/>
    </row>
    <row r="19" spans="1:6" ht="13" x14ac:dyDescent="0.3">
      <c r="A19" s="74">
        <v>50</v>
      </c>
      <c r="B19" s="76">
        <v>17.442823876880599</v>
      </c>
      <c r="C19" s="74">
        <v>10.380156227049699</v>
      </c>
      <c r="D19" s="74">
        <f t="shared" si="0"/>
        <v>17.442823876880599</v>
      </c>
      <c r="F19" s="81"/>
    </row>
    <row r="20" spans="1:6" x14ac:dyDescent="0.3">
      <c r="A20" s="74">
        <v>60</v>
      </c>
      <c r="B20" s="76">
        <v>25.6228052073096</v>
      </c>
      <c r="C20" s="74">
        <v>13.723626676521301</v>
      </c>
      <c r="D20" s="74">
        <f t="shared" si="0"/>
        <v>25.6228052073096</v>
      </c>
    </row>
    <row r="21" spans="1:6" x14ac:dyDescent="0.3">
      <c r="A21" s="74">
        <v>70</v>
      </c>
      <c r="B21" s="76">
        <v>4.1130433026974602</v>
      </c>
      <c r="C21" s="74">
        <v>0.85719864800516998</v>
      </c>
      <c r="D21" s="74">
        <f t="shared" si="0"/>
        <v>4.1130433026974602</v>
      </c>
    </row>
    <row r="22" spans="1:6" x14ac:dyDescent="0.3">
      <c r="A22" s="74">
        <v>80</v>
      </c>
      <c r="B22" s="76">
        <v>0</v>
      </c>
      <c r="C22" s="74">
        <v>0</v>
      </c>
      <c r="D22" s="74">
        <f t="shared" si="0"/>
        <v>0</v>
      </c>
    </row>
    <row r="23" spans="1:6" x14ac:dyDescent="0.3">
      <c r="A23" s="74">
        <v>90</v>
      </c>
      <c r="B23" s="76">
        <v>15.4862938100463</v>
      </c>
      <c r="C23" s="74">
        <v>8.9705810292651194</v>
      </c>
      <c r="D23" s="74">
        <f t="shared" si="0"/>
        <v>15.4862938100463</v>
      </c>
    </row>
    <row r="24" spans="1:6" x14ac:dyDescent="0.3">
      <c r="A24" s="74">
        <v>100</v>
      </c>
      <c r="B24" s="76">
        <v>20.840641607142601</v>
      </c>
      <c r="C24" s="74">
        <v>10.506531747754501</v>
      </c>
      <c r="D24" s="74">
        <f t="shared" si="0"/>
        <v>20.840641607142601</v>
      </c>
    </row>
    <row r="25" spans="1:6" x14ac:dyDescent="0.3">
      <c r="A25" s="74">
        <v>110</v>
      </c>
      <c r="B25" s="76">
        <v>16.089445764805198</v>
      </c>
      <c r="C25" s="74">
        <v>6.8005457876890096</v>
      </c>
      <c r="D25" s="74">
        <f t="shared" si="0"/>
        <v>16.089445764805198</v>
      </c>
    </row>
    <row r="26" spans="1:6" x14ac:dyDescent="0.3">
      <c r="A26" s="74">
        <v>120</v>
      </c>
      <c r="B26" s="76">
        <v>35.497582853241802</v>
      </c>
      <c r="C26" s="74">
        <v>56.207572357321901</v>
      </c>
      <c r="D26" s="74">
        <f>25.93645955+$B26*1</f>
        <v>61.434042403241804</v>
      </c>
    </row>
    <row r="27" spans="1:6" x14ac:dyDescent="0.3">
      <c r="A27" s="74">
        <v>130</v>
      </c>
      <c r="B27" s="76">
        <v>31.602267637011401</v>
      </c>
      <c r="C27" s="74">
        <v>102.72728681827699</v>
      </c>
      <c r="D27" s="74">
        <f>73.12021491+$B27*1</f>
        <v>104.7224825470114</v>
      </c>
    </row>
    <row r="28" spans="1:6" x14ac:dyDescent="0.3">
      <c r="A28" s="74">
        <v>140</v>
      </c>
      <c r="B28" s="76">
        <v>32.8439524428642</v>
      </c>
      <c r="C28" s="74">
        <v>61.540403187377102</v>
      </c>
      <c r="D28" s="74">
        <f>31.57715579+$B28*1</f>
        <v>64.421108232864199</v>
      </c>
    </row>
    <row r="29" spans="1:6" x14ac:dyDescent="0.3">
      <c r="A29" s="74">
        <v>150</v>
      </c>
      <c r="B29" s="76">
        <v>28.215474093092801</v>
      </c>
      <c r="C29" s="74">
        <v>23.497440060955601</v>
      </c>
      <c r="D29" s="74">
        <f t="shared" ref="D29:D53" si="1">0+$B29*1</f>
        <v>28.215474093092801</v>
      </c>
    </row>
    <row r="30" spans="1:6" x14ac:dyDescent="0.3">
      <c r="A30" s="74">
        <v>160</v>
      </c>
      <c r="B30" s="76">
        <v>22.483058689948599</v>
      </c>
      <c r="C30" s="74">
        <v>9.2135548100689597</v>
      </c>
      <c r="D30" s="74">
        <f t="shared" si="1"/>
        <v>22.483058689948599</v>
      </c>
    </row>
    <row r="31" spans="1:6" x14ac:dyDescent="0.3">
      <c r="A31" s="74">
        <v>170</v>
      </c>
      <c r="B31" s="76">
        <v>13.905887495895501</v>
      </c>
      <c r="C31" s="74">
        <v>1.8371893187344599</v>
      </c>
      <c r="D31" s="74">
        <f t="shared" si="1"/>
        <v>13.905887495895501</v>
      </c>
    </row>
    <row r="32" spans="1:6" x14ac:dyDescent="0.3">
      <c r="A32" s="74">
        <v>180</v>
      </c>
      <c r="B32" s="76">
        <v>0</v>
      </c>
      <c r="C32" s="74">
        <v>0</v>
      </c>
      <c r="D32" s="74">
        <f t="shared" si="1"/>
        <v>0</v>
      </c>
    </row>
    <row r="33" spans="1:4" x14ac:dyDescent="0.3">
      <c r="A33" s="74">
        <v>190</v>
      </c>
      <c r="B33" s="76">
        <v>0</v>
      </c>
      <c r="C33" s="74">
        <v>0</v>
      </c>
      <c r="D33" s="74">
        <f t="shared" si="1"/>
        <v>0</v>
      </c>
    </row>
    <row r="34" spans="1:4" x14ac:dyDescent="0.3">
      <c r="A34" s="74">
        <v>200</v>
      </c>
      <c r="B34" s="76">
        <v>0</v>
      </c>
      <c r="C34" s="74">
        <v>0</v>
      </c>
      <c r="D34" s="74">
        <f t="shared" si="1"/>
        <v>0</v>
      </c>
    </row>
    <row r="35" spans="1:4" x14ac:dyDescent="0.3">
      <c r="A35" s="74">
        <v>210</v>
      </c>
      <c r="B35" s="76">
        <v>20.101641218247401</v>
      </c>
      <c r="C35" s="74">
        <v>3.27585370311184</v>
      </c>
      <c r="D35" s="74">
        <f t="shared" si="1"/>
        <v>20.101641218247401</v>
      </c>
    </row>
    <row r="36" spans="1:4" x14ac:dyDescent="0.3">
      <c r="A36" s="74">
        <v>220</v>
      </c>
      <c r="B36" s="76">
        <v>9.1598473766550192</v>
      </c>
      <c r="C36" s="74">
        <v>2.7172335552411502</v>
      </c>
      <c r="D36" s="74">
        <f t="shared" si="1"/>
        <v>9.1598473766550192</v>
      </c>
    </row>
    <row r="37" spans="1:4" x14ac:dyDescent="0.3">
      <c r="A37" s="74">
        <v>230</v>
      </c>
      <c r="B37" s="76">
        <v>0</v>
      </c>
      <c r="C37" s="74">
        <v>0</v>
      </c>
      <c r="D37" s="74">
        <f t="shared" si="1"/>
        <v>0</v>
      </c>
    </row>
    <row r="38" spans="1:4" x14ac:dyDescent="0.3">
      <c r="A38" s="74">
        <v>240</v>
      </c>
      <c r="B38" s="76">
        <v>0</v>
      </c>
      <c r="C38" s="74">
        <v>0</v>
      </c>
      <c r="D38" s="74">
        <f t="shared" si="1"/>
        <v>0</v>
      </c>
    </row>
    <row r="39" spans="1:4" x14ac:dyDescent="0.3">
      <c r="A39" s="74">
        <v>250</v>
      </c>
      <c r="B39" s="76">
        <v>10.144726929027501</v>
      </c>
      <c r="C39" s="74">
        <v>0.57273219150602706</v>
      </c>
      <c r="D39" s="74">
        <f t="shared" si="1"/>
        <v>10.144726929027501</v>
      </c>
    </row>
    <row r="40" spans="1:4" x14ac:dyDescent="0.3">
      <c r="A40" s="74">
        <v>260</v>
      </c>
      <c r="B40" s="76">
        <v>22.237053129208299</v>
      </c>
      <c r="C40" s="74">
        <v>6.3262611142090401</v>
      </c>
      <c r="D40" s="74">
        <f t="shared" si="1"/>
        <v>22.237053129208299</v>
      </c>
    </row>
    <row r="41" spans="1:4" x14ac:dyDescent="0.3">
      <c r="A41" s="74">
        <v>270</v>
      </c>
      <c r="B41" s="76">
        <v>22.767157435825698</v>
      </c>
      <c r="C41" s="74">
        <v>12.2775552719175</v>
      </c>
      <c r="D41" s="74">
        <f t="shared" si="1"/>
        <v>22.767157435825698</v>
      </c>
    </row>
    <row r="42" spans="1:4" x14ac:dyDescent="0.3">
      <c r="A42" s="74">
        <v>280</v>
      </c>
      <c r="B42" s="76">
        <v>22.797200872829901</v>
      </c>
      <c r="C42" s="74">
        <v>12.6098797687575</v>
      </c>
      <c r="D42" s="74">
        <f t="shared" si="1"/>
        <v>22.797200872829901</v>
      </c>
    </row>
    <row r="43" spans="1:4" x14ac:dyDescent="0.3">
      <c r="A43" s="74">
        <v>290</v>
      </c>
      <c r="B43" s="76">
        <v>22.335931996521399</v>
      </c>
      <c r="C43" s="74">
        <v>7.39989545120745</v>
      </c>
      <c r="D43" s="74">
        <f t="shared" si="1"/>
        <v>22.335931996521399</v>
      </c>
    </row>
    <row r="44" spans="1:4" x14ac:dyDescent="0.3">
      <c r="A44" s="74">
        <v>300</v>
      </c>
      <c r="B44" s="76">
        <v>22.155937068303501</v>
      </c>
      <c r="C44" s="74">
        <v>5.3970317229011204</v>
      </c>
      <c r="D44" s="74">
        <f t="shared" si="1"/>
        <v>22.155937068303501</v>
      </c>
    </row>
    <row r="45" spans="1:4" x14ac:dyDescent="0.3">
      <c r="A45" s="74">
        <v>310</v>
      </c>
      <c r="B45" s="76">
        <v>22.037560712061499</v>
      </c>
      <c r="C45" s="74">
        <v>4.2320376193435703</v>
      </c>
      <c r="D45" s="74">
        <f t="shared" si="1"/>
        <v>22.037560712061499</v>
      </c>
    </row>
    <row r="46" spans="1:4" x14ac:dyDescent="0.3">
      <c r="A46" s="74">
        <v>320</v>
      </c>
      <c r="B46" s="76">
        <v>22.3392877037879</v>
      </c>
      <c r="C46" s="74">
        <v>7.52615521536495</v>
      </c>
      <c r="D46" s="74">
        <f t="shared" si="1"/>
        <v>22.3392877037879</v>
      </c>
    </row>
    <row r="47" spans="1:4" x14ac:dyDescent="0.3">
      <c r="A47" s="74">
        <v>330</v>
      </c>
      <c r="B47" s="76">
        <v>22.4416199596795</v>
      </c>
      <c r="C47" s="74">
        <v>8.5746667826027299</v>
      </c>
      <c r="D47" s="74">
        <f t="shared" si="1"/>
        <v>22.4416199596795</v>
      </c>
    </row>
    <row r="48" spans="1:4" x14ac:dyDescent="0.3">
      <c r="A48" s="74">
        <v>340</v>
      </c>
      <c r="B48" s="76">
        <v>22.398300414256301</v>
      </c>
      <c r="C48" s="74">
        <v>8.0658318817761501</v>
      </c>
      <c r="D48" s="74">
        <f t="shared" si="1"/>
        <v>22.398300414256301</v>
      </c>
    </row>
    <row r="49" spans="1:4" x14ac:dyDescent="0.3">
      <c r="A49" s="74">
        <v>350</v>
      </c>
      <c r="B49" s="76">
        <v>22.4483745304987</v>
      </c>
      <c r="C49" s="74">
        <v>8.6377169924685209</v>
      </c>
      <c r="D49" s="74">
        <f t="shared" si="1"/>
        <v>22.4483745304987</v>
      </c>
    </row>
    <row r="50" spans="1:4" x14ac:dyDescent="0.3">
      <c r="A50" s="74">
        <v>360</v>
      </c>
      <c r="B50" s="76">
        <v>22.5498363906195</v>
      </c>
      <c r="C50" s="74">
        <v>9.7970610360570092</v>
      </c>
      <c r="D50" s="74">
        <f t="shared" si="1"/>
        <v>22.5498363906195</v>
      </c>
    </row>
    <row r="51" spans="1:4" x14ac:dyDescent="0.3">
      <c r="A51" s="74">
        <v>370</v>
      </c>
      <c r="B51" s="76">
        <v>22.635860813726399</v>
      </c>
      <c r="C51" s="74">
        <v>10.7717029141356</v>
      </c>
      <c r="D51" s="74">
        <f t="shared" si="1"/>
        <v>22.635860813726399</v>
      </c>
    </row>
    <row r="52" spans="1:4" x14ac:dyDescent="0.3">
      <c r="A52" s="74">
        <v>380</v>
      </c>
      <c r="B52" s="76">
        <v>14.1068899172156</v>
      </c>
      <c r="C52" s="74">
        <v>5.7867042464292702</v>
      </c>
      <c r="D52" s="74">
        <f t="shared" si="1"/>
        <v>14.1068899172156</v>
      </c>
    </row>
    <row r="53" spans="1:4" x14ac:dyDescent="0.3">
      <c r="A53" s="74">
        <v>382.54</v>
      </c>
      <c r="B53" s="76">
        <v>2.84357367889214</v>
      </c>
      <c r="C53" s="74">
        <v>1.01649413464842</v>
      </c>
      <c r="D53" s="74">
        <f t="shared" si="1"/>
        <v>2.84357367889214</v>
      </c>
    </row>
  </sheetData>
  <pageMargins left="0.75" right="0.75" top="1" bottom="1" header="0" footer="0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Sammendrag</vt:lpstr>
      <vt:lpstr>Planering</vt:lpstr>
      <vt:lpstr>Diverse_mengder</vt:lpstr>
      <vt:lpstr>Inngår_i_planering</vt:lpstr>
      <vt:lpstr>Overbygning</vt:lpstr>
      <vt:lpstr>Areal</vt:lpstr>
      <vt:lpstr>Lengde</vt:lpstr>
      <vt:lpstr>Flåsprengning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Jakkaphan Aiemcharoenjit</dc:creator>
  <cp:lastModifiedBy>Tiril Birkedal</cp:lastModifiedBy>
  <dcterms:created xsi:type="dcterms:W3CDTF">2017-06-07T03:21:20Z</dcterms:created>
  <dcterms:modified xsi:type="dcterms:W3CDTF">2020-05-11T08:41:05Z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