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a7b\AC\Temp\"/>
    </mc:Choice>
  </mc:AlternateContent>
  <xr:revisionPtr revIDLastSave="0" documentId="8_{93751A34-972C-4396-A38D-66645342D06F}" xr6:coauthVersionLast="45" xr6:coauthVersionMax="45" xr10:uidLastSave="{00000000-0000-0000-0000-000000000000}"/>
  <bookViews>
    <workbookView xWindow="240" yWindow="105" windowWidth="14805" windowHeight="8010" firstSheet="2" activeTab="2" xr2:uid="{00000000-000D-0000-FFFF-FFFF00000000}"/>
  </bookViews>
  <sheets>
    <sheet name="landbehov" sheetId="3" r:id="rId1"/>
    <sheet name="Energibehov" sheetId="2" r:id="rId2"/>
    <sheet name="Massestrømmer" sheetId="1" r:id="rId3"/>
    <sheet name="Tabelloversikt" sheetId="4" r:id="rId4"/>
    <sheet name="Ressursoversikt" sheetId="5" r:id="rId5"/>
    <sheet name="Kostnader 1 liter" sheetId="6" r:id="rId6"/>
    <sheet name="Norge og vestlandet" sheetId="8" r:id="rId7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F13" i="8"/>
  <c r="I9" i="8"/>
  <c r="F7" i="8"/>
  <c r="N6" i="3" l="1"/>
  <c r="M12" i="3"/>
  <c r="M11" i="3"/>
  <c r="M10" i="3"/>
  <c r="M13" i="3" s="1"/>
  <c r="O13" i="3" s="1"/>
  <c r="AQ47" i="4"/>
  <c r="P34" i="4"/>
  <c r="H22" i="3"/>
  <c r="AX7" i="4"/>
  <c r="M23" i="1"/>
  <c r="M22" i="1"/>
  <c r="M21" i="1"/>
  <c r="AX54" i="4"/>
  <c r="AX55" i="4" s="1"/>
  <c r="D13" i="6"/>
  <c r="D14" i="6"/>
  <c r="D12" i="6"/>
  <c r="D15" i="6" s="1"/>
  <c r="C19" i="6" s="1"/>
  <c r="H9" i="6"/>
  <c r="B5" i="5" l="1"/>
  <c r="AP15" i="4" l="1"/>
  <c r="P24" i="4" l="1"/>
  <c r="AC24" i="4"/>
  <c r="H56" i="4"/>
  <c r="H57" i="4" s="1"/>
  <c r="H58" i="4" s="1"/>
  <c r="P25" i="4" s="1"/>
  <c r="G57" i="4"/>
  <c r="G58" i="4" s="1"/>
  <c r="C26" i="4"/>
  <c r="AP25" i="4" s="1"/>
  <c r="O50" i="4" l="1"/>
  <c r="O51" i="4" s="1"/>
  <c r="X24" i="4" s="1"/>
  <c r="X5" i="4" l="1"/>
  <c r="AP27" i="4" l="1"/>
  <c r="AP26" i="4"/>
  <c r="AC26" i="4" l="1"/>
  <c r="E49" i="4" l="1"/>
  <c r="E50" i="4" s="1"/>
  <c r="E51" i="4" s="1"/>
  <c r="X25" i="4" s="1"/>
  <c r="AX27" i="4" s="1"/>
  <c r="K4" i="4" l="1"/>
  <c r="AX5" i="4" s="1"/>
  <c r="AX25" i="4" l="1"/>
  <c r="AX26" i="4"/>
  <c r="AX14" i="4"/>
  <c r="B3" i="5" l="1"/>
  <c r="B4" i="5" s="1"/>
  <c r="B29" i="5" l="1"/>
  <c r="B30" i="5" s="1"/>
  <c r="B23" i="5"/>
  <c r="B24" i="5" s="1"/>
  <c r="AI55" i="4" l="1"/>
  <c r="AI52" i="4" l="1"/>
  <c r="AK52" i="4" s="1"/>
  <c r="AM52" i="4" s="1"/>
  <c r="AK56" i="4"/>
  <c r="AM56" i="4" s="1"/>
  <c r="AO56" i="4" s="1"/>
  <c r="AG48" i="4" l="1"/>
  <c r="AJ48" i="4" s="1"/>
  <c r="AL48" i="4" s="1"/>
  <c r="AN48" i="4" s="1"/>
  <c r="AQ48" i="4" s="1"/>
  <c r="AG47" i="4"/>
  <c r="AJ47" i="4" s="1"/>
  <c r="AL47" i="4" s="1"/>
  <c r="AN47" i="4" s="1"/>
  <c r="AT47" i="4" s="1"/>
  <c r="AK24" i="4" s="1"/>
  <c r="AX24" i="4" s="1"/>
  <c r="AP7" i="4"/>
  <c r="B9" i="5" s="1"/>
  <c r="AP6" i="4"/>
  <c r="AK5" i="4"/>
  <c r="B10" i="5" s="1"/>
  <c r="AP4" i="4"/>
  <c r="AP10" i="4"/>
  <c r="AP11" i="4"/>
  <c r="AP5" i="4"/>
  <c r="AX4" i="4"/>
  <c r="AX6" i="4"/>
  <c r="AX8" i="4"/>
  <c r="AX9" i="4"/>
  <c r="AX10" i="4"/>
  <c r="C59" i="4"/>
  <c r="C61" i="4" s="1"/>
  <c r="Q5" i="2"/>
  <c r="C14" i="4"/>
  <c r="C8" i="4"/>
  <c r="D50" i="4"/>
  <c r="D51" i="4" l="1"/>
  <c r="K24" i="4" s="1"/>
  <c r="AC25" i="4" s="1"/>
  <c r="AP8" i="4"/>
  <c r="B14" i="5"/>
  <c r="B15" i="5" s="1"/>
  <c r="AP14" i="4"/>
  <c r="C28" i="4"/>
  <c r="C9" i="4"/>
  <c r="AP9" i="4" s="1"/>
  <c r="B45" i="4"/>
  <c r="D44" i="4" s="1"/>
  <c r="AP24" i="4" l="1"/>
  <c r="B19" i="5"/>
  <c r="B20" i="5" s="1"/>
  <c r="H12" i="1"/>
  <c r="I12" i="1" s="1"/>
  <c r="O5" i="2" l="1"/>
</calcChain>
</file>

<file path=xl/sharedStrings.xml><?xml version="1.0" encoding="utf-8"?>
<sst xmlns="http://schemas.openxmlformats.org/spreadsheetml/2006/main" count="580" uniqueCount="239">
  <si>
    <t>Carbonengineering commercial plant size per million ton CO2 captured per year</t>
  </si>
  <si>
    <t>150-300 acres</t>
  </si>
  <si>
    <t xml:space="preserve"> </t>
  </si>
  <si>
    <t>607029-1214058m^2</t>
  </si>
  <si>
    <t>2000 barrels per dag blir 30 acre</t>
  </si>
  <si>
    <t>https://carbonengineering.com/frequently-asked-questions/</t>
  </si>
  <si>
    <t>2000 barrels = 238480l</t>
  </si>
  <si>
    <t xml:space="preserve">Dvs </t>
  </si>
  <si>
    <t>acre per liter</t>
  </si>
  <si>
    <t>Carbon engineering air to fuels plant with capacity to produce 2000 barrels of fuel per day</t>
  </si>
  <si>
    <t>30 acres</t>
  </si>
  <si>
    <t>Liter produsert per dag</t>
  </si>
  <si>
    <t>121405.8m^2</t>
  </si>
  <si>
    <t>Parafin</t>
  </si>
  <si>
    <t>https://carbonengineering.com/frequently-asked-questions/#uses-of-ces-technology</t>
  </si>
  <si>
    <t>Bensin</t>
  </si>
  <si>
    <t>Diesel</t>
  </si>
  <si>
    <t>Areal for drivstoffproduksjon</t>
  </si>
  <si>
    <t>Sum</t>
  </si>
  <si>
    <t>acre</t>
  </si>
  <si>
    <t>km^2</t>
  </si>
  <si>
    <t>Areal for en hyLYZER-5000-30</t>
  </si>
  <si>
    <t>Areal for de 52 som trengs</t>
  </si>
  <si>
    <t>10X40 ft = 37m^2</t>
  </si>
  <si>
    <t>m^2</t>
  </si>
  <si>
    <t>When CO2 is delivered at 15 MPa, the design requires either 8,81 GJ of natural gas, or 5.25 GJ of gass and 366KW/h of electricity, per ton of CO2 captured. </t>
  </si>
  <si>
    <t>Producing of 1 kg of hydrogen (which has a specific energy of 143 MJ/kg or about 40 kWh/kg) requires 50–55 kWh of electricity</t>
  </si>
  <si>
    <t>Direct Air Capture</t>
  </si>
  <si>
    <t>Electrolyse</t>
  </si>
  <si>
    <t>Kilde</t>
  </si>
  <si>
    <t>Energi inn</t>
  </si>
  <si>
    <t>Massestrøm (t/h)</t>
  </si>
  <si>
    <t>https://www.energy.gov/eere/fuelcells/doe-technical-targets-hydrogen-production-electrolysis</t>
  </si>
  <si>
    <t>Komponent</t>
  </si>
  <si>
    <t>Energikrav (MW)</t>
  </si>
  <si>
    <t xml:space="preserve">El, inn </t>
  </si>
  <si>
    <t>Energibehov(kWh)</t>
  </si>
  <si>
    <t>(MWh)</t>
  </si>
  <si>
    <t>Kostnad (NOK/h)</t>
  </si>
  <si>
    <t>Prisen på strøm for kraftindustri 31,8 øre/kWh = 318 NOK/MWh</t>
  </si>
  <si>
    <t>Ait Contactor</t>
  </si>
  <si>
    <t>Elektrolyse</t>
  </si>
  <si>
    <t xml:space="preserve">Kilde: </t>
  </si>
  <si>
    <t>Steam Slaker</t>
  </si>
  <si>
    <t>https://www.ssb.no/elkraftpris</t>
  </si>
  <si>
    <t>Pellet Reactor</t>
  </si>
  <si>
    <t>Calciner</t>
  </si>
  <si>
    <t>CO2 Absorber</t>
  </si>
  <si>
    <t>Seperation</t>
  </si>
  <si>
    <t>C02 Compressor</t>
  </si>
  <si>
    <t>ASU</t>
  </si>
  <si>
    <t>AUX</t>
  </si>
  <si>
    <t>Quicklime Mix Tank</t>
  </si>
  <si>
    <t>Totalt, inn</t>
  </si>
  <si>
    <t>Energi ut</t>
  </si>
  <si>
    <t>Komponet</t>
  </si>
  <si>
    <t>Energimengde ut (MW)</t>
  </si>
  <si>
    <t>Steam Turbine</t>
  </si>
  <si>
    <t>Gas Turbine</t>
  </si>
  <si>
    <t>Totalt, ut</t>
  </si>
  <si>
    <t>For</t>
  </si>
  <si>
    <t>1 tonn CO2</t>
  </si>
  <si>
    <t>Da blir for 171 tonn</t>
  </si>
  <si>
    <t>Trengs</t>
  </si>
  <si>
    <t>15515MJ</t>
  </si>
  <si>
    <t>4309,72kWh</t>
  </si>
  <si>
    <t>736,96MWh</t>
  </si>
  <si>
    <t>Får du ut</t>
  </si>
  <si>
    <t>5454MJ</t>
  </si>
  <si>
    <t>1515,00kWh</t>
  </si>
  <si>
    <t>259,07MWh</t>
  </si>
  <si>
    <t>Massestrømmer</t>
  </si>
  <si>
    <t>Prosess</t>
  </si>
  <si>
    <t xml:space="preserve">Stoff </t>
  </si>
  <si>
    <t xml:space="preserve">Massestrøm (t/h) </t>
  </si>
  <si>
    <t>Volumstrøm (l/h)</t>
  </si>
  <si>
    <t>Volumstrøm (m3/h)</t>
  </si>
  <si>
    <t>DAC, inn</t>
  </si>
  <si>
    <t>Luft</t>
  </si>
  <si>
    <t>Vann</t>
  </si>
  <si>
    <t>carbonengineering artikkel</t>
  </si>
  <si>
    <t>CO2+H2</t>
  </si>
  <si>
    <t>CO+H2O</t>
  </si>
  <si>
    <t>Forhold mellom H2 og CO2 er 1:7,33</t>
  </si>
  <si>
    <t>DAC, ut</t>
  </si>
  <si>
    <t>CO2</t>
  </si>
  <si>
    <t>------------------||----------------</t>
  </si>
  <si>
    <t>i*CO+2i*H2</t>
  </si>
  <si>
    <t>(-CH2-)i+i*H2O</t>
  </si>
  <si>
    <t>Forhold mellom syncrude og CO2 er 1:3,14</t>
  </si>
  <si>
    <t>EL=elektrolyse</t>
  </si>
  <si>
    <t>EL, inn</t>
  </si>
  <si>
    <t>https://cleanenergypartnership.de/en/faq/hydrogen-production-and-storage/</t>
  </si>
  <si>
    <t>EL, ut</t>
  </si>
  <si>
    <t>H2</t>
  </si>
  <si>
    <t>Regnet ut fra balanse av ligninger</t>
  </si>
  <si>
    <t>H2=2g/mol</t>
  </si>
  <si>
    <t>CO2=44g/mol</t>
  </si>
  <si>
    <t>F-T, ut</t>
  </si>
  <si>
    <t>Syncrude</t>
  </si>
  <si>
    <t>-----------------||------------------</t>
  </si>
  <si>
    <t>CO2=12+16*2=44g/mol</t>
  </si>
  <si>
    <t>(-CH2-)=14g/mol</t>
  </si>
  <si>
    <t>Raffinering, ut</t>
  </si>
  <si>
    <t xml:space="preserve">Trengs 3mol H2 og 1mol CO2 </t>
  </si>
  <si>
    <t>Trengs 1mol CO2 og 1mol (-CH2-)</t>
  </si>
  <si>
    <t>Blir 44g CO2 og 6g H2</t>
  </si>
  <si>
    <t>Blir 44g CO2 og 14g (-CH2-)</t>
  </si>
  <si>
    <t>Masseforholdet blir 6:44=1:7,33</t>
  </si>
  <si>
    <t>Masseforholdet blir 14:44=1:3,14</t>
  </si>
  <si>
    <t>% av "syncrude"</t>
  </si>
  <si>
    <t>For alfa = 0,85</t>
  </si>
  <si>
    <t>Inn</t>
  </si>
  <si>
    <t>Mengde</t>
  </si>
  <si>
    <t>Enhet</t>
  </si>
  <si>
    <t>Masse</t>
  </si>
  <si>
    <t>Ut</t>
  </si>
  <si>
    <t>t/h</t>
  </si>
  <si>
    <t>Ferskvann</t>
  </si>
  <si>
    <t>Rent Vann</t>
  </si>
  <si>
    <t>CaCO3</t>
  </si>
  <si>
    <t>Luft (CO2)</t>
  </si>
  <si>
    <t>Ren CO2</t>
  </si>
  <si>
    <t>l/h</t>
  </si>
  <si>
    <t>O2</t>
  </si>
  <si>
    <t xml:space="preserve">       -&gt;</t>
  </si>
  <si>
    <t>Karbonfangst</t>
  </si>
  <si>
    <t>F-T</t>
  </si>
  <si>
    <t>Hele anlegget</t>
  </si>
  <si>
    <t>Naturgass</t>
  </si>
  <si>
    <t>GJ/h</t>
  </si>
  <si>
    <t>kW</t>
  </si>
  <si>
    <t>Energi</t>
  </si>
  <si>
    <t>Elektrisitet</t>
  </si>
  <si>
    <t>MW</t>
  </si>
  <si>
    <t>Varme</t>
  </si>
  <si>
    <t>Kostnader</t>
  </si>
  <si>
    <t>NOK/h</t>
  </si>
  <si>
    <t>Plass</t>
  </si>
  <si>
    <t>Anlegg</t>
  </si>
  <si>
    <t>150-300</t>
  </si>
  <si>
    <t>acres</t>
  </si>
  <si>
    <t>1,42-2,02</t>
  </si>
  <si>
    <t>0,61-1,21</t>
  </si>
  <si>
    <t>150-300 acres per million CO2 captured per year</t>
  </si>
  <si>
    <t>t CO2/year</t>
  </si>
  <si>
    <t>t CO2/h</t>
  </si>
  <si>
    <t>h/year</t>
  </si>
  <si>
    <t>Kerosene</t>
  </si>
  <si>
    <t>40-80</t>
  </si>
  <si>
    <t>EUR/fat</t>
  </si>
  <si>
    <t>https://www.iata.org/en/publications/economics/fuel-monitor/</t>
  </si>
  <si>
    <t>l/m^3</t>
  </si>
  <si>
    <t>barrel/liter</t>
  </si>
  <si>
    <t>kg/m^3</t>
  </si>
  <si>
    <t>https://www.engineeringtoolbox.com/liquids-densities-d_743.html</t>
  </si>
  <si>
    <t>180-270</t>
  </si>
  <si>
    <t>Celsius</t>
  </si>
  <si>
    <t>EUR/l</t>
  </si>
  <si>
    <t>=</t>
  </si>
  <si>
    <t>NOK/l</t>
  </si>
  <si>
    <t>NOK/kg</t>
  </si>
  <si>
    <t>NOK/t</t>
  </si>
  <si>
    <t>average:</t>
  </si>
  <si>
    <t>EUR/t</t>
  </si>
  <si>
    <t>NOK/EUR</t>
  </si>
  <si>
    <t xml:space="preserve">      &lt;-</t>
  </si>
  <si>
    <t>https://www.xe.com/currencycharts/?from=EUR&amp;to=NOK&amp;view=10Y</t>
  </si>
  <si>
    <t>https://www.ammoniaenergy.org/articles/the-cost-of-hydrogen-platts-launches-hydrogen-price-assessment/</t>
  </si>
  <si>
    <t>180-450</t>
  </si>
  <si>
    <t>psig</t>
  </si>
  <si>
    <t>NOK/$</t>
  </si>
  <si>
    <t>$/kg</t>
  </si>
  <si>
    <t>EUR/h</t>
  </si>
  <si>
    <t>https://www.globalpetrolprices.com/Norway/diesel_prices/</t>
  </si>
  <si>
    <t>https://www.engineeringtoolbox.com/fuels-densities-specific-volumes-d_166.html</t>
  </si>
  <si>
    <t>l/fat</t>
  </si>
  <si>
    <t>euro/m^3</t>
  </si>
  <si>
    <t>water</t>
  </si>
  <si>
    <t>https://doi.org/10.1016/j.fuel.2016.12.003</t>
  </si>
  <si>
    <t>Gasoline</t>
  </si>
  <si>
    <t>https://www.globalpetrolprices.com/gasoline_prices/#hl140</t>
  </si>
  <si>
    <t>eur/l</t>
  </si>
  <si>
    <t>https://enerwe.no/hva-er-gassprisen/167511</t>
  </si>
  <si>
    <t>t/m^3</t>
  </si>
  <si>
    <t>NOK/m^3</t>
  </si>
  <si>
    <t>natural gas</t>
  </si>
  <si>
    <t>euro/h</t>
  </si>
  <si>
    <t>https://barentsnaturgass.no/naturgass/</t>
  </si>
  <si>
    <t>kr/h</t>
  </si>
  <si>
    <t>t/hr</t>
  </si>
  <si>
    <t>NOK/hr</t>
  </si>
  <si>
    <t>Produserer 100 ton i timen</t>
  </si>
  <si>
    <t>Kerosine</t>
  </si>
  <si>
    <t>Unit</t>
  </si>
  <si>
    <t>m^3/h</t>
  </si>
  <si>
    <t>Water</t>
  </si>
  <si>
    <t>in</t>
  </si>
  <si>
    <t>l</t>
  </si>
  <si>
    <t>out</t>
  </si>
  <si>
    <t>Natural Gas</t>
  </si>
  <si>
    <t>GJ</t>
  </si>
  <si>
    <t>MJ</t>
  </si>
  <si>
    <t>Electricity</t>
  </si>
  <si>
    <t>Mwh</t>
  </si>
  <si>
    <t>kWh</t>
  </si>
  <si>
    <t>t</t>
  </si>
  <si>
    <t>kg</t>
  </si>
  <si>
    <t>Ressursbehov per liter parafin</t>
  </si>
  <si>
    <t>Forhold</t>
  </si>
  <si>
    <t>Naturgass:</t>
  </si>
  <si>
    <t>Naturgasspris:</t>
  </si>
  <si>
    <t>kg/MJ</t>
  </si>
  <si>
    <t>Elektrisitet:</t>
  </si>
  <si>
    <t>Strømpris:</t>
  </si>
  <si>
    <t>NOK/MWh</t>
  </si>
  <si>
    <t>Vann:</t>
  </si>
  <si>
    <t>Vannpris:</t>
  </si>
  <si>
    <t xml:space="preserve">Vann produsert av F-T: </t>
  </si>
  <si>
    <t>Vannbehov med gjennvinning av vann produsert i F-T:</t>
  </si>
  <si>
    <t>Pris per liter parafin:</t>
  </si>
  <si>
    <t>NOK</t>
  </si>
  <si>
    <t>Sum:</t>
  </si>
  <si>
    <t>Andre kostnader utgjør omtrent 1/7 av produksjonskostnadene</t>
  </si>
  <si>
    <t>totalt per liter</t>
  </si>
  <si>
    <t>https://www.ssb.no/a/histstat/rapp/rapp_199720.pdf</t>
  </si>
  <si>
    <t>Årlig forbruk av jetparafin til rutetrafikk:</t>
  </si>
  <si>
    <t>Produksjon av parafin fra ett PTL anlegg</t>
  </si>
  <si>
    <t>kilotonn</t>
  </si>
  <si>
    <t>tonn i året</t>
  </si>
  <si>
    <t>Trenger</t>
  </si>
  <si>
    <t>Pris per liter:</t>
  </si>
  <si>
    <t>Per full skala anlegg</t>
  </si>
  <si>
    <t>Pris for å dekke Norges behov:</t>
  </si>
  <si>
    <t>NOx (tonn/år)</t>
  </si>
  <si>
    <t>CO (tonn/år)</t>
  </si>
  <si>
    <t>Total utslipp sivile flyplasser per år:</t>
  </si>
  <si>
    <t>Flesland:</t>
  </si>
  <si>
    <t>Prosent av total fra Flesland: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</si>
</sst>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"/>
    <numFmt numFmtId="165" formatCode="&quot;kr&quot;\ #,##0.00"/>
    <numFmt numFmtId="166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9" xfId="0" applyFill="1" applyBorder="1"/>
    <xf numFmtId="2" fontId="0" fillId="2" borderId="9" xfId="0" applyNumberFormat="1" applyFill="1" applyBorder="1"/>
    <xf numFmtId="2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0" xfId="1" applyFill="1" applyBorder="1"/>
    <xf numFmtId="0" fontId="3" fillId="2" borderId="0" xfId="1" applyFill="1"/>
    <xf numFmtId="0" fontId="1" fillId="2" borderId="9" xfId="0" applyFont="1" applyFill="1" applyBorder="1"/>
    <xf numFmtId="0" fontId="0" fillId="3" borderId="0" xfId="0" applyFill="1"/>
    <xf numFmtId="0" fontId="1" fillId="3" borderId="9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3" borderId="0" xfId="0" applyFont="1" applyFill="1"/>
    <xf numFmtId="43" fontId="0" fillId="3" borderId="0" xfId="0" applyNumberFormat="1" applyFill="1"/>
    <xf numFmtId="0" fontId="3" fillId="3" borderId="0" xfId="1" applyFill="1"/>
    <xf numFmtId="0" fontId="0" fillId="4" borderId="0" xfId="0" applyFill="1"/>
    <xf numFmtId="0" fontId="1" fillId="4" borderId="9" xfId="0" applyFont="1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9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0" xfId="0" applyFill="1"/>
    <xf numFmtId="0" fontId="1" fillId="5" borderId="9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" fillId="3" borderId="0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0" fillId="6" borderId="0" xfId="0" applyFill="1"/>
    <xf numFmtId="0" fontId="3" fillId="6" borderId="0" xfId="1" applyFill="1"/>
    <xf numFmtId="0" fontId="0" fillId="7" borderId="0" xfId="0" applyFill="1"/>
    <xf numFmtId="0" fontId="0" fillId="8" borderId="0" xfId="0" applyFill="1"/>
    <xf numFmtId="14" fontId="0" fillId="8" borderId="0" xfId="0" applyNumberFormat="1" applyFill="1"/>
    <xf numFmtId="0" fontId="3" fillId="9" borderId="0" xfId="1" applyFill="1"/>
    <xf numFmtId="0" fontId="0" fillId="9" borderId="0" xfId="0" applyFill="1"/>
    <xf numFmtId="0" fontId="0" fillId="5" borderId="9" xfId="0" applyFill="1" applyBorder="1"/>
    <xf numFmtId="0" fontId="0" fillId="0" borderId="0" xfId="0" applyAlignment="1"/>
    <xf numFmtId="49" fontId="0" fillId="0" borderId="0" xfId="0" applyNumberFormat="1"/>
    <xf numFmtId="0" fontId="0" fillId="10" borderId="0" xfId="0" applyFill="1"/>
    <xf numFmtId="0" fontId="3" fillId="7" borderId="0" xfId="1" applyFill="1"/>
    <xf numFmtId="2" fontId="0" fillId="7" borderId="0" xfId="0" applyNumberFormat="1" applyFill="1"/>
    <xf numFmtId="0" fontId="1" fillId="5" borderId="10" xfId="0" applyFont="1" applyFill="1" applyBorder="1"/>
    <xf numFmtId="2" fontId="0" fillId="5" borderId="9" xfId="0" applyNumberFormat="1" applyFill="1" applyBorder="1"/>
    <xf numFmtId="0" fontId="0" fillId="11" borderId="0" xfId="0" applyFill="1"/>
    <xf numFmtId="0" fontId="3" fillId="11" borderId="0" xfId="1" applyFill="1"/>
    <xf numFmtId="43" fontId="0" fillId="11" borderId="0" xfId="0" applyNumberFormat="1" applyFill="1"/>
    <xf numFmtId="0" fontId="0" fillId="12" borderId="0" xfId="0" applyFill="1"/>
    <xf numFmtId="0" fontId="3" fillId="12" borderId="0" xfId="1" applyFill="1"/>
    <xf numFmtId="43" fontId="0" fillId="12" borderId="0" xfId="0" applyNumberFormat="1" applyFill="1"/>
    <xf numFmtId="14" fontId="0" fillId="12" borderId="0" xfId="0" applyNumberFormat="1" applyFill="1"/>
    <xf numFmtId="2" fontId="0" fillId="0" borderId="0" xfId="0" applyNumberFormat="1" applyBorder="1"/>
    <xf numFmtId="164" fontId="0" fillId="0" borderId="0" xfId="0" applyNumberFormat="1" applyBorder="1"/>
    <xf numFmtId="0" fontId="0" fillId="2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1" fillId="2" borderId="10" xfId="0" applyFont="1" applyFill="1" applyBorder="1"/>
    <xf numFmtId="0" fontId="0" fillId="3" borderId="0" xfId="0" applyFill="1" applyBorder="1"/>
    <xf numFmtId="0" fontId="1" fillId="3" borderId="10" xfId="0" applyFont="1" applyFill="1" applyBorder="1"/>
    <xf numFmtId="0" fontId="1" fillId="4" borderId="10" xfId="0" applyFont="1" applyFill="1" applyBorder="1"/>
    <xf numFmtId="0" fontId="1" fillId="2" borderId="0" xfId="0" applyFont="1" applyFill="1" applyBorder="1"/>
    <xf numFmtId="0" fontId="0" fillId="2" borderId="9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9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3" borderId="9" xfId="0" applyNumberFormat="1" applyFill="1" applyBorder="1"/>
    <xf numFmtId="2" fontId="0" fillId="4" borderId="9" xfId="0" applyNumberFormat="1" applyFill="1" applyBorder="1"/>
    <xf numFmtId="2" fontId="0" fillId="5" borderId="0" xfId="0" applyNumberFormat="1" applyFill="1"/>
    <xf numFmtId="0" fontId="1" fillId="5" borderId="9" xfId="0" applyNumberFormat="1" applyFont="1" applyFill="1" applyBorder="1"/>
    <xf numFmtId="0" fontId="0" fillId="5" borderId="9" xfId="0" applyNumberFormat="1" applyFill="1" applyBorder="1" applyAlignment="1">
      <alignment horizontal="right"/>
    </xf>
    <xf numFmtId="2" fontId="0" fillId="4" borderId="10" xfId="0" applyNumberFormat="1" applyFill="1" applyBorder="1"/>
    <xf numFmtId="2" fontId="0" fillId="2" borderId="10" xfId="0" applyNumberFormat="1" applyFill="1" applyBorder="1"/>
    <xf numFmtId="2" fontId="0" fillId="0" borderId="0" xfId="0" applyNumberFormat="1"/>
    <xf numFmtId="0" fontId="0" fillId="3" borderId="10" xfId="0" applyFill="1" applyBorder="1"/>
    <xf numFmtId="2" fontId="0" fillId="3" borderId="10" xfId="0" applyNumberFormat="1" applyFill="1" applyBorder="1"/>
    <xf numFmtId="2" fontId="0" fillId="5" borderId="10" xfId="0" applyNumberFormat="1" applyFill="1" applyBorder="1"/>
    <xf numFmtId="49" fontId="0" fillId="4" borderId="0" xfId="0" applyNumberFormat="1" applyFill="1"/>
    <xf numFmtId="0" fontId="0" fillId="4" borderId="0" xfId="0" applyFill="1" applyAlignment="1"/>
    <xf numFmtId="0" fontId="0" fillId="0" borderId="0" xfId="0" applyFill="1" applyAlignment="1"/>
    <xf numFmtId="0" fontId="0" fillId="0" borderId="0" xfId="0" applyFill="1"/>
    <xf numFmtId="10" fontId="0" fillId="0" borderId="0" xfId="0" applyNumberFormat="1"/>
    <xf numFmtId="0" fontId="0" fillId="13" borderId="0" xfId="0" applyFill="1"/>
    <xf numFmtId="166" fontId="0" fillId="3" borderId="9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NumberFormat="1"/>
    <xf numFmtId="0" fontId="0" fillId="5" borderId="0" xfId="0" applyFill="1" applyAlignment="1">
      <alignment horizontal="center"/>
    </xf>
    <xf numFmtId="0" fontId="0" fillId="14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5" borderId="0" xfId="0" applyFill="1" applyBorder="1"/>
    <xf numFmtId="0" fontId="0" fillId="15" borderId="0" xfId="0" applyFill="1"/>
    <xf numFmtId="0" fontId="3" fillId="8" borderId="0" xfId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4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161925</xdr:rowOff>
    </xdr:from>
    <xdr:to>
      <xdr:col>10</xdr:col>
      <xdr:colOff>476250</xdr:colOff>
      <xdr:row>18</xdr:row>
      <xdr:rowOff>161925</xdr:rowOff>
    </xdr:to>
    <xdr:pic>
      <xdr:nvPicPr>
        <xdr:cNvPr id="6" name="Bilde 2">
          <a:extLst>
            <a:ext uri="{FF2B5EF4-FFF2-40B4-BE49-F238E27FC236}">
              <a16:creationId xmlns:a16="http://schemas.microsoft.com/office/drawing/2014/main" id="{18C92345-87FD-4800-BF2E-0EE5AA68D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352425"/>
          <a:ext cx="5762625" cy="323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19</xdr:row>
      <xdr:rowOff>85725</xdr:rowOff>
    </xdr:from>
    <xdr:to>
      <xdr:col>13</xdr:col>
      <xdr:colOff>657225</xdr:colOff>
      <xdr:row>30</xdr:row>
      <xdr:rowOff>180975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9896D9F4-402B-451F-9FDA-B6A4B8B84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3705225"/>
          <a:ext cx="5591175" cy="2190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8</xdr:row>
      <xdr:rowOff>9525</xdr:rowOff>
    </xdr:from>
    <xdr:to>
      <xdr:col>15</xdr:col>
      <xdr:colOff>533400</xdr:colOff>
      <xdr:row>8</xdr:row>
      <xdr:rowOff>180975</xdr:rowOff>
    </xdr:to>
    <xdr:sp macro="" textlink="">
      <xdr:nvSpPr>
        <xdr:cNvPr id="4" name="Pil: venstre og høyre 38">
          <a:extLst>
            <a:ext uri="{FF2B5EF4-FFF2-40B4-BE49-F238E27FC236}">
              <a16:creationId xmlns:a16="http://schemas.microsoft.com/office/drawing/2014/main" id="{9165FD41-F39A-4ADD-B0E5-56C424756528}"/>
            </a:ext>
          </a:extLst>
        </xdr:cNvPr>
        <xdr:cNvSpPr/>
      </xdr:nvSpPr>
      <xdr:spPr>
        <a:xfrm>
          <a:off x="10829925" y="1724025"/>
          <a:ext cx="419100" cy="17145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142875</xdr:colOff>
      <xdr:row>10</xdr:row>
      <xdr:rowOff>9525</xdr:rowOff>
    </xdr:from>
    <xdr:to>
      <xdr:col>15</xdr:col>
      <xdr:colOff>514350</xdr:colOff>
      <xdr:row>10</xdr:row>
      <xdr:rowOff>180975</xdr:rowOff>
    </xdr:to>
    <xdr:sp macro="" textlink="">
      <xdr:nvSpPr>
        <xdr:cNvPr id="5" name="Pil: høyre 46">
          <a:extLst>
            <a:ext uri="{FF2B5EF4-FFF2-40B4-BE49-F238E27FC236}">
              <a16:creationId xmlns:a16="http://schemas.microsoft.com/office/drawing/2014/main" id="{AD8C8A05-65FF-4850-A85F-65468EBFA2CB}"/>
            </a:ext>
            <a:ext uri="{147F2762-F138-4A5C-976F-8EAC2B608ADB}">
              <a16:predDERef xmlns:a16="http://schemas.microsoft.com/office/drawing/2014/main" pred="{9165FD41-F39A-4ADD-B0E5-56C424756528}"/>
            </a:ext>
          </a:extLst>
        </xdr:cNvPr>
        <xdr:cNvSpPr/>
      </xdr:nvSpPr>
      <xdr:spPr>
        <a:xfrm>
          <a:off x="10858500" y="2105025"/>
          <a:ext cx="3714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7</xdr:col>
      <xdr:colOff>781050</xdr:colOff>
      <xdr:row>34</xdr:row>
      <xdr:rowOff>47625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79521C72-A8A3-4692-976B-C0E8A7F4A843}"/>
            </a:ext>
            <a:ext uri="{147F2762-F138-4A5C-976F-8EAC2B608ADB}">
              <a16:predDERef xmlns:a16="http://schemas.microsoft.com/office/drawing/2014/main" pred="{F2EE4876-BF7A-4BD0-BCDB-D585AD04C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4572000"/>
          <a:ext cx="3381375" cy="2905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60</xdr:row>
      <xdr:rowOff>38100</xdr:rowOff>
    </xdr:from>
    <xdr:to>
      <xdr:col>16</xdr:col>
      <xdr:colOff>123825</xdr:colOff>
      <xdr:row>75</xdr:row>
      <xdr:rowOff>0</xdr:rowOff>
    </xdr:to>
    <xdr:pic>
      <xdr:nvPicPr>
        <xdr:cNvPr id="10" name="Bilde 1">
          <a:extLst>
            <a:ext uri="{FF2B5EF4-FFF2-40B4-BE49-F238E27FC236}">
              <a16:creationId xmlns:a16="http://schemas.microsoft.com/office/drawing/2014/main" id="{D97420FA-D06E-4399-AB13-AEBC7FEF4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11468100"/>
          <a:ext cx="6838950" cy="281940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</xdr:colOff>
      <xdr:row>60</xdr:row>
      <xdr:rowOff>9525</xdr:rowOff>
    </xdr:from>
    <xdr:to>
      <xdr:col>24</xdr:col>
      <xdr:colOff>38100</xdr:colOff>
      <xdr:row>76</xdr:row>
      <xdr:rowOff>47625</xdr:rowOff>
    </xdr:to>
    <xdr:pic>
      <xdr:nvPicPr>
        <xdr:cNvPr id="3" name="Bilde 1">
          <a:extLst>
            <a:ext uri="{FF2B5EF4-FFF2-40B4-BE49-F238E27FC236}">
              <a16:creationId xmlns:a16="http://schemas.microsoft.com/office/drawing/2014/main" id="{12943D71-5184-4D3E-B065-6676180EF861}"/>
            </a:ext>
            <a:ext uri="{147F2762-F138-4A5C-976F-8EAC2B608ADB}">
              <a16:predDERef xmlns:a16="http://schemas.microsoft.com/office/drawing/2014/main" pred="{D97420FA-D06E-4399-AB13-AEBC7FEF4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01425" y="11439525"/>
          <a:ext cx="4638675" cy="3086100"/>
        </a:xfrm>
        <a:prstGeom prst="rect">
          <a:avLst/>
        </a:prstGeom>
      </xdr:spPr>
    </xdr:pic>
    <xdr:clientData/>
  </xdr:twoCellAnchor>
  <xdr:twoCellAnchor editAs="oneCell">
    <xdr:from>
      <xdr:col>24</xdr:col>
      <xdr:colOff>123825</xdr:colOff>
      <xdr:row>59</xdr:row>
      <xdr:rowOff>171450</xdr:rowOff>
    </xdr:from>
    <xdr:to>
      <xdr:col>29</xdr:col>
      <xdr:colOff>161925</xdr:colOff>
      <xdr:row>81</xdr:row>
      <xdr:rowOff>9525</xdr:rowOff>
    </xdr:to>
    <xdr:pic>
      <xdr:nvPicPr>
        <xdr:cNvPr id="5" name="Bilde 2">
          <a:extLst>
            <a:ext uri="{FF2B5EF4-FFF2-40B4-BE49-F238E27FC236}">
              <a16:creationId xmlns:a16="http://schemas.microsoft.com/office/drawing/2014/main" id="{0E360DFB-DD18-48F5-91E7-BD85FC72AA6E}"/>
            </a:ext>
            <a:ext uri="{147F2762-F138-4A5C-976F-8EAC2B608ADB}">
              <a16:predDERef xmlns:a16="http://schemas.microsoft.com/office/drawing/2014/main" pred="{12943D71-5184-4D3E-B065-6676180EF8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25825" y="11410950"/>
          <a:ext cx="3429000" cy="4029075"/>
        </a:xfrm>
        <a:prstGeom prst="rect">
          <a:avLst/>
        </a:prstGeom>
      </xdr:spPr>
    </xdr:pic>
    <xdr:clientData/>
  </xdr:twoCellAnchor>
  <xdr:twoCellAnchor editAs="oneCell">
    <xdr:from>
      <xdr:col>29</xdr:col>
      <xdr:colOff>171450</xdr:colOff>
      <xdr:row>62</xdr:row>
      <xdr:rowOff>114300</xdr:rowOff>
    </xdr:from>
    <xdr:to>
      <xdr:col>36</xdr:col>
      <xdr:colOff>742950</xdr:colOff>
      <xdr:row>87</xdr:row>
      <xdr:rowOff>66675</xdr:rowOff>
    </xdr:to>
    <xdr:pic>
      <xdr:nvPicPr>
        <xdr:cNvPr id="11" name="Bilde 3">
          <a:extLst>
            <a:ext uri="{FF2B5EF4-FFF2-40B4-BE49-F238E27FC236}">
              <a16:creationId xmlns:a16="http://schemas.microsoft.com/office/drawing/2014/main" id="{5035DAF0-3782-4149-8998-3567B6F3C827}"/>
            </a:ext>
            <a:ext uri="{147F2762-F138-4A5C-976F-8EAC2B608ADB}">
              <a16:predDERef xmlns:a16="http://schemas.microsoft.com/office/drawing/2014/main" pred="{0E360DFB-DD18-48F5-91E7-BD85FC72A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564350" y="11925300"/>
          <a:ext cx="5076825" cy="4714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</xdr:row>
      <xdr:rowOff>19050</xdr:rowOff>
    </xdr:from>
    <xdr:to>
      <xdr:col>11</xdr:col>
      <xdr:colOff>0</xdr:colOff>
      <xdr:row>25</xdr:row>
      <xdr:rowOff>47625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4B3B7571-FC62-482E-B0A9-1D06924995A2}"/>
            </a:ext>
            <a:ext uri="{147F2762-F138-4A5C-976F-8EAC2B608ADB}">
              <a16:predDERef xmlns:a16="http://schemas.microsoft.com/office/drawing/2014/main" pred="{930B155E-505E-4115-AA4A-188BBFE06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781050"/>
          <a:ext cx="4257675" cy="4029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rbonengineering.com/frequently-asked-questions/" TargetMode="External"/><Relationship Id="rId2" Type="http://schemas.openxmlformats.org/officeDocument/2006/relationships/hyperlink" Target="https://carbonengineering.com/frequently-asked-questions/" TargetMode="External"/><Relationship Id="rId1" Type="http://schemas.openxmlformats.org/officeDocument/2006/relationships/hyperlink" Target="https://carbonengineering.com/frequently-asked-question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sb.no/elkraftpris" TargetMode="External"/><Relationship Id="rId1" Type="http://schemas.openxmlformats.org/officeDocument/2006/relationships/hyperlink" Target="https://www.energy.gov/eere/fuelcells/doe-technical-targets-hydrogen-production-electrolysi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leanenergypartnership.de/en/faq/hydrogen-production-and-storage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lobalpetrolprices.com/gasoline_prices/" TargetMode="External"/><Relationship Id="rId13" Type="http://schemas.openxmlformats.org/officeDocument/2006/relationships/drawing" Target="../drawings/drawing4.xml"/><Relationship Id="rId3" Type="http://schemas.openxmlformats.org/officeDocument/2006/relationships/hyperlink" Target="https://enerwe.no/hva-er-gassprisen/167511" TargetMode="External"/><Relationship Id="rId7" Type="http://schemas.openxmlformats.org/officeDocument/2006/relationships/hyperlink" Target="https://www.globalpetrolprices.com/Norway/diesel_prices/" TargetMode="External"/><Relationship Id="rId12" Type="http://schemas.openxmlformats.org/officeDocument/2006/relationships/hyperlink" Target="https://www.ammoniaenergy.org/articles/the-cost-of-hydrogen-platts-launches-hydrogen-price-assessment/" TargetMode="External"/><Relationship Id="rId2" Type="http://schemas.openxmlformats.org/officeDocument/2006/relationships/hyperlink" Target="https://doi.org/10.1016/j.fuel.2016.12.003" TargetMode="External"/><Relationship Id="rId1" Type="http://schemas.openxmlformats.org/officeDocument/2006/relationships/hyperlink" Target="https://www.xe.com/currencycharts/?from=EUR&amp;to=NOK&amp;view=10Y" TargetMode="External"/><Relationship Id="rId6" Type="http://schemas.openxmlformats.org/officeDocument/2006/relationships/hyperlink" Target="https://www.engineeringtoolbox.com/liquids-densities-d_743.html" TargetMode="External"/><Relationship Id="rId11" Type="http://schemas.openxmlformats.org/officeDocument/2006/relationships/hyperlink" Target="https://carbonengineering.com/frequently-asked-questions/" TargetMode="External"/><Relationship Id="rId5" Type="http://schemas.openxmlformats.org/officeDocument/2006/relationships/hyperlink" Target="https://www.iata.org/en/publications/economics/fuel-monitor/" TargetMode="External"/><Relationship Id="rId10" Type="http://schemas.openxmlformats.org/officeDocument/2006/relationships/hyperlink" Target="https://www.engineeringtoolbox.com/fuels-densities-specific-volumes-d_166.html" TargetMode="External"/><Relationship Id="rId4" Type="http://schemas.openxmlformats.org/officeDocument/2006/relationships/hyperlink" Target="https://barentsnaturgass.no/naturgass/" TargetMode="External"/><Relationship Id="rId9" Type="http://schemas.openxmlformats.org/officeDocument/2006/relationships/hyperlink" Target="https://www.engineeringtoolbox.com/fuels-densities-specific-volumes-d_166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b.no/a/histstat/rapp/rapp_199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C7DD1-C7D1-4355-A5B0-30A4254D8EE5}">
  <dimension ref="B2:R22"/>
  <sheetViews>
    <sheetView workbookViewId="0">
      <selection activeCell="E25" sqref="E25"/>
    </sheetView>
  </sheetViews>
  <sheetFormatPr defaultColWidth="11.42578125" defaultRowHeight="15"/>
  <cols>
    <col min="2" max="2" width="75.85546875" customWidth="1"/>
    <col min="3" max="3" width="8.42578125" customWidth="1"/>
  </cols>
  <sheetData>
    <row r="2" spans="2:18">
      <c r="B2" t="s">
        <v>0</v>
      </c>
    </row>
    <row r="3" spans="2:18">
      <c r="B3" t="s">
        <v>1</v>
      </c>
      <c r="E3" t="s">
        <v>2</v>
      </c>
    </row>
    <row r="4" spans="2:18">
      <c r="B4" t="s">
        <v>3</v>
      </c>
      <c r="M4" t="s">
        <v>4</v>
      </c>
      <c r="P4" s="5" t="s">
        <v>5</v>
      </c>
      <c r="R4" s="5"/>
    </row>
    <row r="5" spans="2:18">
      <c r="B5" s="5" t="s">
        <v>5</v>
      </c>
      <c r="C5" s="5"/>
      <c r="M5" t="s">
        <v>6</v>
      </c>
    </row>
    <row r="6" spans="2:18">
      <c r="E6" t="s">
        <v>2</v>
      </c>
      <c r="M6" t="s">
        <v>7</v>
      </c>
      <c r="N6">
        <f>30/238480</f>
        <v>1.2579671251257966E-4</v>
      </c>
      <c r="O6" t="s">
        <v>8</v>
      </c>
    </row>
    <row r="8" spans="2:18">
      <c r="B8" t="s">
        <v>9</v>
      </c>
    </row>
    <row r="9" spans="2:18">
      <c r="B9" t="s">
        <v>10</v>
      </c>
      <c r="M9" t="s">
        <v>11</v>
      </c>
    </row>
    <row r="10" spans="2:18">
      <c r="B10" t="s">
        <v>12</v>
      </c>
      <c r="L10" t="s">
        <v>13</v>
      </c>
      <c r="M10">
        <f>Ressursoversikt!B5*24</f>
        <v>699134.25192049751</v>
      </c>
    </row>
    <row r="11" spans="2:18">
      <c r="B11" s="5" t="s">
        <v>14</v>
      </c>
      <c r="L11" t="s">
        <v>15</v>
      </c>
      <c r="M11">
        <f>Tabelloversikt!AK7/Tabelloversikt!AK55*1000*1000*24</f>
        <v>545177.25752508361</v>
      </c>
    </row>
    <row r="12" spans="2:18">
      <c r="L12" t="s">
        <v>16</v>
      </c>
      <c r="M12" s="128">
        <f>Tabelloversikt!AK8/Tabelloversikt!AI51*1000*1000*24</f>
        <v>339103.23253388947</v>
      </c>
      <c r="O12" t="s">
        <v>17</v>
      </c>
    </row>
    <row r="13" spans="2:18">
      <c r="L13" t="s">
        <v>18</v>
      </c>
      <c r="M13">
        <f>SUM(M10:M12)</f>
        <v>1583414.7419794705</v>
      </c>
      <c r="O13">
        <f>M13*N6</f>
        <v>199.18836908497195</v>
      </c>
      <c r="P13" t="s">
        <v>19</v>
      </c>
    </row>
    <row r="14" spans="2:18">
      <c r="O14">
        <v>0.81</v>
      </c>
      <c r="P14" t="s">
        <v>20</v>
      </c>
    </row>
    <row r="21" spans="5:9">
      <c r="E21" t="s">
        <v>21</v>
      </c>
      <c r="H21" t="s">
        <v>22</v>
      </c>
    </row>
    <row r="22" spans="5:9">
      <c r="E22" t="s">
        <v>23</v>
      </c>
      <c r="H22">
        <f>37*52</f>
        <v>1924</v>
      </c>
      <c r="I22" t="s">
        <v>24</v>
      </c>
    </row>
  </sheetData>
  <hyperlinks>
    <hyperlink ref="B5" r:id="rId1" xr:uid="{F1AC6C01-52DD-4827-B206-24EC6587987B}"/>
    <hyperlink ref="B11" r:id="rId2" location="uses-of-ces-technology" xr:uid="{FCB492F2-1F3D-4154-9428-B5DC822DDF01}"/>
    <hyperlink ref="P4" r:id="rId3" xr:uid="{E6A42FCC-0D6A-48F5-97EE-8958FCEEC387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5A7B-C30F-41DB-AA61-0CEFF9597121}">
  <dimension ref="A1:T36"/>
  <sheetViews>
    <sheetView workbookViewId="0">
      <selection activeCell="Q22" sqref="Q22"/>
    </sheetView>
  </sheetViews>
  <sheetFormatPr defaultColWidth="11.42578125" defaultRowHeight="15"/>
  <cols>
    <col min="1" max="1" width="13.42578125" bestFit="1" customWidth="1"/>
    <col min="2" max="2" width="18.140625" bestFit="1" customWidth="1"/>
    <col min="3" max="3" width="22.140625" bestFit="1" customWidth="1"/>
    <col min="12" max="12" width="16.42578125" bestFit="1" customWidth="1"/>
    <col min="14" max="14" width="14" bestFit="1" customWidth="1"/>
    <col min="15" max="15" width="17.7109375" bestFit="1" customWidth="1"/>
    <col min="17" max="17" width="16.140625" bestFit="1" customWidth="1"/>
  </cols>
  <sheetData>
    <row r="1" spans="1:20">
      <c r="A1" s="4" t="s">
        <v>25</v>
      </c>
      <c r="B1" s="3"/>
      <c r="C1" s="3"/>
      <c r="D1" s="3"/>
      <c r="E1" s="3"/>
      <c r="F1" s="3"/>
      <c r="G1" s="3"/>
      <c r="H1" s="3"/>
      <c r="I1" s="3"/>
      <c r="J1" s="3"/>
      <c r="K1" s="3" t="s">
        <v>26</v>
      </c>
    </row>
    <row r="2" spans="1:20">
      <c r="A2" s="3" t="s">
        <v>27</v>
      </c>
      <c r="K2" s="3" t="s">
        <v>28</v>
      </c>
      <c r="T2" t="s">
        <v>29</v>
      </c>
    </row>
    <row r="3" spans="1:20">
      <c r="A3" s="3" t="s">
        <v>30</v>
      </c>
      <c r="L3" s="3" t="s">
        <v>31</v>
      </c>
      <c r="T3" s="5" t="s">
        <v>32</v>
      </c>
    </row>
    <row r="4" spans="1:20">
      <c r="B4" s="3" t="s">
        <v>33</v>
      </c>
      <c r="C4" s="3" t="s">
        <v>34</v>
      </c>
      <c r="K4" s="3" t="s">
        <v>35</v>
      </c>
      <c r="L4">
        <v>23.33</v>
      </c>
      <c r="O4" s="3" t="s">
        <v>36</v>
      </c>
      <c r="P4" s="3" t="s">
        <v>37</v>
      </c>
      <c r="Q4" s="3" t="s">
        <v>38</v>
      </c>
      <c r="R4" s="3" t="s">
        <v>39</v>
      </c>
    </row>
    <row r="5" spans="1:20">
      <c r="B5" t="s">
        <v>40</v>
      </c>
      <c r="C5">
        <v>9.1999999999999993</v>
      </c>
      <c r="N5" s="3" t="s">
        <v>41</v>
      </c>
      <c r="O5" s="6">
        <f>23330*55</f>
        <v>1283150</v>
      </c>
      <c r="P5" s="6">
        <v>1283</v>
      </c>
      <c r="Q5" s="10">
        <f>P5*318</f>
        <v>407994</v>
      </c>
      <c r="T5" t="s">
        <v>42</v>
      </c>
    </row>
    <row r="6" spans="1:20">
      <c r="B6" t="s">
        <v>43</v>
      </c>
      <c r="C6">
        <v>3.6</v>
      </c>
      <c r="T6" s="5" t="s">
        <v>44</v>
      </c>
    </row>
    <row r="7" spans="1:20">
      <c r="B7" t="s">
        <v>45</v>
      </c>
      <c r="C7">
        <v>3.4</v>
      </c>
    </row>
    <row r="8" spans="1:20">
      <c r="B8" t="s">
        <v>46</v>
      </c>
      <c r="C8">
        <v>0.8</v>
      </c>
    </row>
    <row r="9" spans="1:20">
      <c r="B9" t="s">
        <v>47</v>
      </c>
      <c r="C9">
        <v>0.4</v>
      </c>
      <c r="N9" s="3"/>
    </row>
    <row r="10" spans="1:20">
      <c r="B10" t="s">
        <v>48</v>
      </c>
      <c r="C10">
        <v>0.3</v>
      </c>
    </row>
    <row r="11" spans="1:20">
      <c r="B11" t="s">
        <v>49</v>
      </c>
      <c r="C11">
        <v>22</v>
      </c>
    </row>
    <row r="12" spans="1:20">
      <c r="B12" t="s">
        <v>50</v>
      </c>
      <c r="C12">
        <v>13.3</v>
      </c>
    </row>
    <row r="13" spans="1:20">
      <c r="B13" t="s">
        <v>51</v>
      </c>
      <c r="C13">
        <v>2.6</v>
      </c>
    </row>
    <row r="14" spans="1:20">
      <c r="B14" t="s">
        <v>52</v>
      </c>
      <c r="C14">
        <v>0.2</v>
      </c>
    </row>
    <row r="15" spans="1:20">
      <c r="A15" s="3" t="s">
        <v>53</v>
      </c>
      <c r="C15" s="3">
        <v>55.8</v>
      </c>
    </row>
    <row r="18" spans="1:3">
      <c r="A18" s="3" t="s">
        <v>54</v>
      </c>
    </row>
    <row r="19" spans="1:3">
      <c r="B19" s="3" t="s">
        <v>55</v>
      </c>
      <c r="C19" s="3" t="s">
        <v>56</v>
      </c>
    </row>
    <row r="20" spans="1:3">
      <c r="B20" t="s">
        <v>57</v>
      </c>
      <c r="C20">
        <v>9.8000000000000007</v>
      </c>
    </row>
    <row r="21" spans="1:3">
      <c r="B21" t="s">
        <v>58</v>
      </c>
      <c r="C21">
        <v>46</v>
      </c>
    </row>
    <row r="22" spans="1:3">
      <c r="A22" s="3" t="s">
        <v>59</v>
      </c>
      <c r="C22" s="3">
        <v>55.8</v>
      </c>
    </row>
    <row r="31" spans="1:3">
      <c r="A31" s="3"/>
    </row>
    <row r="33" spans="8:12">
      <c r="H33" t="s">
        <v>60</v>
      </c>
      <c r="I33" t="s">
        <v>61</v>
      </c>
      <c r="L33" t="s">
        <v>62</v>
      </c>
    </row>
    <row r="35" spans="8:12">
      <c r="H35" t="s">
        <v>63</v>
      </c>
      <c r="I35" t="s">
        <v>64</v>
      </c>
      <c r="J35" t="s">
        <v>65</v>
      </c>
      <c r="L35" t="s">
        <v>66</v>
      </c>
    </row>
    <row r="36" spans="8:12">
      <c r="H36" t="s">
        <v>67</v>
      </c>
      <c r="I36" t="s">
        <v>68</v>
      </c>
      <c r="J36" t="s">
        <v>69</v>
      </c>
      <c r="L36" t="s">
        <v>70</v>
      </c>
    </row>
  </sheetData>
  <hyperlinks>
    <hyperlink ref="T3" r:id="rId1" xr:uid="{E549C47E-742F-419F-889E-4E377444D0D3}"/>
    <hyperlink ref="T6" r:id="rId2" xr:uid="{30B017A6-B50B-4519-89B1-DAAE6A436B05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M53"/>
  <sheetViews>
    <sheetView tabSelected="1" topLeftCell="P1" workbookViewId="0">
      <selection activeCell="AJ12" sqref="AJ12:AM21"/>
    </sheetView>
  </sheetViews>
  <sheetFormatPr defaultColWidth="9.140625" defaultRowHeight="15"/>
  <cols>
    <col min="1" max="1" width="8.42578125" customWidth="1"/>
    <col min="5" max="5" width="11.28515625" bestFit="1" customWidth="1"/>
    <col min="6" max="6" width="15.28515625" bestFit="1" customWidth="1"/>
    <col min="7" max="7" width="12.42578125" customWidth="1"/>
    <col min="8" max="8" width="12" bestFit="1" customWidth="1"/>
    <col min="9" max="9" width="12.140625" customWidth="1"/>
    <col min="12" max="12" width="11" bestFit="1" customWidth="1"/>
    <col min="14" max="14" width="14.140625" bestFit="1" customWidth="1"/>
    <col min="24" max="24" width="12.42578125" bestFit="1" customWidth="1"/>
    <col min="25" max="25" width="16.5703125" bestFit="1" customWidth="1"/>
    <col min="26" max="26" width="18.28515625" bestFit="1" customWidth="1"/>
    <col min="27" max="27" width="13" bestFit="1" customWidth="1"/>
    <col min="36" max="36" width="10.42578125" bestFit="1" customWidth="1"/>
    <col min="37" max="38" width="15" bestFit="1" customWidth="1"/>
  </cols>
  <sheetData>
    <row r="2" spans="3:39">
      <c r="D2" s="3"/>
    </row>
    <row r="4" spans="3:39">
      <c r="K4" s="5"/>
    </row>
    <row r="5" spans="3:39">
      <c r="C5" s="6"/>
    </row>
    <row r="6" spans="3:39">
      <c r="F6" t="s">
        <v>71</v>
      </c>
    </row>
    <row r="7" spans="3:39" ht="30">
      <c r="E7" t="s">
        <v>72</v>
      </c>
      <c r="F7" t="s">
        <v>73</v>
      </c>
      <c r="G7" s="1" t="s">
        <v>74</v>
      </c>
      <c r="H7" s="1" t="s">
        <v>75</v>
      </c>
      <c r="I7" s="1" t="s">
        <v>76</v>
      </c>
      <c r="J7" t="s">
        <v>29</v>
      </c>
    </row>
    <row r="8" spans="3:39">
      <c r="E8" t="s">
        <v>77</v>
      </c>
      <c r="F8" t="s">
        <v>78</v>
      </c>
      <c r="G8" s="6">
        <v>251000</v>
      </c>
    </row>
    <row r="9" spans="3:39">
      <c r="F9" t="s">
        <v>79</v>
      </c>
      <c r="G9" s="6">
        <v>531</v>
      </c>
      <c r="J9" t="s">
        <v>80</v>
      </c>
      <c r="O9" t="s">
        <v>81</v>
      </c>
      <c r="Q9" t="s">
        <v>82</v>
      </c>
      <c r="S9" t="s">
        <v>83</v>
      </c>
      <c r="AC9" s="7"/>
    </row>
    <row r="10" spans="3:39">
      <c r="E10" t="s">
        <v>84</v>
      </c>
      <c r="F10" t="s">
        <v>85</v>
      </c>
      <c r="G10" s="6">
        <v>171</v>
      </c>
      <c r="AC10" s="7"/>
    </row>
    <row r="11" spans="3:39">
      <c r="F11" t="s">
        <v>78</v>
      </c>
      <c r="G11" s="6">
        <v>252000</v>
      </c>
      <c r="J11" t="s">
        <v>86</v>
      </c>
      <c r="O11" t="s">
        <v>87</v>
      </c>
      <c r="Q11" t="s">
        <v>88</v>
      </c>
      <c r="S11" t="s">
        <v>89</v>
      </c>
      <c r="X11" s="8"/>
    </row>
    <row r="12" spans="3:39">
      <c r="C12" t="s">
        <v>90</v>
      </c>
      <c r="E12" t="s">
        <v>91</v>
      </c>
      <c r="F12" t="s">
        <v>79</v>
      </c>
      <c r="G12">
        <v>209.97</v>
      </c>
      <c r="H12" s="6">
        <f>(23330*9)</f>
        <v>209970</v>
      </c>
      <c r="I12" s="6">
        <f>(H12/1000)</f>
        <v>209.97</v>
      </c>
      <c r="J12" s="5" t="s">
        <v>92</v>
      </c>
      <c r="X12" s="8"/>
      <c r="Z12" s="9"/>
    </row>
    <row r="13" spans="3:39">
      <c r="E13" t="s">
        <v>93</v>
      </c>
      <c r="F13" t="s">
        <v>94</v>
      </c>
      <c r="G13" s="6">
        <v>23.33</v>
      </c>
      <c r="J13" t="s">
        <v>95</v>
      </c>
      <c r="P13" t="s">
        <v>96</v>
      </c>
      <c r="T13" t="s">
        <v>97</v>
      </c>
      <c r="X13" s="8"/>
      <c r="Z13" s="9"/>
      <c r="AL13" s="1"/>
      <c r="AM13" s="1"/>
    </row>
    <row r="14" spans="3:39">
      <c r="E14" t="s">
        <v>98</v>
      </c>
      <c r="F14" t="s">
        <v>99</v>
      </c>
      <c r="G14" s="6">
        <v>54.41</v>
      </c>
      <c r="J14" t="s">
        <v>100</v>
      </c>
      <c r="P14" t="s">
        <v>101</v>
      </c>
      <c r="T14" t="s">
        <v>102</v>
      </c>
      <c r="X14" s="8"/>
      <c r="Z14" s="9"/>
    </row>
    <row r="15" spans="3:39" ht="30">
      <c r="E15" s="1" t="s">
        <v>103</v>
      </c>
      <c r="F15" t="s">
        <v>13</v>
      </c>
      <c r="G15" s="2">
        <v>23.89</v>
      </c>
      <c r="P15" t="s">
        <v>104</v>
      </c>
      <c r="T15" t="s">
        <v>105</v>
      </c>
      <c r="X15" s="8"/>
      <c r="Z15" s="9"/>
    </row>
    <row r="16" spans="3:39">
      <c r="G16" s="2"/>
      <c r="P16" t="s">
        <v>106</v>
      </c>
      <c r="T16" t="s">
        <v>107</v>
      </c>
      <c r="X16" s="8"/>
      <c r="Z16" s="9"/>
    </row>
    <row r="17" spans="3:38">
      <c r="G17" s="2"/>
      <c r="P17" t="s">
        <v>108</v>
      </c>
      <c r="T17" t="s">
        <v>109</v>
      </c>
      <c r="X17" s="8"/>
      <c r="Z17" s="9"/>
    </row>
    <row r="18" spans="3:38">
      <c r="X18" s="8"/>
      <c r="Z18" s="9"/>
    </row>
    <row r="19" spans="3:38">
      <c r="X19" s="8"/>
      <c r="Z19" s="9"/>
    </row>
    <row r="20" spans="3:38">
      <c r="D20" t="s">
        <v>2</v>
      </c>
      <c r="K20" t="s">
        <v>110</v>
      </c>
      <c r="M20" t="s">
        <v>31</v>
      </c>
      <c r="X20" s="8"/>
      <c r="Z20" s="9"/>
    </row>
    <row r="21" spans="3:38">
      <c r="J21" t="s">
        <v>13</v>
      </c>
      <c r="K21" s="121">
        <v>0.439</v>
      </c>
      <c r="M21" s="6">
        <f>K21*G14</f>
        <v>23.88599</v>
      </c>
      <c r="X21" s="8"/>
      <c r="Z21" s="9"/>
    </row>
    <row r="22" spans="3:38">
      <c r="J22" t="s">
        <v>15</v>
      </c>
      <c r="K22" s="121">
        <v>0.312</v>
      </c>
      <c r="M22" s="6">
        <f>K22*G14</f>
        <v>16.975919999999999</v>
      </c>
      <c r="X22" s="8"/>
      <c r="Z22" s="9"/>
    </row>
    <row r="23" spans="3:38">
      <c r="D23" t="s">
        <v>2</v>
      </c>
      <c r="J23" t="s">
        <v>16</v>
      </c>
      <c r="K23" s="121">
        <v>0.249</v>
      </c>
      <c r="M23" s="6">
        <f>K23*G14</f>
        <v>13.548089999999998</v>
      </c>
      <c r="X23" s="8"/>
      <c r="Z23" s="9"/>
    </row>
    <row r="24" spans="3:38">
      <c r="X24" s="8"/>
      <c r="Z24" s="9"/>
    </row>
    <row r="25" spans="3:38">
      <c r="C25" t="s">
        <v>2</v>
      </c>
      <c r="D25" t="s">
        <v>2</v>
      </c>
      <c r="X25" s="8"/>
      <c r="Z25" s="9"/>
    </row>
    <row r="26" spans="3:38">
      <c r="X26" s="8"/>
      <c r="Z26" s="9"/>
    </row>
    <row r="27" spans="3:38">
      <c r="X27" s="8"/>
      <c r="Z27" s="9"/>
    </row>
    <row r="28" spans="3:38">
      <c r="X28" s="8"/>
      <c r="Z28" s="9"/>
    </row>
    <row r="29" spans="3:38">
      <c r="X29" s="8"/>
      <c r="Z29" s="9"/>
      <c r="AL29" s="11"/>
    </row>
    <row r="30" spans="3:38">
      <c r="X30" s="8"/>
      <c r="Z30" s="9"/>
    </row>
    <row r="31" spans="3:38">
      <c r="X31" s="8"/>
      <c r="Z31" s="9"/>
    </row>
    <row r="32" spans="3:38">
      <c r="X32" s="8"/>
      <c r="Z32" s="9"/>
    </row>
    <row r="33" spans="6:26">
      <c r="X33" s="8"/>
      <c r="Z33" s="9"/>
    </row>
    <row r="34" spans="6:26">
      <c r="X34" s="8"/>
      <c r="Z34" s="9"/>
    </row>
    <row r="35" spans="6:26">
      <c r="X35" s="8"/>
      <c r="Z35" s="9"/>
    </row>
    <row r="36" spans="6:26">
      <c r="F36" t="s">
        <v>111</v>
      </c>
      <c r="X36" s="8"/>
      <c r="Z36" s="9"/>
    </row>
    <row r="37" spans="6:26">
      <c r="X37" s="8"/>
      <c r="Z37" s="9"/>
    </row>
    <row r="38" spans="6:26">
      <c r="X38" s="8"/>
      <c r="Z38" s="9"/>
    </row>
    <row r="39" spans="6:26">
      <c r="X39" s="8"/>
      <c r="Z39" s="9"/>
    </row>
    <row r="40" spans="6:26">
      <c r="X40" s="8"/>
      <c r="Z40" s="9"/>
    </row>
    <row r="41" spans="6:26">
      <c r="X41" s="8"/>
      <c r="Z41" s="9"/>
    </row>
    <row r="42" spans="6:26">
      <c r="X42" s="8"/>
      <c r="Z42" s="9"/>
    </row>
    <row r="43" spans="6:26">
      <c r="X43" s="8"/>
      <c r="Z43" s="9"/>
    </row>
    <row r="44" spans="6:26">
      <c r="X44" s="8"/>
      <c r="Z44" s="9"/>
    </row>
    <row r="45" spans="6:26">
      <c r="X45" s="8"/>
      <c r="Z45" s="9"/>
    </row>
    <row r="46" spans="6:26">
      <c r="X46" s="8"/>
      <c r="Z46" s="9"/>
    </row>
    <row r="47" spans="6:26">
      <c r="X47" s="8"/>
      <c r="Z47" s="9"/>
    </row>
    <row r="48" spans="6:26">
      <c r="X48" s="8"/>
      <c r="Z48" s="9"/>
    </row>
    <row r="49" spans="24:26">
      <c r="X49" s="8"/>
      <c r="Z49" s="9"/>
    </row>
    <row r="50" spans="24:26">
      <c r="X50" s="8"/>
      <c r="Z50" s="9"/>
    </row>
    <row r="51" spans="24:26">
      <c r="X51" s="8"/>
    </row>
    <row r="52" spans="24:26">
      <c r="X52" s="8"/>
    </row>
    <row r="53" spans="24:26">
      <c r="X53" s="8"/>
    </row>
  </sheetData>
  <hyperlinks>
    <hyperlink ref="J12" r:id="rId1" xr:uid="{405C1E5A-E0D7-42F6-8280-801562633BEB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E2E79-B612-417F-B45C-6A53165BFA28}">
  <dimension ref="A2:BX78"/>
  <sheetViews>
    <sheetView workbookViewId="0">
      <selection activeCell="AF44" sqref="AF44"/>
    </sheetView>
  </sheetViews>
  <sheetFormatPr defaultColWidth="9.140625" defaultRowHeight="15"/>
  <cols>
    <col min="2" max="3" width="11.7109375" customWidth="1"/>
    <col min="4" max="4" width="9.140625" customWidth="1"/>
    <col min="7" max="7" width="9.140625" customWidth="1"/>
    <col min="9" max="9" width="9.140625" customWidth="1"/>
    <col min="10" max="11" width="11.7109375" customWidth="1"/>
    <col min="12" max="12" width="9.140625" customWidth="1"/>
    <col min="15" max="16" width="11.7109375" customWidth="1"/>
    <col min="17" max="17" width="9.140625" customWidth="1"/>
    <col min="23" max="24" width="11.7109375" customWidth="1"/>
    <col min="28" max="29" width="11.7109375" customWidth="1"/>
    <col min="32" max="32" width="9.140625" customWidth="1"/>
    <col min="33" max="33" width="10.140625" bestFit="1" customWidth="1"/>
    <col min="34" max="34" width="9.140625" customWidth="1"/>
    <col min="36" max="37" width="11.7109375" customWidth="1"/>
    <col min="39" max="39" width="10.7109375" customWidth="1"/>
    <col min="40" max="40" width="9.140625" customWidth="1"/>
    <col min="41" max="42" width="11.7109375" customWidth="1"/>
    <col min="46" max="46" width="9.140625" customWidth="1"/>
    <col min="49" max="50" width="11.7109375" customWidth="1"/>
    <col min="53" max="53" width="4.5703125" bestFit="1" customWidth="1"/>
    <col min="55" max="55" width="9.5703125" bestFit="1" customWidth="1"/>
    <col min="63" max="63" width="9.5703125" bestFit="1" customWidth="1"/>
  </cols>
  <sheetData>
    <row r="2" spans="1:7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</row>
    <row r="3" spans="1:76">
      <c r="A3" s="12"/>
      <c r="B3" s="101" t="s">
        <v>112</v>
      </c>
      <c r="C3" s="101" t="s">
        <v>113</v>
      </c>
      <c r="D3" s="101" t="s">
        <v>114</v>
      </c>
      <c r="E3" s="12"/>
      <c r="F3" s="13"/>
      <c r="G3" s="98" t="s">
        <v>115</v>
      </c>
      <c r="H3" s="14"/>
      <c r="I3" s="12"/>
      <c r="J3" s="26" t="s">
        <v>116</v>
      </c>
      <c r="K3" s="26" t="s">
        <v>113</v>
      </c>
      <c r="L3" s="26" t="s">
        <v>114</v>
      </c>
      <c r="M3" s="12"/>
      <c r="N3" s="27"/>
      <c r="O3" s="28" t="s">
        <v>112</v>
      </c>
      <c r="P3" s="28" t="s">
        <v>113</v>
      </c>
      <c r="Q3" s="28" t="s">
        <v>114</v>
      </c>
      <c r="R3" s="27"/>
      <c r="S3" s="29"/>
      <c r="T3" s="102" t="s">
        <v>115</v>
      </c>
      <c r="U3" s="30"/>
      <c r="V3" s="27"/>
      <c r="W3" s="28" t="s">
        <v>116</v>
      </c>
      <c r="X3" s="28" t="s">
        <v>113</v>
      </c>
      <c r="Y3" s="28" t="s">
        <v>114</v>
      </c>
      <c r="Z3" s="27"/>
      <c r="AA3" s="40"/>
      <c r="AB3" s="41" t="s">
        <v>112</v>
      </c>
      <c r="AC3" s="41" t="s">
        <v>113</v>
      </c>
      <c r="AD3" s="41" t="s">
        <v>114</v>
      </c>
      <c r="AE3" s="40"/>
      <c r="AF3" s="42"/>
      <c r="AG3" s="103" t="s">
        <v>115</v>
      </c>
      <c r="AH3" s="43"/>
      <c r="AI3" s="40"/>
      <c r="AJ3" s="41" t="s">
        <v>116</v>
      </c>
      <c r="AK3" s="41" t="s">
        <v>113</v>
      </c>
      <c r="AL3" s="41" t="s">
        <v>114</v>
      </c>
      <c r="AM3" s="40"/>
      <c r="AN3" s="50"/>
      <c r="AO3" s="51" t="s">
        <v>112</v>
      </c>
      <c r="AP3" s="51" t="s">
        <v>113</v>
      </c>
      <c r="AQ3" s="51" t="s">
        <v>114</v>
      </c>
      <c r="AR3" s="50"/>
      <c r="AS3" s="52"/>
      <c r="AT3" s="104" t="s">
        <v>115</v>
      </c>
      <c r="AU3" s="54"/>
      <c r="AV3" s="50"/>
      <c r="AW3" s="51" t="s">
        <v>116</v>
      </c>
      <c r="AX3" s="51" t="s">
        <v>113</v>
      </c>
      <c r="AY3" s="51" t="s">
        <v>114</v>
      </c>
      <c r="AZ3" s="50"/>
      <c r="BA3" s="124"/>
      <c r="BB3" s="125"/>
      <c r="BC3" s="125"/>
      <c r="BD3" s="125"/>
      <c r="BE3" s="124"/>
      <c r="BF3" s="124"/>
      <c r="BG3" s="124"/>
      <c r="BH3" s="124"/>
      <c r="BI3" s="124"/>
      <c r="BJ3" s="125"/>
      <c r="BK3" s="125"/>
      <c r="BL3" s="125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</row>
    <row r="4" spans="1:76">
      <c r="A4" s="12"/>
      <c r="B4" s="18" t="s">
        <v>78</v>
      </c>
      <c r="C4" s="18">
        <v>298951.40999999997</v>
      </c>
      <c r="D4" s="18" t="s">
        <v>117</v>
      </c>
      <c r="E4" s="12"/>
      <c r="F4" s="15"/>
      <c r="G4" s="16"/>
      <c r="H4" s="17"/>
      <c r="I4" s="16"/>
      <c r="J4" s="18" t="s">
        <v>78</v>
      </c>
      <c r="K4" s="19">
        <f>C4-C5</f>
        <v>298819.87</v>
      </c>
      <c r="L4" s="18" t="s">
        <v>117</v>
      </c>
      <c r="M4" s="12"/>
      <c r="N4" s="27"/>
      <c r="O4" s="31" t="s">
        <v>118</v>
      </c>
      <c r="P4" s="31">
        <v>209.97</v>
      </c>
      <c r="Q4" s="31" t="s">
        <v>117</v>
      </c>
      <c r="R4" s="27"/>
      <c r="S4" s="32"/>
      <c r="T4" s="27"/>
      <c r="U4" s="33"/>
      <c r="V4" s="27"/>
      <c r="W4" s="31" t="s">
        <v>94</v>
      </c>
      <c r="X4" s="31">
        <v>23.33</v>
      </c>
      <c r="Y4" s="31" t="s">
        <v>117</v>
      </c>
      <c r="Z4" s="27"/>
      <c r="AA4" s="40"/>
      <c r="AB4" s="90" t="s">
        <v>85</v>
      </c>
      <c r="AC4" s="111">
        <v>171</v>
      </c>
      <c r="AD4" s="90" t="s">
        <v>117</v>
      </c>
      <c r="AE4" s="40"/>
      <c r="AF4" s="45"/>
      <c r="AG4" s="40"/>
      <c r="AH4" s="46"/>
      <c r="AI4" s="40"/>
      <c r="AJ4" s="44" t="s">
        <v>119</v>
      </c>
      <c r="AK4" s="107">
        <v>139</v>
      </c>
      <c r="AL4" s="44" t="s">
        <v>117</v>
      </c>
      <c r="AM4" s="40"/>
      <c r="AN4" s="50"/>
      <c r="AO4" s="72" t="s">
        <v>78</v>
      </c>
      <c r="AP4" s="72">
        <f>C4</f>
        <v>298951.40999999997</v>
      </c>
      <c r="AQ4" s="72" t="s">
        <v>117</v>
      </c>
      <c r="AR4" s="50"/>
      <c r="AS4" s="55"/>
      <c r="AT4" s="56"/>
      <c r="AU4" s="57"/>
      <c r="AV4" s="50"/>
      <c r="AW4" s="72" t="s">
        <v>120</v>
      </c>
      <c r="AX4" s="79">
        <f>K6</f>
        <v>3.4</v>
      </c>
      <c r="AY4" s="72" t="s">
        <v>117</v>
      </c>
      <c r="AZ4" s="50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6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</row>
    <row r="5" spans="1:76">
      <c r="A5" s="12"/>
      <c r="B5" s="18" t="s">
        <v>121</v>
      </c>
      <c r="C5" s="18">
        <v>131.54</v>
      </c>
      <c r="D5" s="18" t="s">
        <v>117</v>
      </c>
      <c r="E5" s="12"/>
      <c r="F5" s="15"/>
      <c r="G5" s="16"/>
      <c r="H5" s="17"/>
      <c r="I5" s="16"/>
      <c r="J5" s="18" t="s">
        <v>122</v>
      </c>
      <c r="K5" s="19">
        <v>171</v>
      </c>
      <c r="L5" s="18" t="s">
        <v>117</v>
      </c>
      <c r="M5" s="12"/>
      <c r="N5" s="27"/>
      <c r="O5" s="31"/>
      <c r="P5" s="106">
        <v>209970</v>
      </c>
      <c r="Q5" s="31" t="s">
        <v>123</v>
      </c>
      <c r="R5" s="27"/>
      <c r="S5" s="32"/>
      <c r="T5" s="27"/>
      <c r="U5" s="33"/>
      <c r="V5" s="27"/>
      <c r="W5" s="31" t="s">
        <v>124</v>
      </c>
      <c r="X5" s="106">
        <f>P4-X4</f>
        <v>186.64</v>
      </c>
      <c r="Y5" s="31" t="s">
        <v>117</v>
      </c>
      <c r="Z5" s="27"/>
      <c r="AA5" s="40"/>
      <c r="AB5" s="44" t="s">
        <v>94</v>
      </c>
      <c r="AC5" s="44">
        <v>23.33</v>
      </c>
      <c r="AD5" s="44" t="s">
        <v>117</v>
      </c>
      <c r="AE5" s="40"/>
      <c r="AF5" s="45"/>
      <c r="AG5" s="40"/>
      <c r="AH5" s="46"/>
      <c r="AI5" s="40"/>
      <c r="AJ5" s="44"/>
      <c r="AK5" s="107">
        <f>AK4*1000</f>
        <v>139000</v>
      </c>
      <c r="AL5" s="44" t="s">
        <v>123</v>
      </c>
      <c r="AM5" s="40"/>
      <c r="AN5" s="50"/>
      <c r="AO5" s="72" t="s">
        <v>121</v>
      </c>
      <c r="AP5" s="72">
        <f>C5</f>
        <v>131.54</v>
      </c>
      <c r="AQ5" s="72" t="s">
        <v>117</v>
      </c>
      <c r="AR5" s="50"/>
      <c r="AS5" s="55"/>
      <c r="AT5" s="56"/>
      <c r="AU5" s="57"/>
      <c r="AV5" s="50"/>
      <c r="AW5" s="72" t="s">
        <v>78</v>
      </c>
      <c r="AX5" s="79">
        <f>K4</f>
        <v>298819.87</v>
      </c>
      <c r="AY5" s="72" t="s">
        <v>117</v>
      </c>
      <c r="AZ5" s="50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6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</row>
    <row r="6" spans="1:76">
      <c r="A6" s="12"/>
      <c r="B6" s="18" t="s">
        <v>118</v>
      </c>
      <c r="C6" s="19">
        <v>531</v>
      </c>
      <c r="D6" s="18" t="s">
        <v>117</v>
      </c>
      <c r="E6" s="12" t="s">
        <v>125</v>
      </c>
      <c r="F6" s="15"/>
      <c r="G6" s="100" t="s">
        <v>126</v>
      </c>
      <c r="H6" s="17"/>
      <c r="I6" s="16" t="s">
        <v>125</v>
      </c>
      <c r="J6" s="18" t="s">
        <v>120</v>
      </c>
      <c r="K6" s="19">
        <v>3.4</v>
      </c>
      <c r="L6" s="18" t="s">
        <v>117</v>
      </c>
      <c r="M6" s="12"/>
      <c r="N6" s="27"/>
      <c r="O6" s="27"/>
      <c r="P6" s="27"/>
      <c r="Q6" s="27"/>
      <c r="R6" s="27" t="s">
        <v>125</v>
      </c>
      <c r="S6" s="32"/>
      <c r="T6" s="132" t="s">
        <v>41</v>
      </c>
      <c r="U6" s="33"/>
      <c r="V6" s="27" t="s">
        <v>125</v>
      </c>
      <c r="W6" s="27"/>
      <c r="X6" s="27"/>
      <c r="Y6" s="27"/>
      <c r="Z6" s="27"/>
      <c r="AA6" s="40"/>
      <c r="AB6" s="62"/>
      <c r="AC6" s="62"/>
      <c r="AD6" s="62"/>
      <c r="AE6" s="40" t="s">
        <v>125</v>
      </c>
      <c r="AF6" s="45"/>
      <c r="AG6" s="131" t="s">
        <v>127</v>
      </c>
      <c r="AH6" s="46"/>
      <c r="AI6" s="40" t="s">
        <v>125</v>
      </c>
      <c r="AJ6" s="44" t="s">
        <v>13</v>
      </c>
      <c r="AK6" s="44">
        <v>23.89</v>
      </c>
      <c r="AL6" s="44" t="s">
        <v>117</v>
      </c>
      <c r="AM6" s="40"/>
      <c r="AN6" s="50"/>
      <c r="AO6" s="72" t="s">
        <v>118</v>
      </c>
      <c r="AP6" s="72">
        <f>C6+P4</f>
        <v>740.97</v>
      </c>
      <c r="AQ6" s="72" t="s">
        <v>117</v>
      </c>
      <c r="AR6" s="50" t="s">
        <v>125</v>
      </c>
      <c r="AS6" s="55"/>
      <c r="AT6" s="105" t="s">
        <v>128</v>
      </c>
      <c r="AU6" s="57"/>
      <c r="AV6" s="50" t="s">
        <v>125</v>
      </c>
      <c r="AW6" s="72" t="s">
        <v>124</v>
      </c>
      <c r="AX6" s="79">
        <f>X5</f>
        <v>186.64</v>
      </c>
      <c r="AY6" s="72" t="s">
        <v>117</v>
      </c>
      <c r="AZ6" s="50"/>
      <c r="BA6" s="124"/>
      <c r="BB6" s="124"/>
      <c r="BC6" s="126"/>
      <c r="BD6" s="124"/>
      <c r="BE6" s="124"/>
      <c r="BF6" s="136"/>
      <c r="BG6" s="136"/>
      <c r="BH6" s="136"/>
      <c r="BI6" s="124"/>
      <c r="BJ6" s="124"/>
      <c r="BK6" s="126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</row>
    <row r="7" spans="1:76">
      <c r="A7" s="12"/>
      <c r="B7" s="18"/>
      <c r="C7" s="19">
        <v>531000</v>
      </c>
      <c r="D7" s="18" t="s">
        <v>123</v>
      </c>
      <c r="E7" s="12"/>
      <c r="F7" s="15"/>
      <c r="G7" s="16"/>
      <c r="H7" s="17"/>
      <c r="I7" s="16"/>
      <c r="J7" s="12"/>
      <c r="K7" s="12"/>
      <c r="L7" s="12"/>
      <c r="M7" s="12"/>
      <c r="N7" s="27"/>
      <c r="O7" s="27"/>
      <c r="P7" s="27"/>
      <c r="Q7" s="27"/>
      <c r="R7" s="27"/>
      <c r="S7" s="32"/>
      <c r="T7" s="27"/>
      <c r="U7" s="33"/>
      <c r="V7" s="27"/>
      <c r="W7" s="27"/>
      <c r="X7" s="27"/>
      <c r="Y7" s="27"/>
      <c r="Z7" s="27"/>
      <c r="AA7" s="40"/>
      <c r="AB7" s="40"/>
      <c r="AC7" s="40"/>
      <c r="AD7" s="40"/>
      <c r="AE7" s="40"/>
      <c r="AF7" s="45"/>
      <c r="AG7" s="40"/>
      <c r="AH7" s="46"/>
      <c r="AI7" s="40"/>
      <c r="AJ7" s="44" t="s">
        <v>15</v>
      </c>
      <c r="AK7" s="44">
        <v>16.98</v>
      </c>
      <c r="AL7" s="44" t="s">
        <v>117</v>
      </c>
      <c r="AM7" s="40"/>
      <c r="AN7" s="50"/>
      <c r="AO7" s="72"/>
      <c r="AP7" s="79">
        <f>C7+P5</f>
        <v>740970</v>
      </c>
      <c r="AQ7" s="72" t="s">
        <v>123</v>
      </c>
      <c r="AR7" s="50"/>
      <c r="AS7" s="55"/>
      <c r="AT7" s="56"/>
      <c r="AU7" s="57"/>
      <c r="AV7" s="50"/>
      <c r="AW7" s="72" t="s">
        <v>119</v>
      </c>
      <c r="AX7" s="79">
        <f>AK4</f>
        <v>139</v>
      </c>
      <c r="AY7" s="72" t="s">
        <v>117</v>
      </c>
      <c r="AZ7" s="50"/>
      <c r="BA7" s="124"/>
      <c r="BB7" s="124"/>
      <c r="BC7" s="126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</row>
    <row r="8" spans="1:76">
      <c r="A8" s="12"/>
      <c r="B8" s="18" t="s">
        <v>129</v>
      </c>
      <c r="C8" s="19">
        <f>5.25*C5</f>
        <v>690.58499999999992</v>
      </c>
      <c r="D8" s="18" t="s">
        <v>130</v>
      </c>
      <c r="E8" s="12"/>
      <c r="F8" s="15"/>
      <c r="G8" s="16"/>
      <c r="H8" s="17"/>
      <c r="I8" s="16"/>
      <c r="J8" s="16"/>
      <c r="K8" s="20"/>
      <c r="L8" s="16"/>
      <c r="M8" s="12"/>
      <c r="N8" s="27"/>
      <c r="O8" s="27"/>
      <c r="P8" s="27"/>
      <c r="Q8" s="27"/>
      <c r="R8" s="27"/>
      <c r="S8" s="32"/>
      <c r="T8" s="27"/>
      <c r="U8" s="33"/>
      <c r="V8" s="27"/>
      <c r="W8" s="27"/>
      <c r="X8" s="27"/>
      <c r="Y8" s="27"/>
      <c r="Z8" s="27"/>
      <c r="AA8" s="40"/>
      <c r="AB8" s="40"/>
      <c r="AC8" s="40"/>
      <c r="AD8" s="40"/>
      <c r="AE8" s="40"/>
      <c r="AF8" s="45"/>
      <c r="AG8" s="40"/>
      <c r="AH8" s="46"/>
      <c r="AI8" s="40"/>
      <c r="AJ8" s="44" t="s">
        <v>16</v>
      </c>
      <c r="AK8" s="44">
        <v>13.55</v>
      </c>
      <c r="AL8" s="44" t="s">
        <v>117</v>
      </c>
      <c r="AM8" s="40"/>
      <c r="AN8" s="50"/>
      <c r="AO8" s="72" t="s">
        <v>129</v>
      </c>
      <c r="AP8" s="79">
        <f>C8</f>
        <v>690.58499999999992</v>
      </c>
      <c r="AQ8" s="72" t="s">
        <v>130</v>
      </c>
      <c r="AR8" s="50"/>
      <c r="AS8" s="55"/>
      <c r="AT8" s="56"/>
      <c r="AU8" s="57"/>
      <c r="AV8" s="50"/>
      <c r="AW8" s="72" t="s">
        <v>13</v>
      </c>
      <c r="AX8" s="72">
        <f>AK6</f>
        <v>23.89</v>
      </c>
      <c r="AY8" s="72" t="s">
        <v>117</v>
      </c>
      <c r="AZ8" s="50"/>
      <c r="BA8" s="124"/>
      <c r="BB8" s="124"/>
      <c r="BC8" s="126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</row>
    <row r="9" spans="1:76">
      <c r="A9" s="12"/>
      <c r="B9" s="18"/>
      <c r="C9" s="19">
        <f>277.78*C8</f>
        <v>191830.70129999996</v>
      </c>
      <c r="D9" s="18" t="s">
        <v>131</v>
      </c>
      <c r="E9" s="12"/>
      <c r="F9" s="21"/>
      <c r="G9" s="22"/>
      <c r="H9" s="23"/>
      <c r="I9" s="16"/>
      <c r="J9" s="16"/>
      <c r="K9" s="20"/>
      <c r="L9" s="16"/>
      <c r="M9" s="12"/>
      <c r="N9" s="27"/>
      <c r="O9" s="27"/>
      <c r="P9" s="27"/>
      <c r="Q9" s="27"/>
      <c r="R9" s="27"/>
      <c r="S9" s="34"/>
      <c r="T9" s="35"/>
      <c r="U9" s="36"/>
      <c r="V9" s="27"/>
      <c r="W9" s="27"/>
      <c r="X9" s="27"/>
      <c r="Y9" s="27"/>
      <c r="Z9" s="27"/>
      <c r="AA9" s="40"/>
      <c r="AB9" s="40"/>
      <c r="AC9" s="40"/>
      <c r="AD9" s="40"/>
      <c r="AE9" s="40"/>
      <c r="AF9" s="47"/>
      <c r="AG9" s="48"/>
      <c r="AH9" s="49"/>
      <c r="AI9" s="40"/>
      <c r="AJ9" s="40"/>
      <c r="AK9" s="40"/>
      <c r="AL9" s="40"/>
      <c r="AM9" s="40"/>
      <c r="AN9" s="50"/>
      <c r="AO9" s="72"/>
      <c r="AP9" s="79">
        <f>C9</f>
        <v>191830.70129999996</v>
      </c>
      <c r="AQ9" s="72" t="s">
        <v>131</v>
      </c>
      <c r="AR9" s="50"/>
      <c r="AS9" s="58"/>
      <c r="AT9" s="59"/>
      <c r="AU9" s="60"/>
      <c r="AV9" s="50"/>
      <c r="AW9" s="72" t="s">
        <v>15</v>
      </c>
      <c r="AX9" s="72">
        <f>AK7</f>
        <v>16.98</v>
      </c>
      <c r="AY9" s="72" t="s">
        <v>117</v>
      </c>
      <c r="AZ9" s="50"/>
      <c r="BA9" s="124"/>
      <c r="BB9" s="124"/>
      <c r="BC9" s="126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</row>
    <row r="10" spans="1:76">
      <c r="A10" s="12"/>
      <c r="B10" s="18"/>
      <c r="C10" s="18">
        <v>13.28</v>
      </c>
      <c r="D10" s="18" t="s">
        <v>117</v>
      </c>
      <c r="E10" s="12"/>
      <c r="F10" s="24"/>
      <c r="G10" s="16"/>
      <c r="H10" s="16"/>
      <c r="I10" s="16"/>
      <c r="J10" s="16"/>
      <c r="K10" s="16"/>
      <c r="L10" s="12"/>
      <c r="M10" s="12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50"/>
      <c r="AO10" s="91"/>
      <c r="AP10" s="91">
        <f>C10</f>
        <v>13.28</v>
      </c>
      <c r="AQ10" s="91" t="s">
        <v>117</v>
      </c>
      <c r="AR10" s="50"/>
      <c r="AS10" s="50"/>
      <c r="AT10" s="50"/>
      <c r="AU10" s="50"/>
      <c r="AV10" s="50"/>
      <c r="AW10" s="72" t="s">
        <v>16</v>
      </c>
      <c r="AX10" s="72">
        <f>AK8</f>
        <v>13.55</v>
      </c>
      <c r="AY10" s="72" t="s">
        <v>117</v>
      </c>
      <c r="AZ10" s="50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</row>
    <row r="11" spans="1:76">
      <c r="A11" s="12"/>
      <c r="B11" s="18" t="s">
        <v>120</v>
      </c>
      <c r="C11" s="19">
        <v>3.4</v>
      </c>
      <c r="D11" s="18" t="s">
        <v>117</v>
      </c>
      <c r="E11" s="12"/>
      <c r="F11" s="16"/>
      <c r="G11" s="16"/>
      <c r="H11" s="16"/>
      <c r="I11" s="16"/>
      <c r="J11" s="12"/>
      <c r="K11" s="12"/>
      <c r="L11" s="12"/>
      <c r="M11" s="12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50"/>
      <c r="AO11" s="72" t="s">
        <v>120</v>
      </c>
      <c r="AP11" s="79">
        <f>C11</f>
        <v>3.4</v>
      </c>
      <c r="AQ11" s="72" t="s">
        <v>117</v>
      </c>
      <c r="AR11" s="50"/>
      <c r="AS11" s="50"/>
      <c r="AT11" s="50"/>
      <c r="AU11" s="50"/>
      <c r="AV11" s="50"/>
      <c r="AW11" s="53"/>
      <c r="AX11" s="53"/>
      <c r="AY11" s="53"/>
      <c r="AZ11" s="50"/>
      <c r="BA11" s="124"/>
      <c r="BB11" s="124"/>
      <c r="BC11" s="126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</row>
    <row r="12" spans="1:76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50"/>
      <c r="AO12" s="56"/>
      <c r="AP12" s="56"/>
      <c r="AQ12" s="56"/>
      <c r="AR12" s="50"/>
      <c r="AS12" s="50"/>
      <c r="AT12" s="50"/>
      <c r="AU12" s="50"/>
      <c r="AV12" s="50"/>
      <c r="AW12" s="50"/>
      <c r="AX12" s="50"/>
      <c r="AY12" s="50"/>
      <c r="AZ12" s="50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</row>
    <row r="13" spans="1:76">
      <c r="A13" s="12"/>
      <c r="B13" s="92" t="s">
        <v>112</v>
      </c>
      <c r="C13" s="92" t="s">
        <v>113</v>
      </c>
      <c r="D13" s="92" t="s">
        <v>114</v>
      </c>
      <c r="E13" s="12"/>
      <c r="F13" s="13"/>
      <c r="G13" s="98" t="s">
        <v>132</v>
      </c>
      <c r="H13" s="14"/>
      <c r="I13" s="12"/>
      <c r="J13" s="96"/>
      <c r="K13" s="96"/>
      <c r="L13" s="96"/>
      <c r="M13" s="12"/>
      <c r="N13" s="27"/>
      <c r="O13" s="94" t="s">
        <v>112</v>
      </c>
      <c r="P13" s="94" t="s">
        <v>113</v>
      </c>
      <c r="Q13" s="94" t="s">
        <v>114</v>
      </c>
      <c r="R13" s="27"/>
      <c r="S13" s="29"/>
      <c r="T13" s="102" t="s">
        <v>132</v>
      </c>
      <c r="U13" s="30"/>
      <c r="V13" s="37"/>
      <c r="W13" s="61"/>
      <c r="X13" s="61"/>
      <c r="Y13" s="61"/>
      <c r="Z13" s="27"/>
      <c r="AA13" s="40"/>
      <c r="AB13" s="95" t="s">
        <v>112</v>
      </c>
      <c r="AC13" s="95" t="s">
        <v>113</v>
      </c>
      <c r="AD13" s="95" t="s">
        <v>114</v>
      </c>
      <c r="AE13" s="40"/>
      <c r="AF13" s="42"/>
      <c r="AG13" s="103" t="s">
        <v>132</v>
      </c>
      <c r="AH13" s="43"/>
      <c r="AI13" s="40"/>
      <c r="AJ13" s="41" t="s">
        <v>116</v>
      </c>
      <c r="AK13" s="41" t="s">
        <v>113</v>
      </c>
      <c r="AL13" s="41" t="s">
        <v>114</v>
      </c>
      <c r="AM13" s="40"/>
      <c r="AN13" s="50"/>
      <c r="AO13" s="78" t="s">
        <v>112</v>
      </c>
      <c r="AP13" s="78" t="s">
        <v>113</v>
      </c>
      <c r="AQ13" s="78" t="s">
        <v>114</v>
      </c>
      <c r="AR13" s="50"/>
      <c r="AS13" s="52"/>
      <c r="AT13" s="104" t="s">
        <v>132</v>
      </c>
      <c r="AU13" s="54"/>
      <c r="AV13" s="50"/>
      <c r="AW13" s="78" t="s">
        <v>116</v>
      </c>
      <c r="AX13" s="78" t="s">
        <v>113</v>
      </c>
      <c r="AY13" s="78" t="s">
        <v>114</v>
      </c>
      <c r="AZ13" s="50"/>
      <c r="BA13" s="124"/>
      <c r="BB13" s="125"/>
      <c r="BC13" s="125"/>
      <c r="BD13" s="125"/>
      <c r="BE13" s="124"/>
      <c r="BF13" s="124"/>
      <c r="BG13" s="124"/>
      <c r="BH13" s="124"/>
      <c r="BI13" s="124"/>
      <c r="BJ13" s="125"/>
      <c r="BK13" s="125"/>
      <c r="BL13" s="125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</row>
    <row r="14" spans="1:76">
      <c r="A14" s="12"/>
      <c r="B14" s="89" t="s">
        <v>133</v>
      </c>
      <c r="C14" s="112">
        <f>(366*C5)/1000</f>
        <v>48.143639999999998</v>
      </c>
      <c r="D14" s="89" t="s">
        <v>134</v>
      </c>
      <c r="E14" s="12"/>
      <c r="F14" s="15"/>
      <c r="G14" s="16"/>
      <c r="H14" s="17"/>
      <c r="I14" s="12"/>
      <c r="J14" s="16"/>
      <c r="K14" s="16"/>
      <c r="L14" s="16"/>
      <c r="M14" s="12"/>
      <c r="N14" s="27"/>
      <c r="O14" s="114" t="s">
        <v>133</v>
      </c>
      <c r="P14" s="115">
        <v>1283</v>
      </c>
      <c r="Q14" s="114" t="s">
        <v>134</v>
      </c>
      <c r="R14" s="27"/>
      <c r="S14" s="32"/>
      <c r="T14" s="27"/>
      <c r="U14" s="33"/>
      <c r="V14" s="27"/>
      <c r="W14" s="93"/>
      <c r="X14" s="93"/>
      <c r="Y14" s="93"/>
      <c r="Z14" s="27"/>
      <c r="AA14" s="40"/>
      <c r="AB14" s="90" t="s">
        <v>133</v>
      </c>
      <c r="AC14" s="90">
        <v>736.96</v>
      </c>
      <c r="AD14" s="90" t="s">
        <v>134</v>
      </c>
      <c r="AE14" s="40"/>
      <c r="AF14" s="45"/>
      <c r="AG14" s="40"/>
      <c r="AH14" s="46"/>
      <c r="AI14" s="40"/>
      <c r="AJ14" s="44" t="s">
        <v>135</v>
      </c>
      <c r="AK14" s="44">
        <v>259.07</v>
      </c>
      <c r="AL14" s="44" t="s">
        <v>134</v>
      </c>
      <c r="AM14" s="40"/>
      <c r="AN14" s="50"/>
      <c r="AO14" s="91" t="s">
        <v>133</v>
      </c>
      <c r="AP14" s="116">
        <f>C14+P14+AC14</f>
        <v>2068.1036400000003</v>
      </c>
      <c r="AQ14" s="91" t="s">
        <v>134</v>
      </c>
      <c r="AR14" s="50"/>
      <c r="AS14" s="55"/>
      <c r="AT14" s="50"/>
      <c r="AU14" s="57"/>
      <c r="AV14" s="50"/>
      <c r="AW14" s="72" t="s">
        <v>135</v>
      </c>
      <c r="AX14" s="72">
        <f>AK14</f>
        <v>259.07</v>
      </c>
      <c r="AY14" s="72" t="s">
        <v>134</v>
      </c>
      <c r="AZ14" s="50"/>
      <c r="BA14" s="124"/>
      <c r="BB14" s="124"/>
      <c r="BC14" s="126"/>
      <c r="BD14" s="124"/>
      <c r="BE14" s="124"/>
      <c r="BF14" s="124"/>
      <c r="BG14" s="124"/>
      <c r="BH14" s="124"/>
      <c r="BI14" s="124"/>
      <c r="BJ14" s="124"/>
      <c r="BK14" s="126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</row>
    <row r="15" spans="1:76">
      <c r="A15" s="12"/>
      <c r="B15" s="18"/>
      <c r="C15" s="18">
        <v>173.304</v>
      </c>
      <c r="D15" s="18" t="s">
        <v>130</v>
      </c>
      <c r="E15" s="12"/>
      <c r="F15" s="15"/>
      <c r="G15" s="16"/>
      <c r="H15" s="17"/>
      <c r="I15" s="12"/>
      <c r="J15" s="16"/>
      <c r="K15" s="16"/>
      <c r="L15" s="16"/>
      <c r="M15" s="12"/>
      <c r="N15" s="27"/>
      <c r="O15" s="31"/>
      <c r="P15" s="31">
        <v>4618.8</v>
      </c>
      <c r="Q15" s="31" t="s">
        <v>130</v>
      </c>
      <c r="R15" s="27"/>
      <c r="S15" s="32"/>
      <c r="T15" s="27"/>
      <c r="U15" s="33"/>
      <c r="V15" s="27"/>
      <c r="W15" s="27"/>
      <c r="X15" s="27"/>
      <c r="Y15" s="27"/>
      <c r="Z15" s="27"/>
      <c r="AA15" s="40"/>
      <c r="AB15" s="44"/>
      <c r="AC15" s="44">
        <v>2653.056</v>
      </c>
      <c r="AD15" s="44" t="s">
        <v>130</v>
      </c>
      <c r="AE15" s="40"/>
      <c r="AF15" s="45"/>
      <c r="AG15" s="40"/>
      <c r="AH15" s="46"/>
      <c r="AI15" s="40"/>
      <c r="AJ15" s="40"/>
      <c r="AK15" s="40"/>
      <c r="AL15" s="40"/>
      <c r="AM15" s="40"/>
      <c r="AN15" s="50"/>
      <c r="AO15" s="72"/>
      <c r="AP15" s="72">
        <f>AC15+P15+C15</f>
        <v>7445.16</v>
      </c>
      <c r="AQ15" s="72" t="s">
        <v>130</v>
      </c>
      <c r="AR15" s="50"/>
      <c r="AS15" s="55"/>
      <c r="AT15" s="50"/>
      <c r="AU15" s="57"/>
      <c r="AV15" s="50"/>
      <c r="AW15" s="50"/>
      <c r="AX15" s="50"/>
      <c r="AY15" s="50"/>
      <c r="AZ15" s="50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</row>
    <row r="16" spans="1:76">
      <c r="A16" s="12"/>
      <c r="B16" s="12"/>
      <c r="C16" s="12"/>
      <c r="D16" s="12"/>
      <c r="E16" s="12" t="s">
        <v>125</v>
      </c>
      <c r="F16" s="15"/>
      <c r="G16" s="99" t="s">
        <v>126</v>
      </c>
      <c r="H16" s="17"/>
      <c r="I16" s="12"/>
      <c r="J16" s="12"/>
      <c r="K16" s="12"/>
      <c r="L16" s="12"/>
      <c r="M16" s="12"/>
      <c r="N16" s="27"/>
      <c r="O16" s="27"/>
      <c r="P16" s="27"/>
      <c r="Q16" s="27"/>
      <c r="R16" s="27" t="s">
        <v>125</v>
      </c>
      <c r="S16" s="32"/>
      <c r="T16" s="132" t="s">
        <v>41</v>
      </c>
      <c r="U16" s="33"/>
      <c r="V16" s="27"/>
      <c r="W16" s="27"/>
      <c r="X16" s="27"/>
      <c r="Y16" s="27"/>
      <c r="Z16" s="27"/>
      <c r="AA16" s="40"/>
      <c r="AB16" s="40"/>
      <c r="AC16" s="40"/>
      <c r="AD16" s="40"/>
      <c r="AE16" s="40" t="s">
        <v>125</v>
      </c>
      <c r="AF16" s="45"/>
      <c r="AG16" s="131" t="s">
        <v>127</v>
      </c>
      <c r="AH16" s="46"/>
      <c r="AI16" s="40" t="s">
        <v>125</v>
      </c>
      <c r="AJ16" s="40"/>
      <c r="AK16" s="40"/>
      <c r="AL16" s="40"/>
      <c r="AM16" s="40"/>
      <c r="AN16" s="50"/>
      <c r="AO16" s="50"/>
      <c r="AP16" s="50"/>
      <c r="AQ16" s="50"/>
      <c r="AR16" s="50" t="s">
        <v>125</v>
      </c>
      <c r="AS16" s="55"/>
      <c r="AT16" s="129" t="s">
        <v>128</v>
      </c>
      <c r="AU16" s="57"/>
      <c r="AV16" s="50" t="s">
        <v>125</v>
      </c>
      <c r="AW16" s="50"/>
      <c r="AX16" s="50"/>
      <c r="AY16" s="50"/>
      <c r="AZ16" s="50"/>
      <c r="BA16" s="124"/>
      <c r="BB16" s="124"/>
      <c r="BC16" s="124"/>
      <c r="BD16" s="124"/>
      <c r="BE16" s="124"/>
      <c r="BF16" s="136"/>
      <c r="BG16" s="136"/>
      <c r="BH16" s="136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</row>
    <row r="17" spans="1:76">
      <c r="A17" s="12"/>
      <c r="B17" s="12"/>
      <c r="C17" s="12"/>
      <c r="D17" s="12"/>
      <c r="E17" s="12"/>
      <c r="F17" s="15"/>
      <c r="G17" s="16"/>
      <c r="H17" s="17"/>
      <c r="I17" s="12"/>
      <c r="J17" s="12"/>
      <c r="K17" s="12"/>
      <c r="L17" s="12"/>
      <c r="M17" s="12"/>
      <c r="N17" s="27"/>
      <c r="O17" s="27"/>
      <c r="P17" s="27"/>
      <c r="Q17" s="27"/>
      <c r="R17" s="27"/>
      <c r="S17" s="32"/>
      <c r="T17" s="27"/>
      <c r="U17" s="33"/>
      <c r="V17" s="27"/>
      <c r="W17" s="27"/>
      <c r="X17" s="27"/>
      <c r="Y17" s="27"/>
      <c r="Z17" s="27"/>
      <c r="AA17" s="40"/>
      <c r="AB17" s="40"/>
      <c r="AC17" s="40"/>
      <c r="AD17" s="40"/>
      <c r="AE17" s="40"/>
      <c r="AF17" s="45"/>
      <c r="AG17" s="40"/>
      <c r="AH17" s="46"/>
      <c r="AI17" s="40"/>
      <c r="AJ17" s="40"/>
      <c r="AK17" s="40"/>
      <c r="AL17" s="40"/>
      <c r="AM17" s="40"/>
      <c r="AN17" s="50"/>
      <c r="AO17" s="50"/>
      <c r="AP17" s="50"/>
      <c r="AQ17" s="50"/>
      <c r="AR17" s="50"/>
      <c r="AS17" s="55"/>
      <c r="AT17" s="50"/>
      <c r="AU17" s="57"/>
      <c r="AV17" s="50"/>
      <c r="AW17" s="50"/>
      <c r="AX17" s="50"/>
      <c r="AY17" s="50"/>
      <c r="AZ17" s="50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</row>
    <row r="18" spans="1:76">
      <c r="A18" s="12"/>
      <c r="B18" s="12"/>
      <c r="C18" s="12"/>
      <c r="D18" s="12"/>
      <c r="E18" s="12"/>
      <c r="F18" s="15"/>
      <c r="G18" s="16"/>
      <c r="H18" s="17"/>
      <c r="I18" s="12"/>
      <c r="J18" s="12"/>
      <c r="K18" s="12"/>
      <c r="L18" s="12"/>
      <c r="M18" s="12"/>
      <c r="N18" s="27"/>
      <c r="O18" s="27"/>
      <c r="P18" s="27"/>
      <c r="Q18" s="27"/>
      <c r="R18" s="27"/>
      <c r="S18" s="32"/>
      <c r="T18" s="27"/>
      <c r="U18" s="33"/>
      <c r="V18" s="27"/>
      <c r="W18" s="27"/>
      <c r="X18" s="27"/>
      <c r="Y18" s="27"/>
      <c r="Z18" s="27"/>
      <c r="AA18" s="40"/>
      <c r="AB18" s="40"/>
      <c r="AC18" s="40"/>
      <c r="AD18" s="40"/>
      <c r="AE18" s="40"/>
      <c r="AF18" s="45"/>
      <c r="AG18" s="40"/>
      <c r="AH18" s="46"/>
      <c r="AI18" s="40"/>
      <c r="AJ18" s="40"/>
      <c r="AK18" s="40"/>
      <c r="AL18" s="40"/>
      <c r="AM18" s="40"/>
      <c r="AN18" s="50"/>
      <c r="AO18" s="50"/>
      <c r="AP18" s="50"/>
      <c r="AQ18" s="50"/>
      <c r="AR18" s="50"/>
      <c r="AS18" s="55"/>
      <c r="AT18" s="50"/>
      <c r="AU18" s="57"/>
      <c r="AV18" s="50"/>
      <c r="AW18" s="50"/>
      <c r="AX18" s="50"/>
      <c r="AY18" s="50"/>
      <c r="AZ18" s="50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</row>
    <row r="19" spans="1:76">
      <c r="A19" s="12"/>
      <c r="B19" s="12"/>
      <c r="C19" s="12"/>
      <c r="D19" s="12"/>
      <c r="E19" s="12" t="s">
        <v>2</v>
      </c>
      <c r="F19" s="21"/>
      <c r="G19" s="22"/>
      <c r="H19" s="23"/>
      <c r="I19" s="12"/>
      <c r="J19" s="12"/>
      <c r="K19" s="12"/>
      <c r="L19" s="12"/>
      <c r="M19" s="12"/>
      <c r="N19" s="27"/>
      <c r="O19" s="27"/>
      <c r="P19" s="27"/>
      <c r="Q19" s="27"/>
      <c r="R19" s="27"/>
      <c r="S19" s="34"/>
      <c r="T19" s="35"/>
      <c r="U19" s="36"/>
      <c r="V19" s="27"/>
      <c r="W19" s="27"/>
      <c r="X19" s="27"/>
      <c r="Y19" s="27"/>
      <c r="Z19" s="27"/>
      <c r="AA19" s="40"/>
      <c r="AB19" s="40"/>
      <c r="AC19" s="40"/>
      <c r="AD19" s="40"/>
      <c r="AE19" s="40"/>
      <c r="AF19" s="47"/>
      <c r="AG19" s="48"/>
      <c r="AH19" s="49"/>
      <c r="AI19" s="40"/>
      <c r="AJ19" s="40"/>
      <c r="AK19" s="40"/>
      <c r="AL19" s="40"/>
      <c r="AM19" s="40"/>
      <c r="AN19" s="50"/>
      <c r="AO19" s="50"/>
      <c r="AP19" s="50"/>
      <c r="AQ19" s="50"/>
      <c r="AR19" s="50"/>
      <c r="AS19" s="58"/>
      <c r="AT19" s="59"/>
      <c r="AU19" s="60"/>
      <c r="AV19" s="50"/>
      <c r="AW19" s="50"/>
      <c r="AX19" s="50"/>
      <c r="AY19" s="50"/>
      <c r="AZ19" s="50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</row>
    <row r="20" spans="1:76">
      <c r="A20" s="12"/>
      <c r="B20" s="12"/>
      <c r="C20" s="12"/>
      <c r="D20" s="12"/>
      <c r="E20" s="12"/>
      <c r="F20" s="25"/>
      <c r="G20" s="12"/>
      <c r="H20" s="12"/>
      <c r="I20" s="12"/>
      <c r="J20" s="12"/>
      <c r="K20" s="12"/>
      <c r="L20" s="12"/>
      <c r="M20" s="1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</row>
    <row r="21" spans="1:7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</row>
    <row r="22" spans="1:7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</row>
    <row r="23" spans="1:76">
      <c r="A23" s="12"/>
      <c r="B23" s="26" t="s">
        <v>112</v>
      </c>
      <c r="C23" s="26" t="s">
        <v>113</v>
      </c>
      <c r="D23" s="26" t="s">
        <v>114</v>
      </c>
      <c r="E23" s="12"/>
      <c r="F23" s="13"/>
      <c r="G23" s="98" t="s">
        <v>136</v>
      </c>
      <c r="H23" s="14"/>
      <c r="I23" s="12"/>
      <c r="J23" s="26" t="s">
        <v>116</v>
      </c>
      <c r="K23" s="26" t="s">
        <v>113</v>
      </c>
      <c r="L23" s="26" t="s">
        <v>114</v>
      </c>
      <c r="M23" s="12"/>
      <c r="N23" s="27"/>
      <c r="O23" s="28" t="s">
        <v>112</v>
      </c>
      <c r="P23" s="28" t="s">
        <v>113</v>
      </c>
      <c r="Q23" s="28" t="s">
        <v>114</v>
      </c>
      <c r="R23" s="27"/>
      <c r="S23" s="29"/>
      <c r="T23" s="102" t="s">
        <v>136</v>
      </c>
      <c r="U23" s="30"/>
      <c r="V23" s="27"/>
      <c r="W23" s="28" t="s">
        <v>116</v>
      </c>
      <c r="X23" s="28" t="s">
        <v>113</v>
      </c>
      <c r="Y23" s="28" t="s">
        <v>114</v>
      </c>
      <c r="Z23" s="27"/>
      <c r="AA23" s="40"/>
      <c r="AB23" s="41" t="s">
        <v>112</v>
      </c>
      <c r="AC23" s="41" t="s">
        <v>113</v>
      </c>
      <c r="AD23" s="41" t="s">
        <v>114</v>
      </c>
      <c r="AE23" s="40"/>
      <c r="AF23" s="42"/>
      <c r="AG23" s="103" t="s">
        <v>136</v>
      </c>
      <c r="AH23" s="43"/>
      <c r="AI23" s="40"/>
      <c r="AJ23" s="41" t="s">
        <v>116</v>
      </c>
      <c r="AK23" s="41" t="s">
        <v>113</v>
      </c>
      <c r="AL23" s="41" t="s">
        <v>114</v>
      </c>
      <c r="AM23" s="40"/>
      <c r="AN23" s="50"/>
      <c r="AO23" s="78" t="s">
        <v>112</v>
      </c>
      <c r="AP23" s="78" t="s">
        <v>113</v>
      </c>
      <c r="AQ23" s="78" t="s">
        <v>114</v>
      </c>
      <c r="AR23" s="50"/>
      <c r="AS23" s="52"/>
      <c r="AT23" s="104" t="s">
        <v>136</v>
      </c>
      <c r="AU23" s="54"/>
      <c r="AV23" s="50"/>
      <c r="AW23" s="51" t="s">
        <v>116</v>
      </c>
      <c r="AX23" s="51" t="s">
        <v>113</v>
      </c>
      <c r="AY23" s="51" t="s">
        <v>114</v>
      </c>
      <c r="AZ23" s="50"/>
      <c r="BA23" s="124"/>
      <c r="BB23" s="125"/>
      <c r="BC23" s="125"/>
      <c r="BD23" s="125"/>
      <c r="BE23" s="124"/>
      <c r="BF23" s="124"/>
      <c r="BG23" s="124"/>
      <c r="BH23" s="124"/>
      <c r="BI23" s="124"/>
      <c r="BJ23" s="125"/>
      <c r="BK23" s="125"/>
      <c r="BL23" s="125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</row>
    <row r="24" spans="1:76">
      <c r="A24" s="12"/>
      <c r="B24" s="18" t="s">
        <v>78</v>
      </c>
      <c r="C24" s="18">
        <v>0</v>
      </c>
      <c r="D24" s="18" t="s">
        <v>137</v>
      </c>
      <c r="E24" s="12"/>
      <c r="F24" s="15"/>
      <c r="G24" s="16"/>
      <c r="H24" s="17"/>
      <c r="I24" s="12"/>
      <c r="J24" s="18" t="s">
        <v>122</v>
      </c>
      <c r="K24" s="18">
        <f>D51</f>
        <v>60033.825000000004</v>
      </c>
      <c r="L24" s="18" t="s">
        <v>137</v>
      </c>
      <c r="M24" s="12"/>
      <c r="N24" s="27"/>
      <c r="O24" s="31" t="s">
        <v>133</v>
      </c>
      <c r="P24" s="106">
        <f>P14*318</f>
        <v>407994</v>
      </c>
      <c r="Q24" s="31" t="s">
        <v>137</v>
      </c>
      <c r="R24" s="27"/>
      <c r="S24" s="32"/>
      <c r="T24" s="27"/>
      <c r="U24" s="33"/>
      <c r="V24" s="27"/>
      <c r="W24" s="31" t="s">
        <v>94</v>
      </c>
      <c r="X24" s="106">
        <f>X4*O51</f>
        <v>183734.24849999999</v>
      </c>
      <c r="Y24" s="31" t="s">
        <v>137</v>
      </c>
      <c r="Z24" s="27"/>
      <c r="AA24" s="40"/>
      <c r="AB24" s="44" t="s">
        <v>133</v>
      </c>
      <c r="AC24" s="107">
        <f>AC14*318</f>
        <v>234353.28</v>
      </c>
      <c r="AD24" s="44" t="s">
        <v>137</v>
      </c>
      <c r="AE24" s="40"/>
      <c r="AF24" s="45"/>
      <c r="AG24" s="40"/>
      <c r="AH24" s="46"/>
      <c r="AI24" s="40"/>
      <c r="AJ24" s="44" t="s">
        <v>13</v>
      </c>
      <c r="AK24" s="107">
        <f>AT47</f>
        <v>102239.88986221195</v>
      </c>
      <c r="AL24" s="44" t="s">
        <v>137</v>
      </c>
      <c r="AM24" s="40"/>
      <c r="AN24" s="50"/>
      <c r="AO24" s="72" t="s">
        <v>133</v>
      </c>
      <c r="AP24" s="79">
        <f>AP14*318</f>
        <v>657656.95752000005</v>
      </c>
      <c r="AQ24" s="72" t="s">
        <v>137</v>
      </c>
      <c r="AR24" s="50"/>
      <c r="AS24" s="55"/>
      <c r="AT24" s="50"/>
      <c r="AU24" s="57"/>
      <c r="AV24" s="50"/>
      <c r="AW24" s="72" t="s">
        <v>13</v>
      </c>
      <c r="AX24" s="79">
        <f>AK24</f>
        <v>102239.88986221195</v>
      </c>
      <c r="AY24" s="72" t="s">
        <v>137</v>
      </c>
      <c r="AZ24" s="50"/>
      <c r="BA24" s="124"/>
      <c r="BB24" s="124"/>
      <c r="BC24" s="126"/>
      <c r="BD24" s="124"/>
      <c r="BE24" s="124"/>
      <c r="BF24" s="124"/>
      <c r="BG24" s="124"/>
      <c r="BH24" s="124"/>
      <c r="BI24" s="124"/>
      <c r="BJ24" s="124"/>
      <c r="BK24" s="126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</row>
    <row r="25" spans="1:76">
      <c r="A25" s="12"/>
      <c r="B25" s="18" t="s">
        <v>121</v>
      </c>
      <c r="C25" s="18">
        <v>0</v>
      </c>
      <c r="D25" s="18" t="s">
        <v>137</v>
      </c>
      <c r="E25" s="12"/>
      <c r="F25" s="15"/>
      <c r="G25" s="16"/>
      <c r="H25" s="17"/>
      <c r="I25" s="12"/>
      <c r="J25" s="12"/>
      <c r="K25" s="12"/>
      <c r="L25" s="12"/>
      <c r="M25" s="12"/>
      <c r="N25" s="27"/>
      <c r="O25" s="31" t="s">
        <v>118</v>
      </c>
      <c r="P25" s="106">
        <f>H58</f>
        <v>3905.4420000000005</v>
      </c>
      <c r="Q25" s="31" t="s">
        <v>137</v>
      </c>
      <c r="R25" s="27"/>
      <c r="S25" s="32"/>
      <c r="T25" s="27"/>
      <c r="U25" s="33"/>
      <c r="V25" s="27"/>
      <c r="W25" s="31" t="s">
        <v>124</v>
      </c>
      <c r="X25" s="106">
        <f>E51</f>
        <v>41137.322399999997</v>
      </c>
      <c r="Y25" s="31" t="s">
        <v>137</v>
      </c>
      <c r="Z25" s="27"/>
      <c r="AA25" s="40"/>
      <c r="AB25" s="44" t="s">
        <v>85</v>
      </c>
      <c r="AC25" s="107">
        <f>K24</f>
        <v>60033.825000000004</v>
      </c>
      <c r="AD25" s="44" t="s">
        <v>137</v>
      </c>
      <c r="AE25" s="40"/>
      <c r="AF25" s="45"/>
      <c r="AG25" s="40"/>
      <c r="AH25" s="46"/>
      <c r="AI25" s="40"/>
      <c r="AJ25" s="44" t="s">
        <v>16</v>
      </c>
      <c r="AK25" s="107">
        <v>208831.07</v>
      </c>
      <c r="AL25" s="44" t="s">
        <v>137</v>
      </c>
      <c r="AM25" s="40"/>
      <c r="AN25" s="50"/>
      <c r="AO25" s="72" t="s">
        <v>118</v>
      </c>
      <c r="AP25" s="79">
        <f>C26+P25</f>
        <v>13782.042000000001</v>
      </c>
      <c r="AQ25" s="91" t="s">
        <v>137</v>
      </c>
      <c r="AR25" s="50"/>
      <c r="AS25" s="55"/>
      <c r="AT25" s="50"/>
      <c r="AU25" s="57"/>
      <c r="AV25" s="50"/>
      <c r="AW25" s="72" t="s">
        <v>16</v>
      </c>
      <c r="AX25" s="79">
        <f>AK25</f>
        <v>208831.07</v>
      </c>
      <c r="AY25" s="72" t="s">
        <v>137</v>
      </c>
      <c r="AZ25" s="50"/>
      <c r="BA25" s="124"/>
      <c r="BB25" s="124"/>
      <c r="BC25" s="126"/>
      <c r="BD25" s="124"/>
      <c r="BE25" s="124"/>
      <c r="BF25" s="124"/>
      <c r="BG25" s="124"/>
      <c r="BH25" s="124"/>
      <c r="BI25" s="124"/>
      <c r="BJ25" s="124"/>
      <c r="BK25" s="126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</row>
    <row r="26" spans="1:76">
      <c r="A26" s="12"/>
      <c r="B26" s="18" t="s">
        <v>118</v>
      </c>
      <c r="C26" s="19">
        <f>G58</f>
        <v>9876.6</v>
      </c>
      <c r="D26" s="18" t="s">
        <v>137</v>
      </c>
      <c r="E26" s="12" t="s">
        <v>125</v>
      </c>
      <c r="F26" s="15"/>
      <c r="G26" s="99" t="s">
        <v>126</v>
      </c>
      <c r="H26" s="17"/>
      <c r="I26" s="12" t="s">
        <v>125</v>
      </c>
      <c r="J26" s="12"/>
      <c r="K26" s="12"/>
      <c r="L26" s="12"/>
      <c r="M26" s="12"/>
      <c r="N26" s="27"/>
      <c r="O26" s="27"/>
      <c r="P26" s="27"/>
      <c r="Q26" s="27"/>
      <c r="R26" s="27" t="s">
        <v>125</v>
      </c>
      <c r="S26" s="32"/>
      <c r="T26" s="132" t="s">
        <v>41</v>
      </c>
      <c r="U26" s="33"/>
      <c r="V26" s="27" t="s">
        <v>125</v>
      </c>
      <c r="W26" s="27"/>
      <c r="X26" s="27"/>
      <c r="Y26" s="27"/>
      <c r="Z26" s="27"/>
      <c r="AA26" s="40"/>
      <c r="AB26" s="44" t="s">
        <v>94</v>
      </c>
      <c r="AC26" s="107">
        <f>X24</f>
        <v>183734.24849999999</v>
      </c>
      <c r="AD26" s="44" t="s">
        <v>137</v>
      </c>
      <c r="AE26" s="40" t="s">
        <v>125</v>
      </c>
      <c r="AF26" s="45"/>
      <c r="AG26" s="131" t="s">
        <v>127</v>
      </c>
      <c r="AH26" s="46"/>
      <c r="AI26" s="40" t="s">
        <v>125</v>
      </c>
      <c r="AJ26" s="44" t="s">
        <v>15</v>
      </c>
      <c r="AK26" s="107">
        <v>330247.94</v>
      </c>
      <c r="AL26" s="44" t="s">
        <v>137</v>
      </c>
      <c r="AM26" s="40"/>
      <c r="AN26" s="50"/>
      <c r="AO26" s="72" t="s">
        <v>129</v>
      </c>
      <c r="AP26" s="72">
        <f>C27</f>
        <v>35842.79</v>
      </c>
      <c r="AQ26" s="91" t="s">
        <v>137</v>
      </c>
      <c r="AR26" s="50" t="s">
        <v>125</v>
      </c>
      <c r="AS26" s="55"/>
      <c r="AT26" s="129" t="s">
        <v>128</v>
      </c>
      <c r="AU26" s="57"/>
      <c r="AV26" s="50" t="s">
        <v>125</v>
      </c>
      <c r="AW26" s="72" t="s">
        <v>15</v>
      </c>
      <c r="AX26" s="79">
        <f>AK26</f>
        <v>330247.94</v>
      </c>
      <c r="AY26" s="72" t="s">
        <v>137</v>
      </c>
      <c r="AZ26" s="50"/>
      <c r="BA26" s="124"/>
      <c r="BB26" s="124"/>
      <c r="BC26" s="124"/>
      <c r="BD26" s="124"/>
      <c r="BE26" s="124"/>
      <c r="BF26" s="136"/>
      <c r="BG26" s="136"/>
      <c r="BH26" s="136"/>
      <c r="BI26" s="124"/>
      <c r="BJ26" s="124"/>
      <c r="BK26" s="126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</row>
    <row r="27" spans="1:76">
      <c r="A27" s="12"/>
      <c r="B27" s="18" t="s">
        <v>129</v>
      </c>
      <c r="C27" s="18">
        <v>35842.79</v>
      </c>
      <c r="D27" s="18" t="s">
        <v>137</v>
      </c>
      <c r="E27" s="12"/>
      <c r="F27" s="15"/>
      <c r="G27" s="16"/>
      <c r="H27" s="17"/>
      <c r="I27" s="12"/>
      <c r="J27" s="12"/>
      <c r="K27" s="12"/>
      <c r="L27" s="12"/>
      <c r="M27" s="12"/>
      <c r="N27" s="27"/>
      <c r="O27" s="27"/>
      <c r="P27" s="27"/>
      <c r="Q27" s="27"/>
      <c r="R27" s="27"/>
      <c r="S27" s="32"/>
      <c r="T27" s="27"/>
      <c r="U27" s="33"/>
      <c r="V27" s="27"/>
      <c r="W27" s="27"/>
      <c r="X27" s="27"/>
      <c r="Y27" s="27"/>
      <c r="Z27" s="27"/>
      <c r="AA27" s="40"/>
      <c r="AB27" s="62"/>
      <c r="AC27" s="62"/>
      <c r="AD27" s="62"/>
      <c r="AE27" s="40"/>
      <c r="AF27" s="45"/>
      <c r="AG27" s="40"/>
      <c r="AH27" s="46"/>
      <c r="AI27" s="40"/>
      <c r="AJ27" s="40"/>
      <c r="AK27" s="40"/>
      <c r="AL27" s="40"/>
      <c r="AM27" s="40"/>
      <c r="AN27" s="50"/>
      <c r="AO27" s="72" t="s">
        <v>120</v>
      </c>
      <c r="AP27" s="79">
        <f>C29</f>
        <v>6800</v>
      </c>
      <c r="AQ27" s="72" t="s">
        <v>137</v>
      </c>
      <c r="AR27" s="50"/>
      <c r="AS27" s="55"/>
      <c r="AT27" s="50"/>
      <c r="AU27" s="57"/>
      <c r="AV27" s="50"/>
      <c r="AW27" s="72" t="s">
        <v>124</v>
      </c>
      <c r="AX27" s="79">
        <f>X25</f>
        <v>41137.322399999997</v>
      </c>
      <c r="AY27" s="72" t="s">
        <v>137</v>
      </c>
      <c r="AZ27" s="50"/>
      <c r="BA27" s="124"/>
      <c r="BB27" s="124"/>
      <c r="BC27" s="126"/>
      <c r="BD27" s="124"/>
      <c r="BE27" s="124"/>
      <c r="BF27" s="124"/>
      <c r="BG27" s="124"/>
      <c r="BH27" s="124"/>
      <c r="BI27" s="124"/>
      <c r="BJ27" s="124"/>
      <c r="BK27" s="126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</row>
    <row r="28" spans="1:76">
      <c r="A28" s="12"/>
      <c r="B28" s="89" t="s">
        <v>133</v>
      </c>
      <c r="C28" s="112">
        <f>C14*318</f>
        <v>15309.677519999999</v>
      </c>
      <c r="D28" s="89" t="s">
        <v>137</v>
      </c>
      <c r="E28" s="12"/>
      <c r="F28" s="15"/>
      <c r="G28" s="16"/>
      <c r="H28" s="17"/>
      <c r="I28" s="12"/>
      <c r="J28" s="12"/>
      <c r="K28" s="12"/>
      <c r="L28" s="12"/>
      <c r="M28" s="12"/>
      <c r="N28" s="27"/>
      <c r="O28" s="27"/>
      <c r="P28" s="27"/>
      <c r="Q28" s="27"/>
      <c r="R28" s="27"/>
      <c r="S28" s="32"/>
      <c r="T28" s="27"/>
      <c r="U28" s="33"/>
      <c r="V28" s="27"/>
      <c r="W28" s="27"/>
      <c r="X28" s="27"/>
      <c r="Y28" s="27"/>
      <c r="Z28" s="27"/>
      <c r="AA28" s="40"/>
      <c r="AB28" s="62"/>
      <c r="AC28" s="62"/>
      <c r="AD28" s="62"/>
      <c r="AE28" s="40"/>
      <c r="AF28" s="45"/>
      <c r="AG28" s="40"/>
      <c r="AH28" s="46"/>
      <c r="AI28" s="40"/>
      <c r="AJ28" s="40"/>
      <c r="AK28" s="40"/>
      <c r="AL28" s="40"/>
      <c r="AM28" s="40"/>
      <c r="AN28" s="50"/>
      <c r="AO28" s="50"/>
      <c r="AP28" s="50"/>
      <c r="AQ28" s="50"/>
      <c r="AR28" s="50"/>
      <c r="AS28" s="55"/>
      <c r="AT28" s="50"/>
      <c r="AU28" s="57"/>
      <c r="AV28" s="50"/>
      <c r="AW28" s="50"/>
      <c r="AX28" s="50"/>
      <c r="AY28" s="50"/>
      <c r="AZ28" s="50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</row>
    <row r="29" spans="1:76">
      <c r="A29" s="12"/>
      <c r="B29" s="18" t="s">
        <v>120</v>
      </c>
      <c r="C29" s="19">
        <v>6800</v>
      </c>
      <c r="D29" s="18" t="s">
        <v>137</v>
      </c>
      <c r="E29" s="12"/>
      <c r="F29" s="21"/>
      <c r="G29" s="22"/>
      <c r="H29" s="23"/>
      <c r="I29" s="12"/>
      <c r="J29" s="12"/>
      <c r="K29" s="12"/>
      <c r="L29" s="12"/>
      <c r="M29" s="12"/>
      <c r="N29" s="27"/>
      <c r="O29" s="27"/>
      <c r="P29" s="38"/>
      <c r="Q29" s="27"/>
      <c r="R29" s="27"/>
      <c r="S29" s="34"/>
      <c r="T29" s="35"/>
      <c r="U29" s="36"/>
      <c r="V29" s="27"/>
      <c r="W29" s="27"/>
      <c r="X29" s="27"/>
      <c r="Y29" s="27"/>
      <c r="Z29" s="27"/>
      <c r="AA29" s="40"/>
      <c r="AB29" s="40"/>
      <c r="AC29" s="40"/>
      <c r="AD29" s="40"/>
      <c r="AE29" s="40"/>
      <c r="AF29" s="47"/>
      <c r="AG29" s="48"/>
      <c r="AH29" s="49"/>
      <c r="AI29" s="40"/>
      <c r="AJ29" s="40"/>
      <c r="AK29" s="40"/>
      <c r="AL29" s="40"/>
      <c r="AM29" s="40"/>
      <c r="AN29" s="50"/>
      <c r="AO29" s="50"/>
      <c r="AP29" s="108"/>
      <c r="AQ29" s="50"/>
      <c r="AR29" s="50"/>
      <c r="AS29" s="58"/>
      <c r="AT29" s="59"/>
      <c r="AU29" s="60"/>
      <c r="AV29" s="50"/>
      <c r="AW29" s="50"/>
      <c r="AX29" s="50"/>
      <c r="AY29" s="50"/>
      <c r="AZ29" s="50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</row>
    <row r="30" spans="1:7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7"/>
      <c r="O30" s="27"/>
      <c r="P30" s="27"/>
      <c r="Q30" s="27"/>
      <c r="R30" s="27"/>
      <c r="S30" s="39"/>
      <c r="T30" s="27"/>
      <c r="U30" s="27"/>
      <c r="V30" s="27"/>
      <c r="W30" s="27"/>
      <c r="X30" s="27"/>
      <c r="Y30" s="27"/>
      <c r="Z30" s="27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</row>
    <row r="31" spans="1:76">
      <c r="A31" s="12"/>
      <c r="B31" s="12"/>
      <c r="C31" s="12"/>
      <c r="D31" s="12"/>
      <c r="E31" s="12"/>
      <c r="F31" s="12"/>
      <c r="G31" s="12"/>
      <c r="H31" s="12"/>
      <c r="I31" s="12"/>
      <c r="J31" s="16"/>
      <c r="K31" s="16"/>
      <c r="L31" s="16"/>
      <c r="M31" s="1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</row>
    <row r="32" spans="1:76">
      <c r="A32" s="12"/>
      <c r="B32" s="12"/>
      <c r="C32" s="12"/>
      <c r="D32" s="12"/>
      <c r="E32" s="12"/>
      <c r="F32" s="12"/>
      <c r="G32" s="12"/>
      <c r="H32" s="12"/>
      <c r="I32" s="12"/>
      <c r="J32" s="16"/>
      <c r="K32" s="16"/>
      <c r="L32" s="16"/>
      <c r="M32" s="1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40"/>
      <c r="AB32" s="40"/>
      <c r="AC32" s="40"/>
      <c r="AD32" s="40"/>
      <c r="AE32" s="40"/>
      <c r="AF32" s="40"/>
      <c r="AG32" s="40"/>
      <c r="AH32" s="40"/>
      <c r="AI32" s="62"/>
      <c r="AJ32" s="62"/>
      <c r="AK32" s="62"/>
      <c r="AL32" s="62"/>
      <c r="AM32" s="4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</row>
    <row r="33" spans="1:76">
      <c r="A33" s="12"/>
      <c r="B33" s="26" t="s">
        <v>112</v>
      </c>
      <c r="C33" s="26" t="s">
        <v>113</v>
      </c>
      <c r="D33" s="26" t="s">
        <v>114</v>
      </c>
      <c r="E33" s="12"/>
      <c r="F33" s="13"/>
      <c r="G33" s="98" t="s">
        <v>138</v>
      </c>
      <c r="H33" s="14"/>
      <c r="I33" s="12"/>
      <c r="J33" s="12"/>
      <c r="K33" s="12"/>
      <c r="L33" s="12"/>
      <c r="M33" s="16"/>
      <c r="N33" s="27"/>
      <c r="O33" s="28" t="s">
        <v>112</v>
      </c>
      <c r="P33" s="28" t="s">
        <v>113</v>
      </c>
      <c r="Q33" s="28" t="s">
        <v>114</v>
      </c>
      <c r="R33" s="27"/>
      <c r="S33" s="29"/>
      <c r="T33" s="102" t="s">
        <v>138</v>
      </c>
      <c r="U33" s="30"/>
      <c r="V33" s="27"/>
      <c r="W33" s="61"/>
      <c r="X33" s="61"/>
      <c r="Y33" s="61"/>
      <c r="Z33" s="27"/>
      <c r="AA33" s="40"/>
      <c r="AB33" s="41" t="s">
        <v>112</v>
      </c>
      <c r="AC33" s="41" t="s">
        <v>113</v>
      </c>
      <c r="AD33" s="41" t="s">
        <v>114</v>
      </c>
      <c r="AE33" s="40"/>
      <c r="AF33" s="42"/>
      <c r="AG33" s="103" t="s">
        <v>138</v>
      </c>
      <c r="AH33" s="43"/>
      <c r="AI33" s="62"/>
      <c r="AJ33" s="63"/>
      <c r="AK33" s="63"/>
      <c r="AL33" s="63"/>
      <c r="AM33" s="40"/>
      <c r="AN33" s="50"/>
      <c r="AO33" s="51" t="s">
        <v>112</v>
      </c>
      <c r="AP33" s="109" t="s">
        <v>113</v>
      </c>
      <c r="AQ33" s="51" t="s">
        <v>114</v>
      </c>
      <c r="AR33" s="50"/>
      <c r="AS33" s="52"/>
      <c r="AT33" s="104" t="s">
        <v>138</v>
      </c>
      <c r="AU33" s="54"/>
      <c r="AV33" s="50"/>
      <c r="AW33" s="64"/>
      <c r="AX33" s="64"/>
      <c r="AY33" s="64"/>
      <c r="AZ33" s="50"/>
      <c r="BA33" s="124"/>
      <c r="BB33" s="125"/>
      <c r="BC33" s="125"/>
      <c r="BD33" s="125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</row>
    <row r="34" spans="1:76">
      <c r="A34" s="12"/>
      <c r="B34" s="18" t="s">
        <v>139</v>
      </c>
      <c r="C34" s="97" t="s">
        <v>140</v>
      </c>
      <c r="D34" s="18" t="s">
        <v>141</v>
      </c>
      <c r="E34" s="12"/>
      <c r="F34" s="15"/>
      <c r="G34" s="16"/>
      <c r="H34" s="17"/>
      <c r="I34" s="12"/>
      <c r="J34" s="16"/>
      <c r="K34" s="16"/>
      <c r="L34" s="16"/>
      <c r="M34" s="16"/>
      <c r="N34" s="27"/>
      <c r="O34" s="31" t="s">
        <v>139</v>
      </c>
      <c r="P34" s="123">
        <f>landbehov!H22/1000000</f>
        <v>1.9239999999999999E-3</v>
      </c>
      <c r="Q34" s="31" t="s">
        <v>20</v>
      </c>
      <c r="R34" s="27"/>
      <c r="S34" s="32"/>
      <c r="T34" s="27"/>
      <c r="U34" s="33"/>
      <c r="V34" s="27"/>
      <c r="W34" s="27"/>
      <c r="X34" s="27"/>
      <c r="Y34" s="27"/>
      <c r="Z34" s="27"/>
      <c r="AA34" s="40"/>
      <c r="AB34" s="44" t="s">
        <v>139</v>
      </c>
      <c r="AC34" s="107">
        <v>0.81</v>
      </c>
      <c r="AD34" s="44" t="s">
        <v>20</v>
      </c>
      <c r="AE34" s="40"/>
      <c r="AF34" s="45"/>
      <c r="AG34" s="40"/>
      <c r="AH34" s="46"/>
      <c r="AI34" s="40"/>
      <c r="AJ34" s="40"/>
      <c r="AK34" s="40"/>
      <c r="AL34" s="40"/>
      <c r="AM34" s="40"/>
      <c r="AN34" s="50"/>
      <c r="AO34" s="72" t="s">
        <v>139</v>
      </c>
      <c r="AP34" s="110" t="s">
        <v>142</v>
      </c>
      <c r="AQ34" s="72" t="s">
        <v>20</v>
      </c>
      <c r="AR34" s="50"/>
      <c r="AS34" s="55"/>
      <c r="AT34" s="50"/>
      <c r="AU34" s="57"/>
      <c r="AV34" s="50"/>
      <c r="AW34" s="50"/>
      <c r="AX34" s="50"/>
      <c r="AY34" s="50"/>
      <c r="AZ34" s="50"/>
      <c r="BA34" s="124"/>
      <c r="BB34" s="124"/>
      <c r="BC34" s="127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</row>
    <row r="35" spans="1:76">
      <c r="A35" s="12"/>
      <c r="B35" s="18"/>
      <c r="C35" s="97" t="s">
        <v>143</v>
      </c>
      <c r="D35" s="18" t="s">
        <v>20</v>
      </c>
      <c r="E35" s="12"/>
      <c r="F35" s="15"/>
      <c r="G35" s="16"/>
      <c r="H35" s="17"/>
      <c r="I35" s="12"/>
      <c r="J35" s="12"/>
      <c r="K35" s="12"/>
      <c r="L35" s="12"/>
      <c r="M35" s="12"/>
      <c r="N35" s="27"/>
      <c r="O35" s="27"/>
      <c r="P35" s="27"/>
      <c r="Q35" s="27"/>
      <c r="R35" s="27"/>
      <c r="S35" s="32"/>
      <c r="T35" s="27"/>
      <c r="U35" s="33"/>
      <c r="V35" s="27"/>
      <c r="W35" s="27"/>
      <c r="X35" s="27"/>
      <c r="Y35" s="27"/>
      <c r="Z35" s="27"/>
      <c r="AA35" s="40"/>
      <c r="AB35" s="40"/>
      <c r="AC35" s="40"/>
      <c r="AD35" s="40"/>
      <c r="AE35" s="40"/>
      <c r="AF35" s="45"/>
      <c r="AG35" s="40"/>
      <c r="AH35" s="46"/>
      <c r="AI35" s="40"/>
      <c r="AJ35" s="40"/>
      <c r="AK35" s="40"/>
      <c r="AL35" s="40"/>
      <c r="AM35" s="40"/>
      <c r="AN35" s="50"/>
      <c r="AO35" s="50"/>
      <c r="AP35" s="50"/>
      <c r="AQ35" s="50"/>
      <c r="AR35" s="50"/>
      <c r="AS35" s="55"/>
      <c r="AT35" s="50"/>
      <c r="AU35" s="57"/>
      <c r="AV35" s="50"/>
      <c r="AW35" s="50"/>
      <c r="AX35" s="50"/>
      <c r="AY35" s="50"/>
      <c r="AZ35" s="50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</row>
    <row r="36" spans="1:76">
      <c r="A36" s="12"/>
      <c r="B36" s="12"/>
      <c r="C36" s="12"/>
      <c r="D36" s="12"/>
      <c r="E36" s="12" t="s">
        <v>125</v>
      </c>
      <c r="F36" s="15"/>
      <c r="G36" s="99" t="s">
        <v>126</v>
      </c>
      <c r="H36" s="17"/>
      <c r="I36" s="12"/>
      <c r="J36" s="12"/>
      <c r="K36" s="12"/>
      <c r="L36" s="12"/>
      <c r="M36" s="12"/>
      <c r="N36" s="27"/>
      <c r="O36" s="27"/>
      <c r="P36" s="27"/>
      <c r="Q36" s="27"/>
      <c r="R36" s="27" t="s">
        <v>125</v>
      </c>
      <c r="S36" s="32"/>
      <c r="T36" s="132" t="s">
        <v>41</v>
      </c>
      <c r="U36" s="33"/>
      <c r="V36" s="27"/>
      <c r="W36" s="27"/>
      <c r="X36" s="27"/>
      <c r="Y36" s="27"/>
      <c r="Z36" s="27"/>
      <c r="AA36" s="40"/>
      <c r="AB36" s="40"/>
      <c r="AC36" s="40"/>
      <c r="AD36" s="40"/>
      <c r="AE36" s="40" t="s">
        <v>125</v>
      </c>
      <c r="AF36" s="45"/>
      <c r="AG36" s="131" t="s">
        <v>127</v>
      </c>
      <c r="AH36" s="46"/>
      <c r="AI36" s="40"/>
      <c r="AJ36" s="40"/>
      <c r="AK36" s="40"/>
      <c r="AL36" s="40"/>
      <c r="AM36" s="40"/>
      <c r="AN36" s="50"/>
      <c r="AO36" s="50"/>
      <c r="AP36" s="50"/>
      <c r="AQ36" s="50"/>
      <c r="AR36" s="50" t="s">
        <v>125</v>
      </c>
      <c r="AS36" s="55"/>
      <c r="AT36" s="129" t="s">
        <v>128</v>
      </c>
      <c r="AU36" s="57"/>
      <c r="AV36" s="50"/>
      <c r="AW36" s="50"/>
      <c r="AX36" s="50"/>
      <c r="AY36" s="50"/>
      <c r="AZ36" s="50"/>
      <c r="BA36" s="124"/>
      <c r="BB36" s="124"/>
      <c r="BC36" s="124"/>
      <c r="BD36" s="124"/>
      <c r="BE36" s="124"/>
      <c r="BF36" s="136"/>
      <c r="BG36" s="136"/>
      <c r="BH36" s="136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</row>
    <row r="37" spans="1:76">
      <c r="A37" s="12"/>
      <c r="B37" s="12"/>
      <c r="C37" s="12"/>
      <c r="D37" s="12"/>
      <c r="E37" s="12"/>
      <c r="F37" s="15"/>
      <c r="G37" s="16"/>
      <c r="H37" s="17"/>
      <c r="I37" s="12"/>
      <c r="J37" s="12"/>
      <c r="K37" s="12"/>
      <c r="L37" s="12"/>
      <c r="M37" s="12"/>
      <c r="N37" s="27"/>
      <c r="O37" s="27"/>
      <c r="P37" s="27"/>
      <c r="Q37" s="27"/>
      <c r="R37" s="27"/>
      <c r="S37" s="32"/>
      <c r="T37" s="27"/>
      <c r="U37" s="33"/>
      <c r="V37" s="27"/>
      <c r="W37" s="27"/>
      <c r="X37" s="27"/>
      <c r="Y37" s="27"/>
      <c r="Z37" s="27"/>
      <c r="AA37" s="40"/>
      <c r="AB37" s="40"/>
      <c r="AC37" s="40"/>
      <c r="AD37" s="40"/>
      <c r="AE37" s="40"/>
      <c r="AF37" s="45"/>
      <c r="AG37" s="40"/>
      <c r="AH37" s="46"/>
      <c r="AI37" s="40"/>
      <c r="AJ37" s="40"/>
      <c r="AK37" s="40"/>
      <c r="AL37" s="40"/>
      <c r="AM37" s="40"/>
      <c r="AN37" s="50"/>
      <c r="AO37" s="50"/>
      <c r="AP37" s="50"/>
      <c r="AQ37" s="50"/>
      <c r="AR37" s="50"/>
      <c r="AS37" s="55"/>
      <c r="AT37" s="50"/>
      <c r="AU37" s="57"/>
      <c r="AV37" s="50"/>
      <c r="AW37" s="50"/>
      <c r="AX37" s="50"/>
      <c r="AY37" s="50"/>
      <c r="AZ37" s="50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</row>
    <row r="38" spans="1:76">
      <c r="A38" s="12"/>
      <c r="B38" s="12"/>
      <c r="C38" s="12"/>
      <c r="D38" s="12"/>
      <c r="E38" s="12"/>
      <c r="F38" s="15"/>
      <c r="G38" s="16"/>
      <c r="H38" s="17"/>
      <c r="I38" s="12"/>
      <c r="J38" s="12"/>
      <c r="K38" s="12"/>
      <c r="L38" s="12"/>
      <c r="M38" s="12"/>
      <c r="N38" s="27"/>
      <c r="O38" s="27"/>
      <c r="P38" s="27"/>
      <c r="Q38" s="27"/>
      <c r="R38" s="27"/>
      <c r="S38" s="32"/>
      <c r="T38" s="27"/>
      <c r="U38" s="33"/>
      <c r="V38" s="27"/>
      <c r="W38" s="27"/>
      <c r="X38" s="27"/>
      <c r="Y38" s="27"/>
      <c r="Z38" s="27"/>
      <c r="AA38" s="40"/>
      <c r="AB38" s="40"/>
      <c r="AC38" s="40"/>
      <c r="AD38" s="40"/>
      <c r="AE38" s="40"/>
      <c r="AF38" s="45"/>
      <c r="AG38" s="40"/>
      <c r="AH38" s="46"/>
      <c r="AI38" s="40"/>
      <c r="AJ38" s="40"/>
      <c r="AK38" s="40"/>
      <c r="AL38" s="40"/>
      <c r="AM38" s="40"/>
      <c r="AN38" s="50"/>
      <c r="AO38" s="50"/>
      <c r="AP38" s="50"/>
      <c r="AQ38" s="50"/>
      <c r="AR38" s="50"/>
      <c r="AS38" s="55"/>
      <c r="AT38" s="50"/>
      <c r="AU38" s="57"/>
      <c r="AV38" s="50"/>
      <c r="AW38" s="50"/>
      <c r="AX38" s="50"/>
      <c r="AY38" s="50"/>
      <c r="AZ38" s="50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</row>
    <row r="39" spans="1:76">
      <c r="A39" s="12"/>
      <c r="B39" s="12"/>
      <c r="C39" s="12"/>
      <c r="D39" s="12"/>
      <c r="E39" s="12"/>
      <c r="F39" s="21"/>
      <c r="G39" s="22"/>
      <c r="H39" s="23"/>
      <c r="I39" s="12"/>
      <c r="J39" s="12"/>
      <c r="K39" s="12"/>
      <c r="L39" s="12"/>
      <c r="M39" s="12"/>
      <c r="N39" s="27"/>
      <c r="O39" s="27"/>
      <c r="P39" s="27"/>
      <c r="Q39" s="27"/>
      <c r="R39" s="27"/>
      <c r="S39" s="34"/>
      <c r="T39" s="35"/>
      <c r="U39" s="36"/>
      <c r="V39" s="27"/>
      <c r="W39" s="27"/>
      <c r="X39" s="27"/>
      <c r="Y39" s="27"/>
      <c r="Z39" s="27"/>
      <c r="AA39" s="40"/>
      <c r="AB39" s="40"/>
      <c r="AC39" s="40"/>
      <c r="AD39" s="40"/>
      <c r="AE39" s="40"/>
      <c r="AF39" s="47"/>
      <c r="AG39" s="48"/>
      <c r="AH39" s="49"/>
      <c r="AI39" s="40"/>
      <c r="AJ39" s="40"/>
      <c r="AK39" s="40"/>
      <c r="AL39" s="40"/>
      <c r="AM39" s="40"/>
      <c r="AN39" s="50"/>
      <c r="AO39" s="50"/>
      <c r="AP39" s="50"/>
      <c r="AQ39" s="50"/>
      <c r="AR39" s="50"/>
      <c r="AS39" s="58"/>
      <c r="AT39" s="59"/>
      <c r="AU39" s="60"/>
      <c r="AV39" s="50"/>
      <c r="AW39" s="50"/>
      <c r="AX39" s="50"/>
      <c r="AY39" s="50"/>
      <c r="AZ39" s="50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</row>
    <row r="40" spans="1:76">
      <c r="A40" s="12"/>
      <c r="B40" s="12"/>
      <c r="C40" s="12"/>
      <c r="D40" s="12"/>
      <c r="E40" s="12"/>
      <c r="F40" s="25"/>
      <c r="G40" s="12"/>
      <c r="H40" s="12"/>
      <c r="I40" s="12"/>
      <c r="J40" s="12"/>
      <c r="K40" s="12"/>
      <c r="L40" s="12"/>
      <c r="M40" s="12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</row>
    <row r="43" spans="1:76">
      <c r="B43" s="67" t="s">
        <v>144</v>
      </c>
      <c r="C43" s="67"/>
      <c r="D43" s="67"/>
      <c r="E43" s="67"/>
      <c r="G43" s="5" t="s">
        <v>5</v>
      </c>
      <c r="M43" s="73"/>
      <c r="AT43" s="113"/>
      <c r="AU43" s="113"/>
    </row>
    <row r="44" spans="1:76">
      <c r="B44" s="67">
        <v>1000000</v>
      </c>
      <c r="C44" s="67" t="s">
        <v>145</v>
      </c>
      <c r="D44" s="67">
        <f>B44/B45</f>
        <v>114.46886446886447</v>
      </c>
      <c r="E44" s="67" t="s">
        <v>146</v>
      </c>
      <c r="AT44" s="113"/>
    </row>
    <row r="45" spans="1:76">
      <c r="B45" s="67">
        <f>52*7*24</f>
        <v>8736</v>
      </c>
      <c r="C45" s="67" t="s">
        <v>147</v>
      </c>
      <c r="D45" s="67"/>
      <c r="E45" s="67"/>
      <c r="AF45" s="67" t="s">
        <v>148</v>
      </c>
      <c r="AG45" s="67" t="s">
        <v>149</v>
      </c>
      <c r="AH45" s="67" t="s">
        <v>150</v>
      </c>
      <c r="AI45" s="76" t="s">
        <v>151</v>
      </c>
      <c r="AJ45" s="67"/>
      <c r="AK45" s="67"/>
      <c r="AL45" s="67"/>
      <c r="AM45" s="67"/>
      <c r="AN45" s="67"/>
      <c r="AO45" s="67">
        <v>1000</v>
      </c>
      <c r="AP45" s="67" t="s">
        <v>152</v>
      </c>
      <c r="AQ45" s="67"/>
      <c r="AR45" s="67"/>
      <c r="AS45" s="67"/>
      <c r="AT45" s="67"/>
      <c r="AU45" s="67"/>
    </row>
    <row r="46" spans="1:76">
      <c r="AF46" s="67"/>
      <c r="AG46" s="77">
        <v>6.2897999999999999E-3</v>
      </c>
      <c r="AH46" s="67" t="s">
        <v>153</v>
      </c>
      <c r="AI46" s="67"/>
      <c r="AJ46" s="67"/>
      <c r="AK46" s="67"/>
      <c r="AL46" s="67">
        <v>820.1</v>
      </c>
      <c r="AM46" s="67" t="s">
        <v>154</v>
      </c>
      <c r="AN46" s="76" t="s">
        <v>155</v>
      </c>
      <c r="AO46" s="67"/>
      <c r="AP46" s="67"/>
      <c r="AQ46" s="67"/>
      <c r="AR46" s="67"/>
      <c r="AS46" s="67"/>
      <c r="AT46" s="67"/>
      <c r="AU46" s="67"/>
      <c r="BA46" s="113"/>
    </row>
    <row r="47" spans="1:76">
      <c r="D47" t="s">
        <v>85</v>
      </c>
      <c r="E47" t="s">
        <v>124</v>
      </c>
      <c r="AA47" s="75" t="s">
        <v>156</v>
      </c>
      <c r="AB47" s="75" t="s">
        <v>157</v>
      </c>
      <c r="AF47" s="67">
        <v>40</v>
      </c>
      <c r="AG47" s="67">
        <f>40*AG46</f>
        <v>0.25159199999999998</v>
      </c>
      <c r="AH47" s="67" t="s">
        <v>158</v>
      </c>
      <c r="AI47" s="67" t="s">
        <v>159</v>
      </c>
      <c r="AJ47" s="67">
        <f>AG47*G48</f>
        <v>2.3398056</v>
      </c>
      <c r="AK47" s="67" t="s">
        <v>160</v>
      </c>
      <c r="AL47" s="67">
        <f>(AJ47*AO45)/AL46</f>
        <v>2.8530735276185832</v>
      </c>
      <c r="AM47" s="67" t="s">
        <v>161</v>
      </c>
      <c r="AN47" s="67">
        <f>AL47*1000</f>
        <v>2853.0735276185833</v>
      </c>
      <c r="AO47" s="67" t="s">
        <v>162</v>
      </c>
      <c r="AP47" s="67"/>
      <c r="AQ47" s="67">
        <f>AN47*AK6</f>
        <v>68159.926574807963</v>
      </c>
      <c r="AR47" s="67" t="s">
        <v>137</v>
      </c>
      <c r="AS47" s="67" t="s">
        <v>163</v>
      </c>
      <c r="AT47" s="67">
        <f>(AQ47+AQ48)/2</f>
        <v>102239.88986221195</v>
      </c>
      <c r="AU47" s="67" t="s">
        <v>137</v>
      </c>
    </row>
    <row r="48" spans="1:76">
      <c r="D48" s="50">
        <v>37.75</v>
      </c>
      <c r="E48" s="50">
        <v>23.7</v>
      </c>
      <c r="F48" s="50" t="s">
        <v>164</v>
      </c>
      <c r="G48" s="68">
        <v>9.3000000000000007</v>
      </c>
      <c r="H48" s="68" t="s">
        <v>165</v>
      </c>
      <c r="I48" s="68" t="s">
        <v>166</v>
      </c>
      <c r="J48" s="135" t="s">
        <v>167</v>
      </c>
      <c r="K48" s="135"/>
      <c r="L48" s="135"/>
      <c r="M48" s="135"/>
      <c r="N48" s="135"/>
      <c r="O48" s="5" t="s">
        <v>168</v>
      </c>
      <c r="AA48" s="75" t="s">
        <v>169</v>
      </c>
      <c r="AB48" s="75" t="s">
        <v>170</v>
      </c>
      <c r="AF48" s="67">
        <v>80</v>
      </c>
      <c r="AG48" s="77">
        <f>80*AG46</f>
        <v>0.50318399999999996</v>
      </c>
      <c r="AH48" s="67" t="s">
        <v>158</v>
      </c>
      <c r="AI48" s="67" t="s">
        <v>159</v>
      </c>
      <c r="AJ48" s="67">
        <f>AG48*G48</f>
        <v>4.6796112000000001</v>
      </c>
      <c r="AK48" s="67" t="s">
        <v>160</v>
      </c>
      <c r="AL48" s="67">
        <f>(AJ48*AO45)/AL46</f>
        <v>5.7061470552371665</v>
      </c>
      <c r="AM48" s="67" t="s">
        <v>161</v>
      </c>
      <c r="AN48" s="67">
        <f>AL48*1000</f>
        <v>5706.1470552371666</v>
      </c>
      <c r="AO48" s="67" t="s">
        <v>162</v>
      </c>
      <c r="AP48" s="67"/>
      <c r="AQ48" s="67">
        <f>AN48*AK6</f>
        <v>136319.85314961593</v>
      </c>
      <c r="AR48" s="67" t="s">
        <v>137</v>
      </c>
      <c r="AS48" s="67"/>
      <c r="AT48" s="67"/>
      <c r="AU48" s="67"/>
    </row>
    <row r="49" spans="3:51">
      <c r="D49" s="50">
        <v>171</v>
      </c>
      <c r="E49" s="108">
        <f>X5</f>
        <v>186.64</v>
      </c>
      <c r="F49" s="50" t="s">
        <v>117</v>
      </c>
      <c r="G49" s="68">
        <v>9.9</v>
      </c>
      <c r="H49" s="68" t="s">
        <v>171</v>
      </c>
      <c r="I49" s="68" t="s">
        <v>166</v>
      </c>
      <c r="J49" s="69">
        <v>43911</v>
      </c>
      <c r="K49" s="68"/>
      <c r="L49" s="68"/>
      <c r="O49">
        <v>0.79549999999999998</v>
      </c>
      <c r="P49" t="s">
        <v>172</v>
      </c>
      <c r="AJ49" s="74"/>
    </row>
    <row r="50" spans="3:51">
      <c r="D50" s="50">
        <f>D48*D49</f>
        <v>6455.25</v>
      </c>
      <c r="E50" s="108">
        <f>E48*E49</f>
        <v>4423.3679999999995</v>
      </c>
      <c r="F50" s="50" t="s">
        <v>173</v>
      </c>
      <c r="O50">
        <f>O49*G49</f>
        <v>7.8754499999999998</v>
      </c>
      <c r="P50" t="s">
        <v>161</v>
      </c>
      <c r="AF50" s="80" t="s">
        <v>16</v>
      </c>
      <c r="AG50" s="82">
        <v>14.78</v>
      </c>
      <c r="AH50" s="80" t="s">
        <v>160</v>
      </c>
      <c r="AI50" s="81" t="s">
        <v>174</v>
      </c>
      <c r="AJ50" s="80"/>
      <c r="AK50" s="80"/>
      <c r="AL50" s="80"/>
      <c r="AM50" s="80"/>
      <c r="AN50" s="80"/>
      <c r="AO50" s="80"/>
      <c r="AP50" s="80"/>
      <c r="AQ50" s="80"/>
    </row>
    <row r="51" spans="3:51">
      <c r="D51" s="50">
        <f>D50*G48</f>
        <v>60033.825000000004</v>
      </c>
      <c r="E51" s="108">
        <f>E50*G48</f>
        <v>41137.322399999997</v>
      </c>
      <c r="F51" s="50" t="s">
        <v>137</v>
      </c>
      <c r="O51">
        <f>O50*1000</f>
        <v>7875.45</v>
      </c>
      <c r="P51" t="s">
        <v>162</v>
      </c>
      <c r="AF51" s="80"/>
      <c r="AG51" s="80"/>
      <c r="AH51" s="80"/>
      <c r="AI51" s="82">
        <v>959</v>
      </c>
      <c r="AJ51" s="80" t="s">
        <v>154</v>
      </c>
      <c r="AK51" s="81" t="s">
        <v>175</v>
      </c>
      <c r="AL51" s="80"/>
      <c r="AM51" s="80"/>
      <c r="AN51" s="80"/>
      <c r="AO51" s="80"/>
      <c r="AP51" s="80"/>
      <c r="AQ51" s="80"/>
    </row>
    <row r="52" spans="3:51">
      <c r="AF52" s="80"/>
      <c r="AG52" s="80"/>
      <c r="AH52" s="80"/>
      <c r="AI52" s="82">
        <f>(AG50*AO45)/AI51</f>
        <v>15.411887382690303</v>
      </c>
      <c r="AJ52" s="80" t="s">
        <v>161</v>
      </c>
      <c r="AK52" s="82">
        <f>AI52*1000</f>
        <v>15411.887382690302</v>
      </c>
      <c r="AL52" s="80" t="s">
        <v>162</v>
      </c>
      <c r="AM52" s="82">
        <f>AK52*AK8</f>
        <v>208831.07403545361</v>
      </c>
      <c r="AN52" s="80" t="s">
        <v>137</v>
      </c>
      <c r="AO52" s="80"/>
      <c r="AP52" s="80"/>
      <c r="AQ52" s="80"/>
    </row>
    <row r="53" spans="3:51">
      <c r="AX53">
        <v>159</v>
      </c>
      <c r="AY53" t="s">
        <v>176</v>
      </c>
    </row>
    <row r="54" spans="3:51">
      <c r="H54" s="65">
        <v>2</v>
      </c>
      <c r="I54" s="65" t="s">
        <v>177</v>
      </c>
      <c r="J54" s="65" t="s">
        <v>178</v>
      </c>
      <c r="K54" s="66" t="s">
        <v>179</v>
      </c>
      <c r="L54" s="65"/>
      <c r="M54" s="65"/>
      <c r="N54" s="65"/>
      <c r="AG54" s="83" t="s">
        <v>180</v>
      </c>
      <c r="AH54" s="83"/>
      <c r="AI54" s="83">
        <v>1.29</v>
      </c>
      <c r="AJ54" s="83" t="s">
        <v>158</v>
      </c>
      <c r="AK54" s="84" t="s">
        <v>181</v>
      </c>
      <c r="AL54" s="83"/>
      <c r="AM54" s="83"/>
      <c r="AN54" s="83"/>
      <c r="AO54" s="83"/>
      <c r="AP54" s="83"/>
      <c r="AQ54" s="83"/>
      <c r="AR54" s="83"/>
      <c r="AS54" s="83"/>
      <c r="AX54">
        <f>60/AX53</f>
        <v>0.37735849056603776</v>
      </c>
      <c r="AY54" t="s">
        <v>182</v>
      </c>
    </row>
    <row r="55" spans="3:51">
      <c r="C55" s="70" t="s">
        <v>183</v>
      </c>
      <c r="D55" s="71"/>
      <c r="E55" s="71"/>
      <c r="F55" s="71"/>
      <c r="H55" s="65">
        <v>1</v>
      </c>
      <c r="I55" s="65" t="s">
        <v>184</v>
      </c>
      <c r="J55" s="65" t="s">
        <v>178</v>
      </c>
      <c r="K55" s="65"/>
      <c r="L55" s="65"/>
      <c r="M55" s="65"/>
      <c r="N55" s="65"/>
      <c r="AG55" s="83" t="s">
        <v>165</v>
      </c>
      <c r="AH55" s="83">
        <v>9.3000000000000007</v>
      </c>
      <c r="AI55" s="83">
        <f>AI54*AH55</f>
        <v>11.997000000000002</v>
      </c>
      <c r="AJ55" s="83" t="s">
        <v>160</v>
      </c>
      <c r="AK55" s="83">
        <v>747.5</v>
      </c>
      <c r="AL55" s="83" t="s">
        <v>154</v>
      </c>
      <c r="AM55" s="84" t="s">
        <v>175</v>
      </c>
      <c r="AN55" s="83"/>
      <c r="AO55" s="83"/>
      <c r="AP55" s="83"/>
      <c r="AQ55" s="83"/>
      <c r="AR55" s="83"/>
      <c r="AS55" s="83"/>
      <c r="AX55">
        <f>9.3*AX54</f>
        <v>3.5094339622641515</v>
      </c>
    </row>
    <row r="56" spans="3:51">
      <c r="C56" s="71">
        <v>2.17</v>
      </c>
      <c r="D56" s="71" t="s">
        <v>185</v>
      </c>
      <c r="E56" s="71" t="s">
        <v>186</v>
      </c>
      <c r="F56" s="71"/>
      <c r="G56" s="65">
        <v>531</v>
      </c>
      <c r="H56" s="65">
        <f>P4</f>
        <v>209.97</v>
      </c>
      <c r="I56" s="65" t="s">
        <v>117</v>
      </c>
      <c r="J56" s="65" t="s">
        <v>178</v>
      </c>
      <c r="K56" s="65"/>
      <c r="L56" s="65"/>
      <c r="M56" s="65"/>
      <c r="N56" s="65"/>
      <c r="AG56" s="86">
        <v>43922</v>
      </c>
      <c r="AH56" s="83"/>
      <c r="AI56" s="83"/>
      <c r="AJ56" s="83"/>
      <c r="AK56" s="83">
        <f>(AI55*1000)/AK55</f>
        <v>16.049498327759199</v>
      </c>
      <c r="AL56" s="83" t="s">
        <v>161</v>
      </c>
      <c r="AM56" s="83">
        <f>AK56*1000</f>
        <v>16049.4983277592</v>
      </c>
      <c r="AN56" s="83" t="s">
        <v>162</v>
      </c>
      <c r="AO56" s="85">
        <f>AM56*AK7</f>
        <v>272520.4816053512</v>
      </c>
      <c r="AP56" s="83" t="s">
        <v>137</v>
      </c>
      <c r="AQ56" s="83"/>
      <c r="AR56" s="83"/>
      <c r="AS56" s="83"/>
    </row>
    <row r="57" spans="3:51">
      <c r="C57" s="71">
        <v>0.80400000000000005</v>
      </c>
      <c r="D57" s="71" t="s">
        <v>154</v>
      </c>
      <c r="E57" s="71" t="s">
        <v>186</v>
      </c>
      <c r="F57" s="71"/>
      <c r="G57" s="65">
        <f>(H54/H55)*G56</f>
        <v>1062</v>
      </c>
      <c r="H57" s="65">
        <f>H56*H54</f>
        <v>419.94</v>
      </c>
      <c r="I57" s="65" t="s">
        <v>187</v>
      </c>
      <c r="J57" s="65" t="s">
        <v>178</v>
      </c>
      <c r="K57" s="65"/>
      <c r="L57" s="65"/>
      <c r="M57" s="65"/>
      <c r="N57" s="65"/>
    </row>
    <row r="58" spans="3:51">
      <c r="C58" s="70" t="s">
        <v>188</v>
      </c>
      <c r="D58" s="71"/>
      <c r="E58" s="71"/>
      <c r="F58" s="71"/>
      <c r="G58" s="65">
        <f>G48*G57</f>
        <v>9876.6</v>
      </c>
      <c r="H58" s="65">
        <f>H57*G48</f>
        <v>3905.4420000000005</v>
      </c>
      <c r="I58" s="65" t="s">
        <v>189</v>
      </c>
      <c r="J58" s="65" t="s">
        <v>178</v>
      </c>
      <c r="K58" s="65"/>
      <c r="L58" s="65"/>
      <c r="M58" s="65"/>
      <c r="N58" s="65"/>
    </row>
    <row r="59" spans="3:51">
      <c r="C59" s="71">
        <f>C56/C57</f>
        <v>2.6990049751243776</v>
      </c>
      <c r="D59" s="71" t="s">
        <v>161</v>
      </c>
      <c r="E59" s="71" t="s">
        <v>186</v>
      </c>
      <c r="F59" s="71"/>
    </row>
    <row r="60" spans="3:51">
      <c r="C60" s="71">
        <v>13.28</v>
      </c>
      <c r="D60" s="71" t="s">
        <v>190</v>
      </c>
      <c r="E60" s="71" t="s">
        <v>186</v>
      </c>
      <c r="F60" s="71"/>
    </row>
    <row r="61" spans="3:51">
      <c r="C61" s="71">
        <f>C59*1000*C60</f>
        <v>35842.786069651738</v>
      </c>
      <c r="D61" s="71" t="s">
        <v>191</v>
      </c>
      <c r="E61" s="71" t="s">
        <v>186</v>
      </c>
      <c r="F61" s="71"/>
      <c r="L61" t="s">
        <v>2</v>
      </c>
      <c r="N61" t="s">
        <v>2</v>
      </c>
    </row>
    <row r="62" spans="3:51">
      <c r="N62" t="s">
        <v>2</v>
      </c>
    </row>
    <row r="63" spans="3:51">
      <c r="K63" t="s">
        <v>2</v>
      </c>
    </row>
    <row r="64" spans="3:51">
      <c r="I64" t="s">
        <v>2</v>
      </c>
      <c r="M64" t="s">
        <v>2</v>
      </c>
    </row>
    <row r="67" spans="11:22">
      <c r="K67" t="s">
        <v>2</v>
      </c>
    </row>
    <row r="78" spans="11:22">
      <c r="V78" t="s">
        <v>192</v>
      </c>
    </row>
  </sheetData>
  <mergeCells count="6">
    <mergeCell ref="J48:N48"/>
    <mergeCell ref="BN15:BX15"/>
    <mergeCell ref="BF6:BH6"/>
    <mergeCell ref="BF16:BH16"/>
    <mergeCell ref="BF26:BH26"/>
    <mergeCell ref="BF36:BH36"/>
  </mergeCells>
  <hyperlinks>
    <hyperlink ref="J48" r:id="rId1" xr:uid="{1B37D87B-4E90-4AE8-8881-6242D1ECCF55}"/>
    <hyperlink ref="K54" r:id="rId2" xr:uid="{7022682D-7323-42EE-BF83-1830F976839E}"/>
    <hyperlink ref="C55" r:id="rId3" xr:uid="{704921D9-2F98-471B-B8DF-5B8B97330288}"/>
    <hyperlink ref="C58" r:id="rId4" xr:uid="{6489DA0F-7D03-46DF-A03C-03363505F44E}"/>
    <hyperlink ref="AI45" r:id="rId5" xr:uid="{1E0659AC-DE57-4B81-826A-CFA02A28C406}"/>
    <hyperlink ref="AN46" r:id="rId6" xr:uid="{2179F93A-8CBA-4DDC-BE42-C7B882826585}"/>
    <hyperlink ref="AI50" r:id="rId7" xr:uid="{090C624B-BA50-4F70-8EBD-BE71B9F21E0B}"/>
    <hyperlink ref="AK54" r:id="rId8" location="hl140" xr:uid="{CFF76731-9350-4579-96AD-EFF9ED4D32C1}"/>
    <hyperlink ref="AK51" r:id="rId9" xr:uid="{C35DAA2B-8773-425B-851C-F981C517A980}"/>
    <hyperlink ref="AM55" r:id="rId10" xr:uid="{1EAA71B7-0E51-4D92-B5F8-2C972596FA3D}"/>
    <hyperlink ref="G43" r:id="rId11" xr:uid="{F49B1F97-4EEE-4DF8-A658-E23F5ABE69CF}"/>
    <hyperlink ref="O48" r:id="rId12" xr:uid="{D426ED52-B8B0-4012-9F5C-6AF70D6E9E0F}"/>
  </hyperlinks>
  <pageMargins left="0.7" right="0.7" top="0.75" bottom="0.75" header="0.3" footer="0.3"/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6EF50-FD27-40B4-9B87-E01290D1C040}">
  <dimension ref="A2:C30"/>
  <sheetViews>
    <sheetView workbookViewId="0">
      <selection activeCell="C6" sqref="C6"/>
    </sheetView>
  </sheetViews>
  <sheetFormatPr defaultColWidth="9.140625" defaultRowHeight="15"/>
  <cols>
    <col min="2" max="2" width="9.28515625" customWidth="1"/>
  </cols>
  <sheetData>
    <row r="2" spans="1:3">
      <c r="B2" s="11" t="s">
        <v>193</v>
      </c>
      <c r="C2" s="11" t="s">
        <v>194</v>
      </c>
    </row>
    <row r="3" spans="1:3">
      <c r="B3" s="11">
        <f>Tabelloversikt!AK6</f>
        <v>23.89</v>
      </c>
      <c r="C3" s="11" t="s">
        <v>117</v>
      </c>
    </row>
    <row r="4" spans="1:3">
      <c r="B4" s="87">
        <f>(B3*1000)/Tabelloversikt!AL46</f>
        <v>29.130593830020729</v>
      </c>
      <c r="C4" s="11" t="s">
        <v>195</v>
      </c>
    </row>
    <row r="5" spans="1:3">
      <c r="B5" s="11">
        <f>B4*1000</f>
        <v>29130.593830020727</v>
      </c>
      <c r="C5" s="11" t="s">
        <v>123</v>
      </c>
    </row>
    <row r="6" spans="1:3">
      <c r="B6" s="11"/>
      <c r="C6" s="11"/>
    </row>
    <row r="7" spans="1:3">
      <c r="B7" s="11"/>
      <c r="C7" s="11"/>
    </row>
    <row r="8" spans="1:3">
      <c r="B8" s="11" t="s">
        <v>196</v>
      </c>
      <c r="C8" s="11"/>
    </row>
    <row r="9" spans="1:3">
      <c r="A9" t="s">
        <v>197</v>
      </c>
      <c r="B9" s="87">
        <f>Tabelloversikt!AP7/Ressursoversikt!B5</f>
        <v>25.436144704897448</v>
      </c>
      <c r="C9" s="11" t="s">
        <v>198</v>
      </c>
    </row>
    <row r="10" spans="1:3">
      <c r="A10" t="s">
        <v>199</v>
      </c>
      <c r="B10" s="87">
        <f>Tabelloversikt!AK5/Ressursoversikt!B5</f>
        <v>4.7716157388028471</v>
      </c>
      <c r="C10" s="11" t="s">
        <v>198</v>
      </c>
    </row>
    <row r="11" spans="1:3">
      <c r="B11" s="11"/>
      <c r="C11" s="11"/>
    </row>
    <row r="12" spans="1:3">
      <c r="B12" s="11"/>
      <c r="C12" s="11"/>
    </row>
    <row r="13" spans="1:3">
      <c r="B13" s="11" t="s">
        <v>200</v>
      </c>
      <c r="C13" s="11"/>
    </row>
    <row r="14" spans="1:3">
      <c r="B14" s="88">
        <f>Tabelloversikt!C8/Ressursoversikt!B5</f>
        <v>2.3706519820008369E-2</v>
      </c>
      <c r="C14" s="11" t="s">
        <v>201</v>
      </c>
    </row>
    <row r="15" spans="1:3">
      <c r="B15" s="87">
        <f>B14*1000</f>
        <v>23.706519820008371</v>
      </c>
      <c r="C15" s="11" t="s">
        <v>202</v>
      </c>
    </row>
    <row r="16" spans="1:3">
      <c r="B16" s="11"/>
      <c r="C16" s="11"/>
    </row>
    <row r="17" spans="2:3">
      <c r="B17" s="11"/>
      <c r="C17" s="11"/>
    </row>
    <row r="18" spans="2:3">
      <c r="B18" s="11" t="s">
        <v>203</v>
      </c>
      <c r="C18" s="11"/>
    </row>
    <row r="19" spans="2:3">
      <c r="B19" s="11">
        <f>Tabelloversikt!AP14/Ressursoversikt!B5</f>
        <v>7.0994214950355808E-2</v>
      </c>
      <c r="C19" s="11" t="s">
        <v>204</v>
      </c>
    </row>
    <row r="20" spans="2:3">
      <c r="B20" s="87">
        <f>B19*1000</f>
        <v>70.994214950355811</v>
      </c>
      <c r="C20" s="11" t="s">
        <v>205</v>
      </c>
    </row>
    <row r="21" spans="2:3">
      <c r="B21" s="11"/>
      <c r="C21" s="11"/>
    </row>
    <row r="22" spans="2:3">
      <c r="B22" s="11" t="s">
        <v>85</v>
      </c>
      <c r="C22" s="11"/>
    </row>
    <row r="23" spans="2:3">
      <c r="B23" s="11">
        <f>Tabelloversikt!AC4/Ressursoversikt!B5</f>
        <v>5.8701172038509841E-3</v>
      </c>
      <c r="C23" s="11" t="s">
        <v>206</v>
      </c>
    </row>
    <row r="24" spans="2:3">
      <c r="B24" s="87">
        <f>B23*1000</f>
        <v>5.8701172038509837</v>
      </c>
      <c r="C24" s="11" t="s">
        <v>207</v>
      </c>
    </row>
    <row r="25" spans="2:3">
      <c r="B25" s="11"/>
      <c r="C25" s="11"/>
    </row>
    <row r="26" spans="2:3">
      <c r="B26" s="11"/>
      <c r="C26" s="11"/>
    </row>
    <row r="27" spans="2:3">
      <c r="B27" s="11"/>
      <c r="C27" s="11"/>
    </row>
    <row r="28" spans="2:3">
      <c r="B28" s="11" t="s">
        <v>94</v>
      </c>
      <c r="C28" s="11"/>
    </row>
    <row r="29" spans="2:3">
      <c r="B29" s="11">
        <f>Tabelloversikt!AC5/Ressursoversikt!B5</f>
        <v>8.0087622436165757E-4</v>
      </c>
      <c r="C29" s="11" t="s">
        <v>206</v>
      </c>
    </row>
    <row r="30" spans="2:3">
      <c r="B30" s="87">
        <f>B29*1000</f>
        <v>0.80087622436165762</v>
      </c>
      <c r="C30" s="11" t="s">
        <v>207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C304E-DDAD-4A0E-863A-804AC47FB7A9}">
  <dimension ref="C3:O19"/>
  <sheetViews>
    <sheetView workbookViewId="0"/>
  </sheetViews>
  <sheetFormatPr defaultColWidth="11.42578125" defaultRowHeight="15"/>
  <cols>
    <col min="3" max="3" width="11" customWidth="1"/>
    <col min="4" max="4" width="10.28515625" customWidth="1"/>
    <col min="7" max="7" width="14.28515625" customWidth="1"/>
    <col min="9" max="9" width="12.5703125" customWidth="1"/>
    <col min="11" max="11" width="10" customWidth="1"/>
  </cols>
  <sheetData>
    <row r="3" spans="3:15">
      <c r="C3" s="138" t="s">
        <v>208</v>
      </c>
      <c r="D3" s="138"/>
      <c r="E3" s="138"/>
      <c r="G3" s="27" t="s">
        <v>136</v>
      </c>
      <c r="H3" s="27"/>
      <c r="I3" s="27"/>
      <c r="K3" s="118" t="s">
        <v>209</v>
      </c>
      <c r="L3" s="118"/>
      <c r="M3" s="118"/>
      <c r="N3" s="118"/>
      <c r="O3" s="119"/>
    </row>
    <row r="4" spans="3:15">
      <c r="C4" s="71" t="s">
        <v>210</v>
      </c>
      <c r="D4" s="71">
        <v>23.71</v>
      </c>
      <c r="E4" s="71" t="s">
        <v>202</v>
      </c>
      <c r="G4" s="27" t="s">
        <v>211</v>
      </c>
      <c r="H4" s="27">
        <v>2.6989999999999998</v>
      </c>
      <c r="I4" s="27" t="s">
        <v>161</v>
      </c>
      <c r="K4" s="40">
        <v>0.02</v>
      </c>
      <c r="L4" s="40" t="s">
        <v>212</v>
      </c>
      <c r="M4" s="117" t="s">
        <v>129</v>
      </c>
      <c r="N4" s="40"/>
      <c r="O4" s="120"/>
    </row>
    <row r="5" spans="3:15">
      <c r="C5" s="71" t="s">
        <v>213</v>
      </c>
      <c r="D5" s="71">
        <v>70</v>
      </c>
      <c r="E5" s="71" t="s">
        <v>205</v>
      </c>
      <c r="G5" s="27" t="s">
        <v>214</v>
      </c>
      <c r="H5" s="27">
        <v>318</v>
      </c>
      <c r="I5" s="27" t="s">
        <v>215</v>
      </c>
      <c r="K5" s="40">
        <v>9.3000000000000007</v>
      </c>
      <c r="L5" s="40" t="s">
        <v>165</v>
      </c>
      <c r="M5" s="40"/>
      <c r="N5" s="40"/>
    </row>
    <row r="6" spans="3:15">
      <c r="C6" s="71" t="s">
        <v>216</v>
      </c>
      <c r="D6" s="71">
        <v>20.67</v>
      </c>
      <c r="E6" s="71" t="s">
        <v>198</v>
      </c>
      <c r="G6" s="27" t="s">
        <v>217</v>
      </c>
      <c r="H6" s="27">
        <v>2</v>
      </c>
      <c r="I6" s="27" t="s">
        <v>164</v>
      </c>
    </row>
    <row r="8" spans="3:15">
      <c r="C8" s="139" t="s">
        <v>218</v>
      </c>
      <c r="D8" s="139"/>
      <c r="E8" s="65">
        <v>4.7699999999999996</v>
      </c>
      <c r="F8" s="65" t="s">
        <v>198</v>
      </c>
      <c r="G8" s="65"/>
      <c r="H8" s="65"/>
      <c r="I8" s="65"/>
    </row>
    <row r="9" spans="3:15">
      <c r="C9" s="139" t="s">
        <v>219</v>
      </c>
      <c r="D9" s="139"/>
      <c r="E9" s="139"/>
      <c r="F9" s="139"/>
      <c r="G9" s="139"/>
      <c r="H9" s="65">
        <f>D6-E8</f>
        <v>15.900000000000002</v>
      </c>
      <c r="I9" s="65" t="s">
        <v>198</v>
      </c>
    </row>
    <row r="11" spans="3:15">
      <c r="C11" s="140" t="s">
        <v>220</v>
      </c>
      <c r="D11" s="140"/>
      <c r="E11" s="140"/>
    </row>
    <row r="12" spans="3:15">
      <c r="C12" s="50" t="s">
        <v>210</v>
      </c>
      <c r="D12" s="50">
        <f>D4*K4*H4</f>
        <v>1.2798658000000001</v>
      </c>
      <c r="E12" s="50" t="s">
        <v>221</v>
      </c>
    </row>
    <row r="13" spans="3:15">
      <c r="C13" s="50" t="s">
        <v>213</v>
      </c>
      <c r="D13" s="50">
        <f>D5*(H5/1000)</f>
        <v>22.26</v>
      </c>
      <c r="E13" s="50" t="s">
        <v>221</v>
      </c>
    </row>
    <row r="14" spans="3:15">
      <c r="C14" s="50" t="s">
        <v>216</v>
      </c>
      <c r="D14" s="50">
        <f>D6*(H6*0.001)*K5</f>
        <v>0.38446200000000003</v>
      </c>
      <c r="E14" s="50" t="s">
        <v>221</v>
      </c>
    </row>
    <row r="15" spans="3:15">
      <c r="C15" s="50" t="s">
        <v>222</v>
      </c>
      <c r="D15" s="50">
        <f>D12+D13+D14</f>
        <v>23.9243278</v>
      </c>
      <c r="E15" s="50" t="s">
        <v>221</v>
      </c>
    </row>
    <row r="18" spans="3:7">
      <c r="C18" s="137" t="s">
        <v>223</v>
      </c>
      <c r="D18" s="137"/>
      <c r="E18" s="137"/>
      <c r="F18" s="137"/>
      <c r="G18" s="137"/>
    </row>
    <row r="19" spans="3:7">
      <c r="C19" s="122">
        <f>D15*7/6</f>
        <v>27.911715766666664</v>
      </c>
      <c r="D19" s="122" t="s">
        <v>221</v>
      </c>
      <c r="E19" s="137" t="s">
        <v>224</v>
      </c>
      <c r="F19" s="137"/>
      <c r="G19" s="122"/>
    </row>
  </sheetData>
  <mergeCells count="6">
    <mergeCell ref="C18:G18"/>
    <mergeCell ref="E19:F19"/>
    <mergeCell ref="C3:E3"/>
    <mergeCell ref="C8:D8"/>
    <mergeCell ref="C9:G9"/>
    <mergeCell ref="C11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20883-0352-4A75-8D12-711832746851}">
  <dimension ref="C4:J19"/>
  <sheetViews>
    <sheetView workbookViewId="0"/>
  </sheetViews>
  <sheetFormatPr defaultColWidth="11.42578125" defaultRowHeight="15"/>
  <cols>
    <col min="6" max="6" width="13" customWidth="1"/>
    <col min="7" max="7" width="13.42578125" bestFit="1" customWidth="1"/>
  </cols>
  <sheetData>
    <row r="4" spans="3:10">
      <c r="C4" s="5" t="s">
        <v>225</v>
      </c>
    </row>
    <row r="5" spans="3:10">
      <c r="C5" s="71" t="s">
        <v>226</v>
      </c>
      <c r="D5" s="71"/>
      <c r="E5" s="71"/>
      <c r="F5" s="144" t="s">
        <v>227</v>
      </c>
      <c r="G5" s="144"/>
      <c r="H5" s="144"/>
      <c r="I5" s="134"/>
      <c r="J5" s="134"/>
    </row>
    <row r="6" spans="3:10">
      <c r="C6" s="71">
        <v>194.6</v>
      </c>
      <c r="D6" s="71" t="s">
        <v>228</v>
      </c>
      <c r="E6" s="71"/>
      <c r="F6" s="130">
        <v>23.89</v>
      </c>
      <c r="G6" s="130" t="s">
        <v>117</v>
      </c>
      <c r="H6" s="130"/>
      <c r="I6" s="134"/>
      <c r="J6" s="134"/>
    </row>
    <row r="7" spans="3:10">
      <c r="C7" s="40" t="s">
        <v>138</v>
      </c>
      <c r="D7" s="40"/>
      <c r="E7" s="40"/>
      <c r="F7" s="130">
        <f>F6*24*365</f>
        <v>209276.4</v>
      </c>
      <c r="G7" s="130" t="s">
        <v>229</v>
      </c>
      <c r="H7" s="130"/>
      <c r="I7" s="134"/>
      <c r="J7" s="134"/>
    </row>
    <row r="8" spans="3:10">
      <c r="C8" s="40" t="s">
        <v>230</v>
      </c>
      <c r="D8" s="40" t="s">
        <v>142</v>
      </c>
      <c r="E8" s="40" t="s">
        <v>20</v>
      </c>
      <c r="F8" s="75" t="s">
        <v>231</v>
      </c>
      <c r="G8" s="75">
        <v>8.35</v>
      </c>
      <c r="H8" s="75" t="s">
        <v>221</v>
      </c>
      <c r="I8" s="75"/>
      <c r="J8" s="75"/>
    </row>
    <row r="9" spans="3:10">
      <c r="C9" s="142" t="s">
        <v>232</v>
      </c>
      <c r="D9" s="142"/>
      <c r="E9" s="142"/>
      <c r="F9" s="141" t="s">
        <v>233</v>
      </c>
      <c r="G9" s="141"/>
      <c r="H9" s="141"/>
      <c r="I9" s="75">
        <f>(G8/0.8)*C6*1000*1000</f>
        <v>2031137499.9999995</v>
      </c>
      <c r="J9" s="75" t="s">
        <v>221</v>
      </c>
    </row>
    <row r="10" spans="3:10">
      <c r="C10" s="27"/>
      <c r="D10" s="27"/>
      <c r="E10" s="27"/>
      <c r="F10" s="27" t="s">
        <v>234</v>
      </c>
      <c r="G10" s="27" t="s">
        <v>235</v>
      </c>
      <c r="H10" s="133"/>
      <c r="I10" s="133"/>
      <c r="J10" s="133"/>
    </row>
    <row r="11" spans="3:10">
      <c r="C11" s="143" t="s">
        <v>236</v>
      </c>
      <c r="D11" s="143"/>
      <c r="E11" s="143"/>
      <c r="F11" s="27">
        <v>1284</v>
      </c>
      <c r="G11" s="27">
        <v>1898</v>
      </c>
      <c r="H11" s="133"/>
      <c r="I11" s="133"/>
      <c r="J11" s="133"/>
    </row>
    <row r="12" spans="3:10">
      <c r="C12" s="27" t="s">
        <v>237</v>
      </c>
      <c r="D12" s="27"/>
      <c r="E12" s="27"/>
      <c r="F12" s="27">
        <v>183</v>
      </c>
      <c r="G12" s="27">
        <v>235</v>
      </c>
      <c r="H12" s="133"/>
      <c r="I12" s="133"/>
      <c r="J12" s="133"/>
    </row>
    <row r="13" spans="3:10">
      <c r="C13" s="143" t="s">
        <v>238</v>
      </c>
      <c r="D13" s="143"/>
      <c r="E13" s="143"/>
      <c r="F13" s="27">
        <f>(F12/F11)*100</f>
        <v>14.252336448598129</v>
      </c>
      <c r="G13" s="27">
        <f>(G12/G11)*100</f>
        <v>12.38145416227608</v>
      </c>
      <c r="H13" s="133"/>
      <c r="I13" s="133"/>
      <c r="J13" s="133"/>
    </row>
    <row r="19" spans="4:4">
      <c r="D19" s="5"/>
    </row>
  </sheetData>
  <mergeCells count="5">
    <mergeCell ref="F9:H9"/>
    <mergeCell ref="C9:E9"/>
    <mergeCell ref="C11:E11"/>
    <mergeCell ref="C13:E13"/>
    <mergeCell ref="F5:H5"/>
  </mergeCells>
  <hyperlinks>
    <hyperlink ref="C4" r:id="rId1" xr:uid="{52718DE0-C341-4D49-8537-B4ACAAA7F82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2020-02-11T11:34:48Z</dcterms:created>
  <dcterms:modified xsi:type="dcterms:W3CDTF">2020-06-08T00:00:08Z</dcterms:modified>
  <cp:category/>
  <cp:contentStatus/>
</cp:coreProperties>
</file>