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ukere\stoas040997\Dokumenter\Skole\Allmenn maskinteknikk\Bachelor\"/>
    </mc:Choice>
  </mc:AlternateContent>
  <xr:revisionPtr revIDLastSave="0" documentId="13_ncr:1_{F5C4AD6A-6F9D-452C-ACBE-F52CAEE9EE17}" xr6:coauthVersionLast="45" xr6:coauthVersionMax="45" xr10:uidLastSave="{00000000-0000-0000-0000-000000000000}"/>
  <bookViews>
    <workbookView xWindow="-120" yWindow="-120" windowWidth="20730" windowHeight="11160" activeTab="1" xr2:uid="{56D57C40-8CF7-471B-B30A-383243CD8929}"/>
  </bookViews>
  <sheets>
    <sheet name="Masse" sheetId="1" r:id="rId1"/>
    <sheet name="Utbalansering" sheetId="4" r:id="rId2"/>
    <sheet name="Geometri" sheetId="3" r:id="rId3"/>
    <sheet name="(Aks og krefter)" sheetId="2" r:id="rId4"/>
  </sheets>
  <definedNames>
    <definedName name="_xlnm.Print_Area" localSheetId="0">Masse!$A$1:$L$81</definedName>
    <definedName name="_xlnm.Print_Area" localSheetId="1">Utbalansering!$A$1:$H$52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3" i="1" l="1"/>
  <c r="D45" i="4" l="1"/>
  <c r="D41" i="4"/>
  <c r="F21" i="1" l="1"/>
  <c r="F20" i="1"/>
  <c r="F18" i="1"/>
  <c r="F17" i="1"/>
  <c r="F14" i="1"/>
  <c r="F15" i="1"/>
  <c r="D79" i="1"/>
  <c r="D69" i="1"/>
  <c r="H70" i="1"/>
  <c r="D68" i="1"/>
  <c r="D60" i="1"/>
  <c r="D3" i="2" l="1"/>
  <c r="D19" i="3"/>
  <c r="D4" i="3"/>
  <c r="F4" i="2" s="1"/>
  <c r="F3" i="2"/>
  <c r="H3" i="2"/>
  <c r="D23" i="1"/>
  <c r="D42" i="1"/>
  <c r="I4" i="2"/>
  <c r="D4" i="2"/>
  <c r="I3" i="2"/>
  <c r="D15" i="3"/>
  <c r="D10" i="3"/>
  <c r="F22" i="1"/>
  <c r="F26" i="1"/>
  <c r="D29" i="1" s="1"/>
  <c r="D58" i="1" s="1"/>
  <c r="F45" i="1"/>
  <c r="D49" i="1" s="1"/>
  <c r="D66" i="1" s="1"/>
  <c r="F13" i="1"/>
  <c r="F16" i="1"/>
  <c r="F19" i="1"/>
  <c r="F12" i="1"/>
  <c r="F23" i="1" s="1"/>
  <c r="E4" i="2" l="1"/>
  <c r="C3" i="2"/>
  <c r="G3" i="2"/>
  <c r="C4" i="2"/>
  <c r="G4" i="2"/>
  <c r="H4" i="2"/>
  <c r="E3" i="2"/>
  <c r="D30" i="1"/>
  <c r="D52" i="1" s="1"/>
  <c r="D57" i="1" s="1"/>
  <c r="D61" i="1" s="1"/>
  <c r="J61" i="1" s="1"/>
  <c r="D48" i="1"/>
  <c r="F35" i="1"/>
  <c r="F36" i="1"/>
  <c r="F37" i="1"/>
  <c r="F34" i="1"/>
  <c r="F42" i="1" l="1"/>
  <c r="I61" i="1"/>
  <c r="I8" i="2"/>
  <c r="C8" i="2"/>
  <c r="F8" i="2"/>
  <c r="H8" i="2"/>
  <c r="E8" i="2"/>
  <c r="D8" i="2"/>
  <c r="D53" i="1"/>
  <c r="D65" i="1" s="1"/>
  <c r="D70" i="1" s="1"/>
  <c r="J70" i="1" l="1"/>
  <c r="J73" i="1" s="1"/>
  <c r="I70" i="1"/>
  <c r="D9" i="2"/>
  <c r="C9" i="2"/>
  <c r="E9" i="2"/>
  <c r="H9" i="2"/>
  <c r="F9" i="2"/>
  <c r="I9" i="2"/>
  <c r="I73" i="1" l="1"/>
  <c r="D74" i="1" s="1"/>
  <c r="K70" i="1" l="1"/>
  <c r="K61" i="1"/>
  <c r="D75" i="1"/>
  <c r="D7" i="1"/>
  <c r="C4" i="4" s="1"/>
  <c r="D76" i="1"/>
  <c r="C5" i="4" l="1"/>
  <c r="C6" i="4" s="1"/>
  <c r="C7" i="4"/>
  <c r="D50" i="4" s="1"/>
  <c r="D51" i="4" s="1"/>
  <c r="C3" i="4"/>
  <c r="D14" i="4" s="1"/>
  <c r="D20" i="4" s="1"/>
  <c r="D77" i="1"/>
  <c r="D78" i="1"/>
  <c r="F7" i="1"/>
  <c r="D6" i="1"/>
  <c r="D15" i="4" l="1"/>
  <c r="D29" i="4" s="1"/>
  <c r="D31" i="4" s="1"/>
  <c r="D46" i="4" s="1"/>
  <c r="D47" i="4" s="1"/>
  <c r="D22" i="4"/>
  <c r="D42" i="4" s="1"/>
  <c r="D43" i="4" s="1"/>
  <c r="D23" i="4"/>
  <c r="D32" i="4" l="1"/>
  <c r="D36" i="4" s="1"/>
  <c r="D16" i="4"/>
  <c r="D34" i="4"/>
  <c r="D33" i="4"/>
  <c r="D25" i="4"/>
  <c r="D24" i="4"/>
</calcChain>
</file>

<file path=xl/sharedStrings.xml><?xml version="1.0" encoding="utf-8"?>
<sst xmlns="http://schemas.openxmlformats.org/spreadsheetml/2006/main" count="328" uniqueCount="196">
  <si>
    <t>Utregning av balansekrefter Sigma LT-versjon</t>
  </si>
  <si>
    <t>Ubalanse</t>
  </si>
  <si>
    <t>Vektorstørrelse</t>
  </si>
  <si>
    <t>kg*m</t>
  </si>
  <si>
    <t>Vektorvinkel</t>
  </si>
  <si>
    <t>rad</t>
  </si>
  <si>
    <t>°</t>
  </si>
  <si>
    <t>Masser</t>
  </si>
  <si>
    <t>Volum</t>
  </si>
  <si>
    <t>masse</t>
  </si>
  <si>
    <t>Oscillerende deler arbeidsstempelet</t>
  </si>
  <si>
    <t>Arbeidsstempel</t>
  </si>
  <si>
    <r>
      <t>mm</t>
    </r>
    <r>
      <rPr>
        <vertAlign val="superscript"/>
        <sz val="11"/>
        <color theme="1"/>
        <rFont val="Calibri"/>
        <family val="2"/>
        <scheme val="minor"/>
      </rPr>
      <t>3</t>
    </r>
  </si>
  <si>
    <t>g</t>
  </si>
  <si>
    <t>Sealunit (kobberring)</t>
  </si>
  <si>
    <t>O-ring i sealunit</t>
  </si>
  <si>
    <t>Teflonringer i sealunit</t>
  </si>
  <si>
    <t>Stempelring teflon (stor)</t>
  </si>
  <si>
    <t>O-ringer arbeidsstempel</t>
  </si>
  <si>
    <t>Stempelringer teflon (x2)</t>
  </si>
  <si>
    <t>Krysshode_A</t>
  </si>
  <si>
    <t>Kulebøsninger (x2)</t>
  </si>
  <si>
    <t>Kulelager A.KH 2x(NA4905.2RS)</t>
  </si>
  <si>
    <t>Stempelstang_A</t>
  </si>
  <si>
    <t>Arbeidsstempel med fastsittende deler</t>
  </si>
  <si>
    <t>Arbeidsstempel veivstang (x2)</t>
  </si>
  <si>
    <t>Veivstang</t>
  </si>
  <si>
    <t>Tyngdepunktets avstand til veivbuktlager</t>
  </si>
  <si>
    <r>
      <t>l</t>
    </r>
    <r>
      <rPr>
        <vertAlign val="subscript"/>
        <sz val="11"/>
        <color theme="1"/>
        <rFont val="Calibri"/>
        <family val="2"/>
        <scheme val="minor"/>
      </rPr>
      <t>F-r</t>
    </r>
  </si>
  <si>
    <t>mm</t>
  </si>
  <si>
    <t>Lengde veivbuktlager til krysshode</t>
  </si>
  <si>
    <t>Roterende masse 1 stang</t>
  </si>
  <si>
    <r>
      <t>m</t>
    </r>
    <r>
      <rPr>
        <vertAlign val="subscript"/>
        <sz val="11"/>
        <color theme="1"/>
        <rFont val="Calibri"/>
        <family val="2"/>
        <scheme val="minor"/>
      </rPr>
      <t>a-rs</t>
    </r>
  </si>
  <si>
    <t>Oscillerende masse 1 stang</t>
  </si>
  <si>
    <r>
      <t>m</t>
    </r>
    <r>
      <rPr>
        <vertAlign val="subscript"/>
        <sz val="11"/>
        <color theme="1"/>
        <rFont val="Calibri"/>
        <family val="2"/>
        <scheme val="minor"/>
      </rPr>
      <t>a-os</t>
    </r>
  </si>
  <si>
    <t>Oscillerende deler fortrengerstempelet</t>
  </si>
  <si>
    <t>Fortrengerstempel</t>
  </si>
  <si>
    <t>Fortrengerstempelstang</t>
  </si>
  <si>
    <t>Fortrenger krysshode</t>
  </si>
  <si>
    <t>Krysspinne</t>
  </si>
  <si>
    <t>Kulelager F.KH (NA4902)</t>
  </si>
  <si>
    <t>Styreskiver?</t>
  </si>
  <si>
    <t>Låseringer</t>
  </si>
  <si>
    <t>Forskyverstempel med fastsittende deler</t>
  </si>
  <si>
    <t>F.stempel veivstang</t>
  </si>
  <si>
    <t>Masse av veivstang</t>
  </si>
  <si>
    <r>
      <t>l</t>
    </r>
    <r>
      <rPr>
        <vertAlign val="subscript"/>
        <sz val="11"/>
        <color theme="1"/>
        <rFont val="Calibri"/>
        <family val="2"/>
        <scheme val="minor"/>
      </rPr>
      <t>A-r</t>
    </r>
  </si>
  <si>
    <t>Roterende masse</t>
  </si>
  <si>
    <r>
      <t>m</t>
    </r>
    <r>
      <rPr>
        <vertAlign val="subscript"/>
        <sz val="11"/>
        <color theme="1"/>
        <rFont val="Calibri"/>
        <family val="2"/>
        <scheme val="minor"/>
      </rPr>
      <t>f-rs</t>
    </r>
  </si>
  <si>
    <t>Oscillerende masse</t>
  </si>
  <si>
    <r>
      <t>m</t>
    </r>
    <r>
      <rPr>
        <vertAlign val="subscript"/>
        <sz val="11"/>
        <color theme="1"/>
        <rFont val="Calibri"/>
        <family val="2"/>
        <scheme val="minor"/>
      </rPr>
      <t>f-os</t>
    </r>
  </si>
  <si>
    <t>Resulterende massedata</t>
  </si>
  <si>
    <t>Oscillerende masse arbeidsstempel</t>
  </si>
  <si>
    <r>
      <t>m</t>
    </r>
    <r>
      <rPr>
        <vertAlign val="subscript"/>
        <sz val="11"/>
        <color theme="1"/>
        <rFont val="Calibri"/>
        <family val="2"/>
        <scheme val="minor"/>
      </rPr>
      <t>a-o</t>
    </r>
  </si>
  <si>
    <t>Oscillerende masse fortrengerstempel</t>
  </si>
  <si>
    <r>
      <t>m</t>
    </r>
    <r>
      <rPr>
        <vertAlign val="subscript"/>
        <sz val="11"/>
        <color theme="1"/>
        <rFont val="Calibri"/>
        <family val="2"/>
        <scheme val="minor"/>
      </rPr>
      <t>f-o</t>
    </r>
  </si>
  <si>
    <t>Roterende deler koblet til arbeidsstempelet</t>
  </si>
  <si>
    <t>radius [mm]</t>
  </si>
  <si>
    <t>symbol</t>
  </si>
  <si>
    <t>vinkel</t>
  </si>
  <si>
    <r>
      <t>m*r</t>
    </r>
    <r>
      <rPr>
        <vertAlign val="subscript"/>
        <sz val="11"/>
        <color theme="1"/>
        <rFont val="Calibri"/>
        <family val="2"/>
        <scheme val="minor"/>
      </rPr>
      <t>ax</t>
    </r>
    <r>
      <rPr>
        <sz val="11"/>
        <color theme="1"/>
        <rFont val="Calibri"/>
        <family val="2"/>
        <scheme val="minor"/>
      </rPr>
      <t xml:space="preserve"> (kg*mm)</t>
    </r>
  </si>
  <si>
    <r>
      <t>m*r</t>
    </r>
    <r>
      <rPr>
        <vertAlign val="subscript"/>
        <sz val="11"/>
        <color theme="1"/>
        <rFont val="Calibri"/>
        <family val="2"/>
        <scheme val="minor"/>
      </rPr>
      <t>ay</t>
    </r>
    <r>
      <rPr>
        <sz val="11"/>
        <color theme="1"/>
        <rFont val="Calibri"/>
        <family val="2"/>
        <scheme val="minor"/>
      </rPr>
      <t xml:space="preserve"> (kg*mm)</t>
    </r>
  </si>
  <si>
    <r>
      <t>m*r</t>
    </r>
    <r>
      <rPr>
        <vertAlign val="subscript"/>
        <sz val="11"/>
        <color theme="1"/>
        <rFont val="Calibri"/>
        <family val="2"/>
        <scheme val="minor"/>
      </rPr>
      <t>A-b</t>
    </r>
  </si>
  <si>
    <t>50% av oscillerende masse</t>
  </si>
  <si>
    <r>
      <t>0,5*m</t>
    </r>
    <r>
      <rPr>
        <vertAlign val="subscript"/>
        <sz val="11"/>
        <color theme="1"/>
        <rFont val="Calibri"/>
        <family val="2"/>
        <scheme val="minor"/>
      </rPr>
      <t>a-o</t>
    </r>
  </si>
  <si>
    <t>Roterende masse av 2 arbeidsstempel veivstenger</t>
  </si>
  <si>
    <t>Lager veivaksel (x2) RNA 4906.2RS</t>
  </si>
  <si>
    <t>Veivbukt Ø35mm*18mm?</t>
  </si>
  <si>
    <r>
      <t>Eksentrisk masse ved r = 10mm, 0</t>
    </r>
    <r>
      <rPr>
        <b/>
        <sz val="11"/>
        <color theme="1"/>
        <rFont val="Calibri"/>
        <family val="2"/>
      </rPr>
      <t>°</t>
    </r>
  </si>
  <si>
    <r>
      <rPr>
        <b/>
        <sz val="11"/>
        <color theme="1"/>
        <rFont val="Calibri"/>
        <family val="2"/>
        <scheme val="minor"/>
      </rPr>
      <t>m</t>
    </r>
    <r>
      <rPr>
        <b/>
        <vertAlign val="subscript"/>
        <sz val="11"/>
        <color theme="1"/>
        <rFont val="Calibri"/>
        <family val="2"/>
        <scheme val="minor"/>
      </rPr>
      <t>a</t>
    </r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</si>
  <si>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</si>
  <si>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Roterende deler koblet til fortrengerstempelet</t>
  </si>
  <si>
    <r>
      <t>m*r</t>
    </r>
    <r>
      <rPr>
        <vertAlign val="subscript"/>
        <sz val="11"/>
        <color theme="1"/>
        <rFont val="Calibri"/>
        <family val="2"/>
        <scheme val="minor"/>
      </rPr>
      <t>fx</t>
    </r>
  </si>
  <si>
    <r>
      <t>m*r</t>
    </r>
    <r>
      <rPr>
        <vertAlign val="subscript"/>
        <sz val="11"/>
        <color theme="1"/>
        <rFont val="Calibri"/>
        <family val="2"/>
        <scheme val="minor"/>
      </rPr>
      <t>fy</t>
    </r>
  </si>
  <si>
    <r>
      <t>m*r</t>
    </r>
    <r>
      <rPr>
        <vertAlign val="subscript"/>
        <sz val="11"/>
        <color theme="1"/>
        <rFont val="Calibri"/>
        <family val="2"/>
        <scheme val="minor"/>
      </rPr>
      <t>F-b</t>
    </r>
  </si>
  <si>
    <r>
      <t>0,5*m</t>
    </r>
    <r>
      <rPr>
        <vertAlign val="subscript"/>
        <sz val="11"/>
        <color theme="1"/>
        <rFont val="Calibri"/>
        <family val="2"/>
        <scheme val="minor"/>
      </rPr>
      <t>f-o</t>
    </r>
  </si>
  <si>
    <t>Roterende masse av fortrengerstempel veivstenger</t>
  </si>
  <si>
    <t>Veivbukt Ø35mm*18mm</t>
  </si>
  <si>
    <t>2 guideringer Ø55mm*20 mm, r=19mm</t>
  </si>
  <si>
    <r>
      <t>Eksentrisk masse ved r=19mm, 80</t>
    </r>
    <r>
      <rPr>
        <b/>
        <sz val="11"/>
        <color theme="1"/>
        <rFont val="Calibri"/>
        <family val="2"/>
      </rPr>
      <t>°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</si>
  <si>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</si>
  <si>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</si>
  <si>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t>kg*mm</t>
  </si>
  <si>
    <t>Komplett utbalansering</t>
  </si>
  <si>
    <r>
      <t>(m*r)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[kg*mm]</t>
    </r>
  </si>
  <si>
    <r>
      <t>(m*r)</t>
    </r>
    <r>
      <rPr>
        <vertAlign val="subscript"/>
        <sz val="11"/>
        <color theme="1"/>
        <rFont val="Calibri"/>
        <family val="2"/>
        <scheme val="minor"/>
      </rPr>
      <t>y</t>
    </r>
  </si>
  <si>
    <r>
      <t>radius til m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[mm]</t>
    </r>
  </si>
  <si>
    <t>Vektorsum</t>
  </si>
  <si>
    <t>Kraftvinkel (radianer)</t>
  </si>
  <si>
    <t>θ</t>
  </si>
  <si>
    <t>Kraftvinkel (grader)</t>
  </si>
  <si>
    <t>Vektorlengde</t>
  </si>
  <si>
    <r>
      <t>(m*r)</t>
    </r>
    <r>
      <rPr>
        <vertAlign val="subscript"/>
        <sz val="11"/>
        <color theme="1"/>
        <rFont val="Calibri"/>
        <family val="2"/>
        <scheme val="minor"/>
      </rPr>
      <t>v</t>
    </r>
  </si>
  <si>
    <t>Tilsvarer følgende masse ved r = ?, se K70</t>
  </si>
  <si>
    <r>
      <t>m</t>
    </r>
    <r>
      <rPr>
        <vertAlign val="subscript"/>
        <sz val="11"/>
        <color theme="1"/>
        <rFont val="Calibri"/>
        <family val="2"/>
        <scheme val="minor"/>
      </rPr>
      <t>v</t>
    </r>
  </si>
  <si>
    <t>kg</t>
  </si>
  <si>
    <t>Nødvendig utbalanseringskraft</t>
  </si>
  <si>
    <r>
      <t>F</t>
    </r>
    <r>
      <rPr>
        <vertAlign val="subscript"/>
        <sz val="11"/>
        <color theme="1"/>
        <rFont val="Calibri"/>
        <family val="2"/>
        <scheme val="minor"/>
      </rPr>
      <t>v</t>
    </r>
  </si>
  <si>
    <t>N</t>
  </si>
  <si>
    <t>Omega</t>
  </si>
  <si>
    <t>ω</t>
  </si>
  <si>
    <t>1/s</t>
  </si>
  <si>
    <t>Ubalansevektor</t>
  </si>
  <si>
    <t>Størrelse</t>
  </si>
  <si>
    <t>Retning</t>
  </si>
  <si>
    <t>Utbalanseringen skal derfor være i en vinkel av</t>
  </si>
  <si>
    <t>Det vil si, i positiv retning fra arbeidsveivbukten</t>
  </si>
  <si>
    <t>grader</t>
  </si>
  <si>
    <t xml:space="preserve">Tilsvarer hull ved </t>
  </si>
  <si>
    <t>Dimensjoner</t>
  </si>
  <si>
    <t>Avstand til senter av svinghjul (fra motorsenter)</t>
  </si>
  <si>
    <r>
      <t>l</t>
    </r>
    <r>
      <rPr>
        <vertAlign val="subscript"/>
        <sz val="10"/>
        <rFont val="Arial"/>
        <family val="2"/>
      </rPr>
      <t>s</t>
    </r>
  </si>
  <si>
    <t>Avstand til senter av balansevekt på motsatt side</t>
  </si>
  <si>
    <r>
      <t>l</t>
    </r>
    <r>
      <rPr>
        <vertAlign val="subscript"/>
        <sz val="10"/>
        <rFont val="Arial"/>
        <family val="2"/>
      </rPr>
      <t>m</t>
    </r>
  </si>
  <si>
    <t>Beregning av balansevektorer</t>
  </si>
  <si>
    <t>Balansevektor sentrert i svinghjulets lengde</t>
  </si>
  <si>
    <t>Balansevektor på motsatt side</t>
  </si>
  <si>
    <t>Sjekksum</t>
  </si>
  <si>
    <t>Beregning av balansevekt i svinghjul</t>
  </si>
  <si>
    <t>Eksentrisitet</t>
  </si>
  <si>
    <r>
      <t>e</t>
    </r>
    <r>
      <rPr>
        <vertAlign val="subscript"/>
        <sz val="10"/>
        <rFont val="Arial"/>
        <family val="2"/>
      </rPr>
      <t>s</t>
    </r>
  </si>
  <si>
    <t>Hullmasse</t>
  </si>
  <si>
    <r>
      <t>m</t>
    </r>
    <r>
      <rPr>
        <vertAlign val="subscript"/>
        <sz val="10"/>
        <rFont val="Arial"/>
        <family val="2"/>
      </rPr>
      <t>s</t>
    </r>
  </si>
  <si>
    <t>dybde</t>
  </si>
  <si>
    <r>
      <t>d</t>
    </r>
    <r>
      <rPr>
        <vertAlign val="subscript"/>
        <sz val="10"/>
        <rFont val="Arial"/>
        <family val="2"/>
      </rPr>
      <t>s</t>
    </r>
  </si>
  <si>
    <t>Kan realiseres som hull med diameter</t>
  </si>
  <si>
    <r>
      <t>⌀</t>
    </r>
    <r>
      <rPr>
        <vertAlign val="subscript"/>
        <sz val="10"/>
        <rFont val="Arial"/>
        <family val="2"/>
      </rPr>
      <t>s</t>
    </r>
  </si>
  <si>
    <t>7850=tetthet</t>
  </si>
  <si>
    <t>Balansekraft</t>
  </si>
  <si>
    <r>
      <t>F</t>
    </r>
    <r>
      <rPr>
        <vertAlign val="subscript"/>
        <sz val="10"/>
        <rFont val="Arial"/>
        <family val="2"/>
      </rPr>
      <t>s</t>
    </r>
  </si>
  <si>
    <t>Ytterste punkt på hullet tangeres av en sirkel med ø</t>
  </si>
  <si>
    <t>m</t>
  </si>
  <si>
    <t>Innerste punkt på hullet tangeres av sirkel med diameter</t>
  </si>
  <si>
    <t>Beregning av balansevekt på motsatt side</t>
  </si>
  <si>
    <t>Som hull med eksentrisitet</t>
  </si>
  <si>
    <r>
      <t>e</t>
    </r>
    <r>
      <rPr>
        <vertAlign val="subscript"/>
        <sz val="10"/>
        <rFont val="Arial"/>
        <family val="2"/>
      </rPr>
      <t>m</t>
    </r>
  </si>
  <si>
    <r>
      <t>m</t>
    </r>
    <r>
      <rPr>
        <vertAlign val="subscript"/>
        <sz val="10"/>
        <rFont val="Arial"/>
        <family val="2"/>
      </rPr>
      <t>m</t>
    </r>
  </si>
  <si>
    <r>
      <t>d</t>
    </r>
    <r>
      <rPr>
        <vertAlign val="subscript"/>
        <sz val="10"/>
        <rFont val="Arial"/>
        <family val="2"/>
      </rPr>
      <t>m</t>
    </r>
  </si>
  <si>
    <t>og diameter</t>
  </si>
  <si>
    <r>
      <rPr>
        <sz val="11"/>
        <color rgb="FF222222"/>
        <rFont val="Arial"/>
        <family val="2"/>
      </rPr>
      <t>⌀</t>
    </r>
    <r>
      <rPr>
        <vertAlign val="subscript"/>
        <sz val="11"/>
        <color rgb="FF222222"/>
        <rFont val="Arial"/>
        <family val="2"/>
      </rPr>
      <t>m</t>
    </r>
  </si>
  <si>
    <r>
      <t>F</t>
    </r>
    <r>
      <rPr>
        <vertAlign val="subscript"/>
        <sz val="10"/>
        <rFont val="Arial"/>
        <family val="2"/>
      </rPr>
      <t>m</t>
    </r>
  </si>
  <si>
    <t>Summen av balansekrefter</t>
  </si>
  <si>
    <t>Nytt vs. Gammelt</t>
  </si>
  <si>
    <t>Svinghjul</t>
  </si>
  <si>
    <t>Gammel diameter</t>
  </si>
  <si>
    <t>Ny diameter</t>
  </si>
  <si>
    <r>
      <t>⌀</t>
    </r>
    <r>
      <rPr>
        <vertAlign val="subscript"/>
        <sz val="11"/>
        <color theme="1"/>
        <rFont val="Calibri"/>
        <family val="2"/>
      </rPr>
      <t>s</t>
    </r>
  </si>
  <si>
    <t>Differanse</t>
  </si>
  <si>
    <r>
      <t>Δ⌀</t>
    </r>
    <r>
      <rPr>
        <vertAlign val="subscript"/>
        <sz val="11"/>
        <color theme="1"/>
        <rFont val="Calibri"/>
        <family val="2"/>
      </rPr>
      <t>s</t>
    </r>
  </si>
  <si>
    <t>Motvekter</t>
  </si>
  <si>
    <r>
      <t>⌀</t>
    </r>
    <r>
      <rPr>
        <vertAlign val="subscript"/>
        <sz val="11"/>
        <color theme="1"/>
        <rFont val="Calibri"/>
        <family val="2"/>
        <scheme val="minor"/>
      </rPr>
      <t>m</t>
    </r>
  </si>
  <si>
    <r>
      <t>Δ⌀</t>
    </r>
    <r>
      <rPr>
        <vertAlign val="subscript"/>
        <sz val="11"/>
        <color theme="1"/>
        <rFont val="Calibri"/>
        <family val="2"/>
        <scheme val="minor"/>
      </rPr>
      <t>m</t>
    </r>
  </si>
  <si>
    <t>Vinkel mellom utbalanseringshull og topp arbeidsstempel</t>
  </si>
  <si>
    <t>Ny vinkel</t>
  </si>
  <si>
    <t>Motorens turtall</t>
  </si>
  <si>
    <t>n</t>
  </si>
  <si>
    <t>rpm</t>
  </si>
  <si>
    <t>Faseforskyvning</t>
  </si>
  <si>
    <t>Radius F.veivskinke</t>
  </si>
  <si>
    <r>
      <t>R</t>
    </r>
    <r>
      <rPr>
        <vertAlign val="subscript"/>
        <sz val="11"/>
        <color theme="1"/>
        <rFont val="Calibri"/>
        <family val="2"/>
        <scheme val="minor"/>
      </rPr>
      <t>f</t>
    </r>
  </si>
  <si>
    <t>Lengde F. veivstang</t>
  </si>
  <si>
    <r>
      <t>L</t>
    </r>
    <r>
      <rPr>
        <vertAlign val="subscript"/>
        <sz val="11"/>
        <color theme="1"/>
        <rFont val="Calibri"/>
        <family val="2"/>
        <scheme val="minor"/>
      </rPr>
      <t>f</t>
    </r>
  </si>
  <si>
    <r>
      <rPr>
        <sz val="11"/>
        <color theme="1"/>
        <rFont val="Calibri"/>
        <family val="2"/>
      </rPr>
      <t>λ</t>
    </r>
    <r>
      <rPr>
        <vertAlign val="subscript"/>
        <sz val="11"/>
        <color theme="1"/>
        <rFont val="Calibri"/>
        <family val="2"/>
      </rPr>
      <t>f</t>
    </r>
  </si>
  <si>
    <t>Massesenter F.veivstang</t>
  </si>
  <si>
    <r>
      <t>m</t>
    </r>
    <r>
      <rPr>
        <vertAlign val="subscript"/>
        <sz val="11"/>
        <color theme="1"/>
        <rFont val="Calibri"/>
        <family val="2"/>
        <scheme val="minor"/>
      </rPr>
      <t>c-f</t>
    </r>
  </si>
  <si>
    <t>Radius A.veivskinke</t>
  </si>
  <si>
    <r>
      <t>R</t>
    </r>
    <r>
      <rPr>
        <vertAlign val="subscript"/>
        <sz val="11"/>
        <color theme="1"/>
        <rFont val="Calibri"/>
        <family val="2"/>
        <scheme val="minor"/>
      </rPr>
      <t>a</t>
    </r>
  </si>
  <si>
    <t>Lengde A. veivstang</t>
  </si>
  <si>
    <r>
      <t>L</t>
    </r>
    <r>
      <rPr>
        <vertAlign val="subscript"/>
        <sz val="11"/>
        <color theme="1"/>
        <rFont val="Calibri"/>
        <family val="2"/>
        <scheme val="minor"/>
      </rPr>
      <t>a</t>
    </r>
  </si>
  <si>
    <r>
      <t>λ</t>
    </r>
    <r>
      <rPr>
        <vertAlign val="subscript"/>
        <sz val="11"/>
        <color theme="1"/>
        <rFont val="Calibri"/>
        <family val="2"/>
      </rPr>
      <t>a</t>
    </r>
  </si>
  <si>
    <t>Massesenter A.veivstang</t>
  </si>
  <si>
    <r>
      <t>m</t>
    </r>
    <r>
      <rPr>
        <vertAlign val="subscript"/>
        <sz val="11"/>
        <color theme="1"/>
        <rFont val="Calibri"/>
        <family val="2"/>
        <scheme val="minor"/>
      </rPr>
      <t>c-a</t>
    </r>
  </si>
  <si>
    <t>Klemområde guidering, tverrsnitt</t>
  </si>
  <si>
    <t>r=17,5mm</t>
  </si>
  <si>
    <t>buelengde=33,84mm</t>
  </si>
  <si>
    <t>Forsøk 1</t>
  </si>
  <si>
    <t>Akselerajoner</t>
  </si>
  <si>
    <t>β = -80° (F.ØD)</t>
  </si>
  <si>
    <t>ØD (β = 0°)</t>
  </si>
  <si>
    <t>β = 45°</t>
  </si>
  <si>
    <t>β = 90°</t>
  </si>
  <si>
    <t>β = 100° (F.ND)</t>
  </si>
  <si>
    <t>β = 135°</t>
  </si>
  <si>
    <r>
      <t>ND (β = 180</t>
    </r>
    <r>
      <rPr>
        <sz val="11"/>
        <color theme="1"/>
        <rFont val="Calibri"/>
        <family val="2"/>
      </rPr>
      <t>°)</t>
    </r>
  </si>
  <si>
    <r>
      <t>a</t>
    </r>
    <r>
      <rPr>
        <vertAlign val="subscript"/>
        <sz val="11"/>
        <color theme="1"/>
        <rFont val="Calibri"/>
        <family val="2"/>
        <scheme val="minor"/>
      </rPr>
      <t>A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</si>
  <si>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</si>
  <si>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</t>
    </r>
    <r>
      <rPr>
        <vertAlign val="subscript"/>
        <sz val="11"/>
        <color theme="1"/>
        <rFont val="Calibri"/>
        <family val="2"/>
        <scheme val="minor"/>
      </rPr>
      <t>F</t>
    </r>
  </si>
  <si>
    <t>Oscillerende krefter</t>
  </si>
  <si>
    <t>A.mekanisme</t>
  </si>
  <si>
    <t>F.mekanisme</t>
  </si>
  <si>
    <t>Forsøk 2</t>
  </si>
  <si>
    <t>Basert på Lundby sin metode, og regneark av A.Høeg (10.des 1999)</t>
  </si>
  <si>
    <t xml:space="preserve">Utregningene i dette regnearket ble ferdigstilt i mai 2020. </t>
  </si>
  <si>
    <t>antall</t>
  </si>
  <si>
    <t>volum</t>
  </si>
  <si>
    <t>antatt vekt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</si>
</sst>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#,##0.0"/>
    <numFmt numFmtId="167" formatCode="0.0000"/>
    <numFmt numFmtId="168" formatCode="0.00000"/>
  </numFmts>
  <fonts count="1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1"/>
      <color rgb="FF222222"/>
      <name val="Arial"/>
      <family val="2"/>
    </font>
    <font>
      <vertAlign val="subscript"/>
      <sz val="11"/>
      <color rgb="FF222222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144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0" xfId="0" applyNumberFormat="1"/>
    <xf numFmtId="0" fontId="8" fillId="0" borderId="0" xfId="1"/>
    <xf numFmtId="0" fontId="8" fillId="0" borderId="0" xfId="1" applyFont="1" applyBorder="1"/>
    <xf numFmtId="167" fontId="8" fillId="0" borderId="0" xfId="1" applyNumberFormat="1"/>
    <xf numFmtId="0" fontId="8" fillId="0" borderId="0" xfId="1" applyFill="1" applyBorder="1"/>
    <xf numFmtId="0" fontId="10" fillId="0" borderId="0" xfId="0" applyFont="1" applyFill="1"/>
    <xf numFmtId="0" fontId="0" fillId="0" borderId="0" xfId="0" applyFill="1"/>
    <xf numFmtId="0" fontId="8" fillId="5" borderId="1" xfId="1" applyFill="1" applyBorder="1"/>
    <xf numFmtId="0" fontId="8" fillId="5" borderId="1" xfId="1" applyFont="1" applyFill="1" applyBorder="1"/>
    <xf numFmtId="0" fontId="9" fillId="0" borderId="1" xfId="1" applyFont="1" applyBorder="1"/>
    <xf numFmtId="2" fontId="8" fillId="5" borderId="1" xfId="1" applyNumberFormat="1" applyFill="1" applyBorder="1"/>
    <xf numFmtId="0" fontId="0" fillId="0" borderId="0" xfId="0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65" fontId="0" fillId="0" borderId="1" xfId="0" applyNumberFormat="1" applyBorder="1"/>
    <xf numFmtId="0" fontId="0" fillId="0" borderId="6" xfId="0" applyBorder="1"/>
    <xf numFmtId="0" fontId="0" fillId="0" borderId="8" xfId="0" applyBorder="1"/>
    <xf numFmtId="165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0" borderId="0" xfId="0" applyFont="1" applyFill="1"/>
    <xf numFmtId="0" fontId="0" fillId="0" borderId="13" xfId="0" applyBorder="1"/>
    <xf numFmtId="165" fontId="0" fillId="0" borderId="13" xfId="0" applyNumberFormat="1" applyBorder="1"/>
    <xf numFmtId="0" fontId="0" fillId="3" borderId="1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/>
    <xf numFmtId="0" fontId="1" fillId="0" borderId="16" xfId="0" applyFont="1" applyBorder="1"/>
    <xf numFmtId="0" fontId="1" fillId="0" borderId="17" xfId="0" applyFont="1" applyBorder="1"/>
    <xf numFmtId="0" fontId="0" fillId="0" borderId="17" xfId="0" applyBorder="1"/>
    <xf numFmtId="165" fontId="0" fillId="0" borderId="17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/>
    <xf numFmtId="2" fontId="0" fillId="0" borderId="1" xfId="0" applyNumberFormat="1" applyBorder="1"/>
    <xf numFmtId="0" fontId="0" fillId="0" borderId="19" xfId="0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 applyAlignment="1">
      <alignment horizontal="left"/>
    </xf>
    <xf numFmtId="0" fontId="0" fillId="0" borderId="14" xfId="0" applyBorder="1"/>
    <xf numFmtId="0" fontId="0" fillId="0" borderId="21" xfId="0" applyBorder="1"/>
    <xf numFmtId="0" fontId="1" fillId="0" borderId="22" xfId="0" applyFont="1" applyBorder="1"/>
    <xf numFmtId="2" fontId="0" fillId="0" borderId="8" xfId="0" applyNumberFormat="1" applyBorder="1"/>
    <xf numFmtId="0" fontId="0" fillId="0" borderId="1" xfId="0" applyFill="1" applyBorder="1"/>
    <xf numFmtId="0" fontId="0" fillId="0" borderId="7" xfId="0" applyBorder="1"/>
    <xf numFmtId="0" fontId="0" fillId="0" borderId="24" xfId="0" applyBorder="1" applyAlignment="1">
      <alignment horizontal="left"/>
    </xf>
    <xf numFmtId="0" fontId="0" fillId="0" borderId="22" xfId="0" applyBorder="1"/>
    <xf numFmtId="0" fontId="0" fillId="0" borderId="25" xfId="0" applyBorder="1" applyAlignment="1">
      <alignment horizontal="left"/>
    </xf>
    <xf numFmtId="0" fontId="0" fillId="0" borderId="25" xfId="0" applyBorder="1"/>
    <xf numFmtId="0" fontId="0" fillId="0" borderId="30" xfId="0" applyBorder="1"/>
    <xf numFmtId="0" fontId="0" fillId="0" borderId="29" xfId="0" applyBorder="1"/>
    <xf numFmtId="0" fontId="0" fillId="3" borderId="28" xfId="0" applyFill="1" applyBorder="1"/>
    <xf numFmtId="0" fontId="0" fillId="3" borderId="23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4" fillId="0" borderId="8" xfId="0" applyFont="1" applyBorder="1"/>
    <xf numFmtId="0" fontId="11" fillId="0" borderId="8" xfId="0" applyFont="1" applyBorder="1"/>
    <xf numFmtId="0" fontId="4" fillId="0" borderId="22" xfId="0" applyFont="1" applyBorder="1"/>
    <xf numFmtId="0" fontId="0" fillId="3" borderId="27" xfId="0" applyFill="1" applyBorder="1"/>
    <xf numFmtId="0" fontId="0" fillId="0" borderId="29" xfId="0" applyFill="1" applyBorder="1" applyAlignment="1">
      <alignment horizontal="left"/>
    </xf>
    <xf numFmtId="0" fontId="0" fillId="0" borderId="18" xfId="0" applyFill="1" applyBorder="1"/>
    <xf numFmtId="0" fontId="0" fillId="0" borderId="21" xfId="0" applyFill="1" applyBorder="1"/>
    <xf numFmtId="0" fontId="0" fillId="0" borderId="31" xfId="0" applyBorder="1"/>
    <xf numFmtId="0" fontId="0" fillId="0" borderId="12" xfId="0" applyBorder="1"/>
    <xf numFmtId="167" fontId="0" fillId="0" borderId="8" xfId="0" applyNumberFormat="1" applyBorder="1"/>
    <xf numFmtId="0" fontId="0" fillId="0" borderId="29" xfId="0" applyBorder="1" applyAlignment="1">
      <alignment horizontal="left"/>
    </xf>
    <xf numFmtId="0" fontId="0" fillId="0" borderId="32" xfId="0" applyBorder="1"/>
    <xf numFmtId="0" fontId="0" fillId="0" borderId="33" xfId="0" applyBorder="1"/>
    <xf numFmtId="0" fontId="0" fillId="0" borderId="32" xfId="0" applyFill="1" applyBorder="1"/>
    <xf numFmtId="0" fontId="0" fillId="0" borderId="34" xfId="0" applyBorder="1"/>
    <xf numFmtId="0" fontId="0" fillId="0" borderId="19" xfId="0" applyFill="1" applyBorder="1"/>
    <xf numFmtId="0" fontId="0" fillId="3" borderId="26" xfId="0" applyFill="1" applyBorder="1"/>
    <xf numFmtId="0" fontId="2" fillId="0" borderId="1" xfId="0" applyFont="1" applyBorder="1"/>
    <xf numFmtId="0" fontId="2" fillId="0" borderId="8" xfId="0" applyFont="1" applyBorder="1"/>
    <xf numFmtId="0" fontId="0" fillId="0" borderId="36" xfId="0" applyBorder="1"/>
    <xf numFmtId="0" fontId="0" fillId="0" borderId="35" xfId="0" applyBorder="1"/>
    <xf numFmtId="0" fontId="0" fillId="0" borderId="37" xfId="0" applyBorder="1"/>
    <xf numFmtId="0" fontId="0" fillId="0" borderId="20" xfId="0" applyBorder="1"/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8" fontId="0" fillId="0" borderId="1" xfId="0" applyNumberFormat="1" applyBorder="1"/>
    <xf numFmtId="167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6" fillId="5" borderId="17" xfId="0" applyFont="1" applyFill="1" applyBorder="1"/>
    <xf numFmtId="2" fontId="16" fillId="5" borderId="17" xfId="0" applyNumberFormat="1" applyFont="1" applyFill="1" applyBorder="1"/>
    <xf numFmtId="0" fontId="8" fillId="5" borderId="17" xfId="1" applyFill="1" applyBorder="1"/>
    <xf numFmtId="167" fontId="8" fillId="0" borderId="3" xfId="1" applyNumberFormat="1" applyBorder="1"/>
    <xf numFmtId="0" fontId="8" fillId="0" borderId="3" xfId="1" applyBorder="1"/>
    <xf numFmtId="0" fontId="8" fillId="0" borderId="1" xfId="1" applyFont="1" applyBorder="1"/>
    <xf numFmtId="167" fontId="8" fillId="4" borderId="1" xfId="1" applyNumberFormat="1" applyFill="1" applyBorder="1"/>
    <xf numFmtId="0" fontId="8" fillId="0" borderId="6" xfId="1" applyFill="1" applyBorder="1"/>
    <xf numFmtId="0" fontId="8" fillId="0" borderId="8" xfId="1" applyFont="1" applyBorder="1"/>
    <xf numFmtId="167" fontId="8" fillId="4" borderId="8" xfId="1" applyNumberFormat="1" applyFill="1" applyBorder="1"/>
    <xf numFmtId="0" fontId="8" fillId="0" borderId="9" xfId="1" applyFill="1" applyBorder="1"/>
    <xf numFmtId="0" fontId="8" fillId="0" borderId="19" xfId="1" applyFont="1" applyBorder="1"/>
    <xf numFmtId="0" fontId="8" fillId="0" borderId="22" xfId="1" applyFont="1" applyBorder="1"/>
    <xf numFmtId="0" fontId="8" fillId="0" borderId="14" xfId="1" applyBorder="1"/>
    <xf numFmtId="0" fontId="8" fillId="0" borderId="10" xfId="1" applyBorder="1"/>
    <xf numFmtId="0" fontId="8" fillId="0" borderId="3" xfId="1" applyFont="1" applyBorder="1"/>
    <xf numFmtId="0" fontId="8" fillId="0" borderId="4" xfId="1" applyBorder="1"/>
    <xf numFmtId="167" fontId="8" fillId="0" borderId="1" xfId="1" applyNumberFormat="1" applyBorder="1"/>
    <xf numFmtId="0" fontId="8" fillId="0" borderId="6" xfId="1" applyBorder="1"/>
    <xf numFmtId="167" fontId="8" fillId="0" borderId="8" xfId="1" applyNumberFormat="1" applyBorder="1"/>
    <xf numFmtId="0" fontId="8" fillId="0" borderId="9" xfId="1" applyBorder="1"/>
    <xf numFmtId="167" fontId="8" fillId="2" borderId="1" xfId="1" applyNumberFormat="1" applyFill="1" applyBorder="1"/>
    <xf numFmtId="0" fontId="8" fillId="3" borderId="1" xfId="1" applyFont="1" applyFill="1" applyBorder="1"/>
    <xf numFmtId="167" fontId="8" fillId="3" borderId="1" xfId="1" applyNumberFormat="1" applyFill="1" applyBorder="1"/>
    <xf numFmtId="0" fontId="8" fillId="3" borderId="6" xfId="1" applyFill="1" applyBorder="1"/>
    <xf numFmtId="0" fontId="8" fillId="0" borderId="1" xfId="1" applyBorder="1"/>
    <xf numFmtId="167" fontId="8" fillId="0" borderId="1" xfId="1" applyNumberFormat="1" applyFill="1" applyBorder="1"/>
    <xf numFmtId="167" fontId="8" fillId="0" borderId="8" xfId="1" applyNumberFormat="1" applyFill="1" applyBorder="1"/>
    <xf numFmtId="0" fontId="8" fillId="3" borderId="19" xfId="1" applyFont="1" applyFill="1" applyBorder="1"/>
    <xf numFmtId="0" fontId="8" fillId="0" borderId="19" xfId="1" applyBorder="1"/>
    <xf numFmtId="0" fontId="9" fillId="0" borderId="10" xfId="1" applyFont="1" applyFill="1" applyBorder="1"/>
    <xf numFmtId="0" fontId="14" fillId="0" borderId="1" xfId="0" applyFont="1" applyBorder="1"/>
    <xf numFmtId="0" fontId="9" fillId="3" borderId="23" xfId="1" applyFont="1" applyFill="1" applyBorder="1" applyAlignment="1">
      <alignment horizontal="left"/>
    </xf>
    <xf numFmtId="0" fontId="9" fillId="3" borderId="3" xfId="1" applyFont="1" applyFill="1" applyBorder="1" applyAlignment="1">
      <alignment horizontal="left"/>
    </xf>
    <xf numFmtId="0" fontId="16" fillId="0" borderId="38" xfId="0" applyFont="1" applyFill="1" applyBorder="1"/>
    <xf numFmtId="2" fontId="16" fillId="0" borderId="38" xfId="0" applyNumberFormat="1" applyFont="1" applyFill="1" applyBorder="1"/>
    <xf numFmtId="0" fontId="8" fillId="0" borderId="38" xfId="1" applyFill="1" applyBorder="1"/>
  </cellXfs>
  <cellStyles count="2">
    <cellStyle name="Normal" xfId="0" builtinId="0"/>
    <cellStyle name="Normal 2" xfId="1" xr:uid="{5AA78DD3-7917-45ED-A918-4BE65A8C62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A661-87AD-497D-98FE-A2544AEFDE82}">
  <dimension ref="A1:L79"/>
  <sheetViews>
    <sheetView view="pageBreakPreview" zoomScale="60" zoomScaleNormal="80" zoomScalePageLayoutView="50" workbookViewId="0">
      <selection activeCell="F76" sqref="F76"/>
    </sheetView>
  </sheetViews>
  <sheetFormatPr baseColWidth="10" defaultColWidth="11.42578125" defaultRowHeight="15" x14ac:dyDescent="0.25"/>
  <cols>
    <col min="2" max="2" width="52.140625" bestFit="1" customWidth="1"/>
    <col min="3" max="3" width="8.5703125" bestFit="1" customWidth="1"/>
    <col min="4" max="4" width="9.7109375" customWidth="1"/>
    <col min="5" max="5" width="8.42578125" bestFit="1" customWidth="1"/>
    <col min="6" max="6" width="13" bestFit="1" customWidth="1"/>
    <col min="7" max="7" width="8.140625" customWidth="1"/>
    <col min="8" max="8" width="7.140625" bestFit="1" customWidth="1"/>
    <col min="9" max="9" width="15.85546875" bestFit="1" customWidth="1"/>
    <col min="11" max="11" width="18.42578125" bestFit="1" customWidth="1"/>
    <col min="14" max="14" width="13" bestFit="1" customWidth="1"/>
  </cols>
  <sheetData>
    <row r="1" spans="1:9" x14ac:dyDescent="0.25">
      <c r="A1" s="20" t="s">
        <v>0</v>
      </c>
      <c r="B1" s="20"/>
    </row>
    <row r="2" spans="1:9" x14ac:dyDescent="0.25">
      <c r="B2" s="21" t="s">
        <v>191</v>
      </c>
      <c r="C2" s="21"/>
      <c r="D2" s="21"/>
    </row>
    <row r="3" spans="1:9" x14ac:dyDescent="0.25">
      <c r="B3" s="21" t="s">
        <v>192</v>
      </c>
      <c r="C3" s="21"/>
    </row>
    <row r="5" spans="1:9" ht="15.75" thickBot="1" x14ac:dyDescent="0.3">
      <c r="B5" s="4" t="s">
        <v>1</v>
      </c>
      <c r="C5" s="4"/>
    </row>
    <row r="6" spans="1:9" x14ac:dyDescent="0.25">
      <c r="B6" s="32" t="s">
        <v>2</v>
      </c>
      <c r="C6" s="33"/>
      <c r="D6" s="33">
        <f>D76</f>
        <v>46.17761627518675</v>
      </c>
      <c r="E6" s="33" t="s">
        <v>3</v>
      </c>
      <c r="F6" s="34"/>
      <c r="G6" s="14"/>
      <c r="H6" s="14"/>
    </row>
    <row r="7" spans="1:9" ht="15.75" thickBot="1" x14ac:dyDescent="0.3">
      <c r="B7" s="35" t="s">
        <v>4</v>
      </c>
      <c r="C7" s="36"/>
      <c r="D7" s="36">
        <f>D74</f>
        <v>0.57790675057064544</v>
      </c>
      <c r="E7" s="36" t="s">
        <v>5</v>
      </c>
      <c r="F7" s="37">
        <f>D7*(180/PI())</f>
        <v>33.111617759817563</v>
      </c>
      <c r="G7" s="14"/>
      <c r="H7" s="38" t="s">
        <v>6</v>
      </c>
    </row>
    <row r="9" spans="1:9" x14ac:dyDescent="0.25">
      <c r="B9" s="4" t="s">
        <v>7</v>
      </c>
      <c r="C9" s="4"/>
    </row>
    <row r="10" spans="1:9" ht="15.75" thickBot="1" x14ac:dyDescent="0.3"/>
    <row r="11" spans="1:9" ht="15.75" thickBot="1" x14ac:dyDescent="0.3">
      <c r="A11" s="41" t="s">
        <v>10</v>
      </c>
      <c r="B11" s="42"/>
      <c r="D11" s="43" t="s">
        <v>8</v>
      </c>
      <c r="F11" s="43" t="s">
        <v>9</v>
      </c>
      <c r="H11" s="43" t="s">
        <v>193</v>
      </c>
    </row>
    <row r="12" spans="1:9" ht="17.25" x14ac:dyDescent="0.25">
      <c r="B12" s="24" t="s">
        <v>11</v>
      </c>
      <c r="C12" s="22"/>
      <c r="D12" s="39">
        <v>52866.8</v>
      </c>
      <c r="E12" s="22" t="s">
        <v>12</v>
      </c>
      <c r="F12" s="40">
        <f>D12*0.00785</f>
        <v>415.00437999999997</v>
      </c>
      <c r="G12" s="22" t="s">
        <v>13</v>
      </c>
      <c r="H12" s="39"/>
      <c r="I12" s="23"/>
    </row>
    <row r="13" spans="1:9" ht="17.25" x14ac:dyDescent="0.25">
      <c r="B13" s="24" t="s">
        <v>14</v>
      </c>
      <c r="C13" s="25"/>
      <c r="D13" s="25">
        <v>5851.31</v>
      </c>
      <c r="E13" s="25" t="s">
        <v>12</v>
      </c>
      <c r="F13" s="26">
        <f>D13*0.00896</f>
        <v>52.4277376</v>
      </c>
      <c r="G13" s="25" t="s">
        <v>13</v>
      </c>
      <c r="H13" s="25"/>
      <c r="I13" s="27"/>
    </row>
    <row r="14" spans="1:9" ht="17.25" x14ac:dyDescent="0.25">
      <c r="B14" s="24" t="s">
        <v>15</v>
      </c>
      <c r="C14" s="25"/>
      <c r="D14" s="25">
        <v>177.65</v>
      </c>
      <c r="E14" s="25" t="s">
        <v>12</v>
      </c>
      <c r="F14" s="26">
        <f>1*2</f>
        <v>2</v>
      </c>
      <c r="G14" s="25" t="s">
        <v>13</v>
      </c>
      <c r="H14" s="25">
        <v>2</v>
      </c>
      <c r="I14" s="27" t="s">
        <v>195</v>
      </c>
    </row>
    <row r="15" spans="1:9" ht="17.25" x14ac:dyDescent="0.25">
      <c r="B15" s="24" t="s">
        <v>16</v>
      </c>
      <c r="C15" s="25"/>
      <c r="D15" s="25">
        <v>205.3</v>
      </c>
      <c r="E15" s="25" t="s">
        <v>12</v>
      </c>
      <c r="F15" s="26">
        <f>D15*0.0022*2</f>
        <v>0.90332000000000012</v>
      </c>
      <c r="G15" s="25" t="s">
        <v>13</v>
      </c>
      <c r="H15" s="25">
        <v>2</v>
      </c>
      <c r="I15" s="27"/>
    </row>
    <row r="16" spans="1:9" ht="17.25" x14ac:dyDescent="0.25">
      <c r="B16" s="24" t="s">
        <v>17</v>
      </c>
      <c r="C16" s="25"/>
      <c r="D16" s="25">
        <v>3902.33</v>
      </c>
      <c r="E16" s="25" t="s">
        <v>12</v>
      </c>
      <c r="F16" s="26">
        <f>D16*0.0022</f>
        <v>8.5851260000000007</v>
      </c>
      <c r="G16" s="25" t="s">
        <v>13</v>
      </c>
      <c r="H16" s="25"/>
      <c r="I16" s="27"/>
    </row>
    <row r="17" spans="1:9" ht="17.25" x14ac:dyDescent="0.25">
      <c r="B17" s="24" t="s">
        <v>18</v>
      </c>
      <c r="C17" s="25"/>
      <c r="D17" s="25">
        <v>4242.5</v>
      </c>
      <c r="E17" s="25" t="s">
        <v>12</v>
      </c>
      <c r="F17" s="26">
        <f>3*2</f>
        <v>6</v>
      </c>
      <c r="G17" s="25"/>
      <c r="H17" s="25">
        <v>2</v>
      </c>
      <c r="I17" s="27"/>
    </row>
    <row r="18" spans="1:9" ht="17.25" x14ac:dyDescent="0.25">
      <c r="B18" s="24" t="s">
        <v>19</v>
      </c>
      <c r="C18" s="25"/>
      <c r="D18" s="25">
        <v>1774.46</v>
      </c>
      <c r="E18" s="25" t="s">
        <v>12</v>
      </c>
      <c r="F18" s="26">
        <f>D18*0.0022*2</f>
        <v>7.8076240000000006</v>
      </c>
      <c r="G18" s="25" t="s">
        <v>13</v>
      </c>
      <c r="H18" s="25">
        <v>2</v>
      </c>
      <c r="I18" s="27"/>
    </row>
    <row r="19" spans="1:9" ht="17.25" x14ac:dyDescent="0.25">
      <c r="B19" s="24" t="s">
        <v>20</v>
      </c>
      <c r="C19" s="25"/>
      <c r="D19" s="25">
        <v>84787.6</v>
      </c>
      <c r="E19" s="25" t="s">
        <v>12</v>
      </c>
      <c r="F19" s="26">
        <f t="shared" ref="F19" si="0">D19*0.00785</f>
        <v>665.58266000000003</v>
      </c>
      <c r="G19" s="25" t="s">
        <v>13</v>
      </c>
      <c r="H19" s="25"/>
      <c r="I19" s="27"/>
    </row>
    <row r="20" spans="1:9" ht="17.25" x14ac:dyDescent="0.25">
      <c r="B20" s="24" t="s">
        <v>21</v>
      </c>
      <c r="C20" s="25"/>
      <c r="D20" s="25">
        <v>0</v>
      </c>
      <c r="E20" s="25" t="s">
        <v>12</v>
      </c>
      <c r="F20" s="26">
        <f>0.06*1000*2</f>
        <v>120</v>
      </c>
      <c r="G20" s="25" t="s">
        <v>13</v>
      </c>
      <c r="H20" s="25">
        <v>2</v>
      </c>
      <c r="I20" s="27" t="s">
        <v>195</v>
      </c>
    </row>
    <row r="21" spans="1:9" ht="17.25" x14ac:dyDescent="0.25">
      <c r="B21" s="24" t="s">
        <v>22</v>
      </c>
      <c r="C21" s="25"/>
      <c r="D21" s="25">
        <v>0</v>
      </c>
      <c r="E21" s="25" t="s">
        <v>12</v>
      </c>
      <c r="F21" s="26">
        <f>0.18*1000*2</f>
        <v>360</v>
      </c>
      <c r="G21" s="25" t="s">
        <v>13</v>
      </c>
      <c r="H21" s="25">
        <v>2</v>
      </c>
      <c r="I21" s="27" t="s">
        <v>195</v>
      </c>
    </row>
    <row r="22" spans="1:9" ht="17.25" x14ac:dyDescent="0.25">
      <c r="B22" s="24" t="s">
        <v>23</v>
      </c>
      <c r="C22" s="25"/>
      <c r="D22" s="25">
        <v>36530.699999999997</v>
      </c>
      <c r="E22" s="25" t="s">
        <v>12</v>
      </c>
      <c r="F22" s="26">
        <f>D22*0.00785</f>
        <v>286.76599499999998</v>
      </c>
      <c r="G22" s="25" t="s">
        <v>13</v>
      </c>
      <c r="H22" s="25"/>
      <c r="I22" s="27"/>
    </row>
    <row r="23" spans="1:9" ht="18" thickBot="1" x14ac:dyDescent="0.3">
      <c r="A23" s="31"/>
      <c r="B23" s="44" t="s">
        <v>24</v>
      </c>
      <c r="C23" s="45"/>
      <c r="D23" s="46">
        <f>D12+D13+D16+(D18*2)+D19+D20+D21+D22</f>
        <v>187487.66000000003</v>
      </c>
      <c r="E23" s="46" t="s">
        <v>12</v>
      </c>
      <c r="F23" s="47">
        <f>SUM(F12:F22)</f>
        <v>1925.0768426</v>
      </c>
      <c r="G23" s="46" t="s">
        <v>13</v>
      </c>
      <c r="H23" s="46"/>
      <c r="I23" s="30"/>
    </row>
    <row r="24" spans="1:9" ht="15.75" thickBot="1" x14ac:dyDescent="0.3">
      <c r="A24" s="53"/>
      <c r="B24" s="24"/>
      <c r="C24" s="25"/>
      <c r="D24" s="25"/>
      <c r="E24" s="25"/>
      <c r="F24" s="26"/>
      <c r="G24" s="25"/>
      <c r="H24" s="27"/>
    </row>
    <row r="25" spans="1:9" ht="15.75" thickBot="1" x14ac:dyDescent="0.3">
      <c r="A25" s="55" t="s">
        <v>25</v>
      </c>
      <c r="B25" s="48"/>
      <c r="C25" s="49"/>
      <c r="D25" s="25"/>
      <c r="E25" s="25"/>
      <c r="F25" s="26"/>
      <c r="G25" s="25"/>
      <c r="H25" s="27"/>
    </row>
    <row r="26" spans="1:9" ht="17.25" x14ac:dyDescent="0.25">
      <c r="A26" s="56"/>
      <c r="B26" s="52" t="s">
        <v>26</v>
      </c>
      <c r="C26" s="25"/>
      <c r="D26" s="25">
        <v>65489.9</v>
      </c>
      <c r="E26" s="25" t="s">
        <v>12</v>
      </c>
      <c r="F26" s="26">
        <f>D26*0.00785</f>
        <v>514.09571499999993</v>
      </c>
      <c r="G26" s="25" t="s">
        <v>13</v>
      </c>
      <c r="H26" s="27">
        <v>2</v>
      </c>
    </row>
    <row r="27" spans="1:9" ht="18" x14ac:dyDescent="0.35">
      <c r="A27" s="31"/>
      <c r="B27" s="52" t="s">
        <v>27</v>
      </c>
      <c r="C27" s="25" t="s">
        <v>28</v>
      </c>
      <c r="D27" s="25">
        <v>76.900000000000006</v>
      </c>
      <c r="E27" s="25" t="s">
        <v>29</v>
      </c>
      <c r="F27" s="26"/>
      <c r="G27" s="26"/>
      <c r="H27" s="27"/>
    </row>
    <row r="28" spans="1:9" x14ac:dyDescent="0.25">
      <c r="A28" s="31"/>
      <c r="B28" s="52" t="s">
        <v>30</v>
      </c>
      <c r="C28" s="25"/>
      <c r="D28" s="25">
        <v>175</v>
      </c>
      <c r="E28" s="25" t="s">
        <v>29</v>
      </c>
      <c r="F28" s="26"/>
      <c r="G28" s="26"/>
      <c r="H28" s="27"/>
    </row>
    <row r="29" spans="1:9" ht="18" x14ac:dyDescent="0.35">
      <c r="A29" s="31"/>
      <c r="B29" s="54" t="s">
        <v>31</v>
      </c>
      <c r="C29" s="25" t="s">
        <v>32</v>
      </c>
      <c r="D29" s="51">
        <f>(D27/D28)*F26</f>
        <v>225.90834561999998</v>
      </c>
      <c r="E29" s="25" t="s">
        <v>13</v>
      </c>
      <c r="F29" s="26"/>
      <c r="G29" s="26"/>
      <c r="H29" s="27"/>
    </row>
    <row r="30" spans="1:9" ht="18.75" thickBot="1" x14ac:dyDescent="0.4">
      <c r="A30" s="31"/>
      <c r="B30" s="58" t="s">
        <v>33</v>
      </c>
      <c r="C30" s="28" t="s">
        <v>34</v>
      </c>
      <c r="D30" s="59">
        <f>((D28-D27)/D28)*F26</f>
        <v>288.18736937999995</v>
      </c>
      <c r="E30" s="28" t="s">
        <v>13</v>
      </c>
      <c r="F30" s="29"/>
      <c r="G30" s="29"/>
      <c r="H30" s="30"/>
    </row>
    <row r="31" spans="1:9" x14ac:dyDescent="0.25">
      <c r="B31" s="1"/>
      <c r="C31" s="1"/>
      <c r="F31" s="3"/>
      <c r="G31" s="3"/>
    </row>
    <row r="32" spans="1:9" ht="15.75" thickBot="1" x14ac:dyDescent="0.3">
      <c r="F32" s="3"/>
      <c r="G32" s="3"/>
    </row>
    <row r="33" spans="1:9" ht="15.75" thickBot="1" x14ac:dyDescent="0.3">
      <c r="A33" s="69" t="s">
        <v>35</v>
      </c>
      <c r="B33" s="70"/>
      <c r="C33" s="64"/>
      <c r="D33" s="68" t="s">
        <v>194</v>
      </c>
      <c r="E33" s="65"/>
      <c r="F33" s="68" t="s">
        <v>9</v>
      </c>
      <c r="G33" s="65"/>
      <c r="H33" s="68" t="s">
        <v>193</v>
      </c>
      <c r="I33" s="67"/>
    </row>
    <row r="34" spans="1:9" ht="17.25" x14ac:dyDescent="0.25">
      <c r="A34" s="56"/>
      <c r="B34" s="52" t="s">
        <v>36</v>
      </c>
      <c r="C34" s="39"/>
      <c r="D34" s="25">
        <v>116242</v>
      </c>
      <c r="E34" s="39" t="s">
        <v>12</v>
      </c>
      <c r="F34" s="26">
        <f>0.00785*D34</f>
        <v>912.49969999999996</v>
      </c>
      <c r="G34" s="39" t="s">
        <v>13</v>
      </c>
      <c r="H34" s="25"/>
      <c r="I34" s="66"/>
    </row>
    <row r="35" spans="1:9" ht="17.25" x14ac:dyDescent="0.25">
      <c r="A35" s="31"/>
      <c r="B35" s="52" t="s">
        <v>37</v>
      </c>
      <c r="C35" s="25"/>
      <c r="D35" s="25">
        <v>28070</v>
      </c>
      <c r="E35" s="25" t="s">
        <v>12</v>
      </c>
      <c r="F35" s="26">
        <f t="shared" ref="F35:F37" si="1">0.00785*D35</f>
        <v>220.34949999999998</v>
      </c>
      <c r="G35" s="25" t="s">
        <v>13</v>
      </c>
      <c r="H35" s="25"/>
      <c r="I35" s="27"/>
    </row>
    <row r="36" spans="1:9" ht="17.25" x14ac:dyDescent="0.25">
      <c r="A36" s="31"/>
      <c r="B36" s="52" t="s">
        <v>38</v>
      </c>
      <c r="C36" s="25"/>
      <c r="D36" s="25">
        <v>24498.9</v>
      </c>
      <c r="E36" s="25" t="s">
        <v>12</v>
      </c>
      <c r="F36" s="26">
        <f t="shared" si="1"/>
        <v>192.31636499999999</v>
      </c>
      <c r="G36" s="25" t="s">
        <v>13</v>
      </c>
      <c r="H36" s="25"/>
      <c r="I36" s="27"/>
    </row>
    <row r="37" spans="1:9" ht="17.25" x14ac:dyDescent="0.25">
      <c r="A37" s="31"/>
      <c r="B37" s="52" t="s">
        <v>39</v>
      </c>
      <c r="C37" s="25"/>
      <c r="D37" s="25">
        <v>7775</v>
      </c>
      <c r="E37" s="25" t="s">
        <v>12</v>
      </c>
      <c r="F37" s="26">
        <f t="shared" si="1"/>
        <v>61.033749999999998</v>
      </c>
      <c r="G37" s="25" t="s">
        <v>13</v>
      </c>
      <c r="H37" s="25"/>
      <c r="I37" s="27"/>
    </row>
    <row r="38" spans="1:9" x14ac:dyDescent="0.25">
      <c r="A38" s="31"/>
      <c r="B38" s="52" t="s">
        <v>21</v>
      </c>
      <c r="C38" s="25"/>
      <c r="D38" s="25"/>
      <c r="E38" s="25"/>
      <c r="F38" s="26">
        <v>36</v>
      </c>
      <c r="G38" s="25" t="s">
        <v>13</v>
      </c>
      <c r="H38" s="25">
        <v>2</v>
      </c>
      <c r="I38" s="27" t="s">
        <v>195</v>
      </c>
    </row>
    <row r="39" spans="1:9" x14ac:dyDescent="0.25">
      <c r="A39" s="31"/>
      <c r="B39" s="52" t="s">
        <v>40</v>
      </c>
      <c r="C39" s="25"/>
      <c r="D39" s="25"/>
      <c r="E39" s="25"/>
      <c r="F39" s="26">
        <v>74</v>
      </c>
      <c r="G39" s="25" t="s">
        <v>13</v>
      </c>
      <c r="H39" s="25">
        <v>2</v>
      </c>
      <c r="I39" s="27" t="s">
        <v>195</v>
      </c>
    </row>
    <row r="40" spans="1:9" x14ac:dyDescent="0.25">
      <c r="A40" s="31"/>
      <c r="B40" s="52" t="s">
        <v>41</v>
      </c>
      <c r="C40" s="25"/>
      <c r="D40" s="25"/>
      <c r="E40" s="25"/>
      <c r="F40" s="60">
        <v>16</v>
      </c>
      <c r="G40" s="25" t="s">
        <v>13</v>
      </c>
      <c r="H40" s="25"/>
      <c r="I40" s="27"/>
    </row>
    <row r="41" spans="1:9" x14ac:dyDescent="0.25">
      <c r="A41" s="31"/>
      <c r="B41" s="52" t="s">
        <v>42</v>
      </c>
      <c r="C41" s="25"/>
      <c r="D41" s="25"/>
      <c r="E41" s="25"/>
      <c r="F41" s="26">
        <v>10</v>
      </c>
      <c r="G41" s="25" t="s">
        <v>13</v>
      </c>
      <c r="H41" s="25">
        <v>2</v>
      </c>
      <c r="I41" s="27" t="s">
        <v>195</v>
      </c>
    </row>
    <row r="42" spans="1:9" ht="17.25" x14ac:dyDescent="0.25">
      <c r="A42" s="31"/>
      <c r="B42" s="54" t="s">
        <v>43</v>
      </c>
      <c r="C42" s="50"/>
      <c r="D42" s="25">
        <f>SUM(D34:D41)</f>
        <v>176585.9</v>
      </c>
      <c r="E42" s="25" t="s">
        <v>12</v>
      </c>
      <c r="F42" s="26">
        <f>F34+F35+F36+F37+(F38*2)+(F39*2)+(F40*4)+F41</f>
        <v>1680.1993149999998</v>
      </c>
      <c r="G42" s="25" t="s">
        <v>13</v>
      </c>
      <c r="H42" s="25"/>
      <c r="I42" s="27"/>
    </row>
    <row r="43" spans="1:9" ht="15.75" thickBot="1" x14ac:dyDescent="0.3">
      <c r="A43" s="57"/>
      <c r="B43" s="52"/>
      <c r="C43" s="25"/>
      <c r="D43" s="25"/>
      <c r="E43" s="25"/>
      <c r="F43" s="26"/>
      <c r="G43" s="25"/>
      <c r="H43" s="25"/>
      <c r="I43" s="27"/>
    </row>
    <row r="44" spans="1:9" ht="15.75" thickBot="1" x14ac:dyDescent="0.3">
      <c r="A44" s="62" t="s">
        <v>44</v>
      </c>
      <c r="B44" s="48"/>
      <c r="C44" s="49"/>
      <c r="D44" s="25"/>
      <c r="E44" s="25"/>
      <c r="F44" s="26"/>
      <c r="G44" s="25"/>
      <c r="H44" s="25"/>
      <c r="I44" s="27"/>
    </row>
    <row r="45" spans="1:9" ht="17.25" x14ac:dyDescent="0.25">
      <c r="A45" s="56"/>
      <c r="B45" s="52" t="s">
        <v>45</v>
      </c>
      <c r="C45" s="25"/>
      <c r="D45" s="25">
        <v>43042.5</v>
      </c>
      <c r="E45" s="25" t="s">
        <v>12</v>
      </c>
      <c r="F45" s="26">
        <f>D45*0.00785</f>
        <v>337.88362499999999</v>
      </c>
      <c r="G45" s="25" t="s">
        <v>13</v>
      </c>
      <c r="H45" s="25"/>
      <c r="I45" s="27"/>
    </row>
    <row r="46" spans="1:9" ht="18" x14ac:dyDescent="0.35">
      <c r="A46" s="31"/>
      <c r="B46" s="52" t="s">
        <v>27</v>
      </c>
      <c r="C46" s="25" t="s">
        <v>46</v>
      </c>
      <c r="D46" s="25">
        <v>38.700000000000003</v>
      </c>
      <c r="E46" s="25" t="s">
        <v>29</v>
      </c>
      <c r="F46" s="26"/>
      <c r="G46" s="26"/>
      <c r="H46" s="25"/>
      <c r="I46" s="27"/>
    </row>
    <row r="47" spans="1:9" x14ac:dyDescent="0.25">
      <c r="A47" s="31"/>
      <c r="B47" s="52" t="s">
        <v>30</v>
      </c>
      <c r="C47" s="25"/>
      <c r="D47" s="25">
        <v>85</v>
      </c>
      <c r="E47" s="25" t="s">
        <v>29</v>
      </c>
      <c r="F47" s="26"/>
      <c r="G47" s="26"/>
      <c r="H47" s="25"/>
      <c r="I47" s="27"/>
    </row>
    <row r="48" spans="1:9" ht="18" x14ac:dyDescent="0.35">
      <c r="A48" s="31"/>
      <c r="B48" s="54" t="s">
        <v>47</v>
      </c>
      <c r="C48" s="25" t="s">
        <v>48</v>
      </c>
      <c r="D48" s="26">
        <f>(D46/D47)*F45</f>
        <v>153.8364269117647</v>
      </c>
      <c r="E48" s="25" t="s">
        <v>13</v>
      </c>
      <c r="F48" s="26"/>
      <c r="G48" s="26"/>
      <c r="H48" s="25"/>
      <c r="I48" s="27"/>
    </row>
    <row r="49" spans="1:12" ht="18" x14ac:dyDescent="0.35">
      <c r="A49" s="31"/>
      <c r="B49" s="54" t="s">
        <v>49</v>
      </c>
      <c r="C49" s="25" t="s">
        <v>50</v>
      </c>
      <c r="D49" s="26">
        <f>((D47-D46)/D47)*F45</f>
        <v>184.04719808823529</v>
      </c>
      <c r="E49" s="25" t="s">
        <v>13</v>
      </c>
      <c r="F49" s="26"/>
      <c r="G49" s="26"/>
      <c r="H49" s="25"/>
      <c r="I49" s="27"/>
    </row>
    <row r="50" spans="1:12" ht="15.75" thickBot="1" x14ac:dyDescent="0.3">
      <c r="A50" s="57"/>
      <c r="B50" s="52"/>
      <c r="C50" s="25"/>
      <c r="D50" s="25"/>
      <c r="E50" s="25"/>
      <c r="F50" s="26"/>
      <c r="G50" s="26"/>
      <c r="H50" s="25"/>
      <c r="I50" s="27"/>
    </row>
    <row r="51" spans="1:12" ht="15.75" thickBot="1" x14ac:dyDescent="0.3">
      <c r="A51" s="62" t="s">
        <v>51</v>
      </c>
      <c r="B51" s="48"/>
      <c r="C51" s="49"/>
      <c r="D51" s="25"/>
      <c r="E51" s="25"/>
      <c r="F51" s="26"/>
      <c r="G51" s="26"/>
      <c r="H51" s="25"/>
      <c r="I51" s="27"/>
    </row>
    <row r="52" spans="1:12" ht="18" x14ac:dyDescent="0.35">
      <c r="A52" s="56"/>
      <c r="B52" s="52" t="s">
        <v>52</v>
      </c>
      <c r="C52" s="25" t="s">
        <v>53</v>
      </c>
      <c r="D52" s="25">
        <f>F23+2*D30</f>
        <v>2501.4515813600001</v>
      </c>
      <c r="E52" s="25" t="s">
        <v>13</v>
      </c>
      <c r="F52" s="26"/>
      <c r="G52" s="26"/>
      <c r="H52" s="25"/>
      <c r="I52" s="27"/>
    </row>
    <row r="53" spans="1:12" ht="18.75" thickBot="1" x14ac:dyDescent="0.4">
      <c r="A53" s="31"/>
      <c r="B53" s="63" t="s">
        <v>54</v>
      </c>
      <c r="C53" s="28" t="s">
        <v>55</v>
      </c>
      <c r="D53" s="29">
        <f>F42+D49</f>
        <v>1864.2465130882351</v>
      </c>
      <c r="E53" s="28" t="s">
        <v>13</v>
      </c>
      <c r="F53" s="29"/>
      <c r="G53" s="29"/>
      <c r="H53" s="28"/>
      <c r="I53" s="30"/>
    </row>
    <row r="54" spans="1:12" x14ac:dyDescent="0.25">
      <c r="F54" s="3"/>
      <c r="G54" s="3"/>
    </row>
    <row r="55" spans="1:12" ht="15.75" thickBot="1" x14ac:dyDescent="0.3">
      <c r="F55" s="3"/>
      <c r="G55" s="3"/>
    </row>
    <row r="56" spans="1:12" ht="18.75" thickBot="1" x14ac:dyDescent="0.4">
      <c r="A56" s="69" t="s">
        <v>56</v>
      </c>
      <c r="B56" s="70"/>
      <c r="C56" s="75"/>
      <c r="D56" s="76"/>
      <c r="E56" s="77"/>
      <c r="F56" s="74" t="s">
        <v>57</v>
      </c>
      <c r="G56" s="33" t="s">
        <v>58</v>
      </c>
      <c r="H56" s="33" t="s">
        <v>59</v>
      </c>
      <c r="I56" s="33" t="s">
        <v>60</v>
      </c>
      <c r="J56" s="33" t="s">
        <v>61</v>
      </c>
      <c r="K56" s="34" t="s">
        <v>62</v>
      </c>
    </row>
    <row r="57" spans="1:12" ht="18" x14ac:dyDescent="0.35">
      <c r="A57" s="56"/>
      <c r="B57" s="52" t="s">
        <v>63</v>
      </c>
      <c r="C57" s="39" t="s">
        <v>64</v>
      </c>
      <c r="D57" s="39">
        <f>0.5*D52</f>
        <v>1250.72579068</v>
      </c>
      <c r="E57" s="39" t="s">
        <v>13</v>
      </c>
      <c r="F57" s="26"/>
      <c r="G57" s="26"/>
      <c r="H57" s="25"/>
      <c r="I57" s="25"/>
      <c r="J57" s="25"/>
      <c r="K57" s="27"/>
    </row>
    <row r="58" spans="1:12" x14ac:dyDescent="0.25">
      <c r="A58" s="31"/>
      <c r="B58" s="52" t="s">
        <v>65</v>
      </c>
      <c r="C58" s="25"/>
      <c r="D58" s="51">
        <f>D29*2</f>
        <v>451.81669123999995</v>
      </c>
      <c r="E58" s="25" t="s">
        <v>13</v>
      </c>
      <c r="F58" s="26"/>
      <c r="G58" s="26"/>
      <c r="H58" s="25"/>
      <c r="I58" s="25"/>
      <c r="J58" s="25"/>
      <c r="K58" s="27"/>
    </row>
    <row r="59" spans="1:12" x14ac:dyDescent="0.25">
      <c r="A59" s="31"/>
      <c r="B59" s="52" t="s">
        <v>66</v>
      </c>
      <c r="C59" s="25"/>
      <c r="D59" s="60">
        <v>138</v>
      </c>
      <c r="E59" s="25" t="s">
        <v>13</v>
      </c>
      <c r="F59" s="26"/>
      <c r="G59" s="26"/>
      <c r="H59" s="25"/>
      <c r="I59" s="25"/>
      <c r="J59" s="25"/>
      <c r="K59" s="27"/>
    </row>
    <row r="60" spans="1:12" ht="15.75" thickBot="1" x14ac:dyDescent="0.3">
      <c r="A60" s="31"/>
      <c r="B60" s="52" t="s">
        <v>67</v>
      </c>
      <c r="C60" s="25"/>
      <c r="D60" s="25">
        <f>((PI()*35^2)/4)*18*0.00785</f>
        <v>135.94653159787279</v>
      </c>
      <c r="E60" s="25" t="s">
        <v>13</v>
      </c>
      <c r="F60" s="25"/>
      <c r="G60" s="25"/>
      <c r="H60" s="25"/>
      <c r="I60" s="25"/>
      <c r="J60" s="25"/>
      <c r="K60" s="78"/>
    </row>
    <row r="61" spans="1:12" ht="18.75" thickBot="1" x14ac:dyDescent="0.4">
      <c r="A61" s="31"/>
      <c r="B61" s="73" t="s">
        <v>68</v>
      </c>
      <c r="C61" s="72" t="s">
        <v>69</v>
      </c>
      <c r="D61" s="28">
        <f>SUM(D57:D59)</f>
        <v>1840.54248192</v>
      </c>
      <c r="E61" s="28" t="s">
        <v>13</v>
      </c>
      <c r="F61" s="28">
        <v>10</v>
      </c>
      <c r="G61" s="28" t="s">
        <v>70</v>
      </c>
      <c r="H61" s="28">
        <v>0</v>
      </c>
      <c r="I61" s="28">
        <f>D61*F61*SIN(H61)</f>
        <v>0</v>
      </c>
      <c r="J61" s="28">
        <f>(D61*F61*COS(H61))/10^3</f>
        <v>18.4054248192</v>
      </c>
      <c r="K61" s="28">
        <f>J61*COS(D74)</f>
        <v>15.416530470282225</v>
      </c>
      <c r="L61" s="79" t="s">
        <v>82</v>
      </c>
    </row>
    <row r="63" spans="1:12" ht="15.75" thickBot="1" x14ac:dyDescent="0.3"/>
    <row r="64" spans="1:12" ht="18.75" thickBot="1" x14ac:dyDescent="0.4">
      <c r="A64" s="69" t="s">
        <v>71</v>
      </c>
      <c r="B64" s="70"/>
      <c r="C64" s="81"/>
      <c r="D64" s="53"/>
      <c r="E64" s="57"/>
      <c r="F64" s="74" t="s">
        <v>57</v>
      </c>
      <c r="G64" s="33"/>
      <c r="H64" s="33" t="s">
        <v>59</v>
      </c>
      <c r="I64" s="33" t="s">
        <v>72</v>
      </c>
      <c r="J64" s="33" t="s">
        <v>73</v>
      </c>
      <c r="K64" s="87" t="s">
        <v>74</v>
      </c>
      <c r="L64" s="83"/>
    </row>
    <row r="65" spans="1:12" ht="18" x14ac:dyDescent="0.35">
      <c r="A65" s="56"/>
      <c r="B65" s="52" t="s">
        <v>63</v>
      </c>
      <c r="C65" s="39" t="s">
        <v>75</v>
      </c>
      <c r="D65" s="39">
        <f>0.5*D53</f>
        <v>932.12325654411757</v>
      </c>
      <c r="E65" s="39" t="s">
        <v>13</v>
      </c>
      <c r="F65" s="25"/>
      <c r="G65" s="25"/>
      <c r="H65" s="25"/>
      <c r="I65" s="25"/>
      <c r="J65" s="25"/>
      <c r="K65" s="82"/>
      <c r="L65" s="83"/>
    </row>
    <row r="66" spans="1:12" x14ac:dyDescent="0.25">
      <c r="A66" s="31"/>
      <c r="B66" s="52" t="s">
        <v>76</v>
      </c>
      <c r="C66" s="25"/>
      <c r="D66" s="26">
        <f>D49</f>
        <v>184.04719808823529</v>
      </c>
      <c r="E66" s="25" t="s">
        <v>13</v>
      </c>
      <c r="F66" s="25"/>
      <c r="G66" s="25"/>
      <c r="H66" s="25"/>
      <c r="I66" s="25"/>
      <c r="J66" s="25"/>
      <c r="K66" s="82"/>
      <c r="L66" s="83"/>
    </row>
    <row r="67" spans="1:12" x14ac:dyDescent="0.25">
      <c r="A67" s="31"/>
      <c r="B67" s="52" t="s">
        <v>66</v>
      </c>
      <c r="C67" s="25"/>
      <c r="D67" s="25">
        <v>69</v>
      </c>
      <c r="E67" s="25" t="s">
        <v>13</v>
      </c>
      <c r="F67" s="25"/>
      <c r="G67" s="25"/>
      <c r="H67" s="25"/>
      <c r="I67" s="25"/>
      <c r="J67" s="25"/>
      <c r="K67" s="82"/>
      <c r="L67" s="83"/>
    </row>
    <row r="68" spans="1:12" x14ac:dyDescent="0.25">
      <c r="A68" s="31"/>
      <c r="B68" s="52" t="s">
        <v>77</v>
      </c>
      <c r="C68" s="25"/>
      <c r="D68" s="25">
        <f>((PI()*35^2)/4)*18*0.00785</f>
        <v>135.94653159787279</v>
      </c>
      <c r="E68" s="25" t="s">
        <v>13</v>
      </c>
      <c r="F68" s="25"/>
      <c r="G68" s="25"/>
      <c r="H68" s="25"/>
      <c r="I68" s="25"/>
      <c r="J68" s="25"/>
      <c r="K68" s="82"/>
      <c r="L68" s="83"/>
    </row>
    <row r="69" spans="1:12" ht="15.75" thickBot="1" x14ac:dyDescent="0.3">
      <c r="A69" s="31"/>
      <c r="B69" s="86" t="s">
        <v>78</v>
      </c>
      <c r="C69" s="60"/>
      <c r="D69" s="60">
        <f>((PI()*55^2)/4)*20*0.00785*2</f>
        <v>746.01044550306631</v>
      </c>
      <c r="E69" s="60" t="s">
        <v>13</v>
      </c>
      <c r="F69" s="60"/>
      <c r="G69" s="60"/>
      <c r="H69" s="60"/>
      <c r="I69" s="60"/>
      <c r="J69" s="60"/>
      <c r="K69" s="84"/>
      <c r="L69" s="67"/>
    </row>
    <row r="70" spans="1:12" ht="18.75" thickBot="1" x14ac:dyDescent="0.4">
      <c r="A70" s="31"/>
      <c r="B70" s="73" t="s">
        <v>79</v>
      </c>
      <c r="C70" s="71" t="s">
        <v>80</v>
      </c>
      <c r="D70" s="28">
        <f>SUM(D65:D69)</f>
        <v>2067.1274317332918</v>
      </c>
      <c r="E70" s="28" t="s">
        <v>13</v>
      </c>
      <c r="F70" s="28">
        <v>19</v>
      </c>
      <c r="G70" s="28" t="s">
        <v>81</v>
      </c>
      <c r="H70" s="80">
        <f>(PI()/180)*80</f>
        <v>1.3962634015954636</v>
      </c>
      <c r="I70" s="80">
        <f>(D70*F70*SIN(H70))/10^3</f>
        <v>38.678739303468028</v>
      </c>
      <c r="J70" s="80">
        <f>(D70*F70*COS(H70))/10^3</f>
        <v>6.8201053189903558</v>
      </c>
      <c r="K70" s="80">
        <f>J70/COS(D74)</f>
        <v>8.1423596541177563</v>
      </c>
      <c r="L70" s="85" t="s">
        <v>82</v>
      </c>
    </row>
    <row r="71" spans="1:12" ht="15.75" thickBot="1" x14ac:dyDescent="0.3"/>
    <row r="72" spans="1:12" ht="18.75" thickBot="1" x14ac:dyDescent="0.4">
      <c r="A72" s="69" t="s">
        <v>83</v>
      </c>
      <c r="B72" s="70"/>
      <c r="C72" s="81"/>
      <c r="D72" s="53"/>
      <c r="E72" s="53"/>
      <c r="F72" s="53"/>
      <c r="G72" s="53"/>
      <c r="H72" s="57"/>
      <c r="I72" s="74" t="s">
        <v>84</v>
      </c>
      <c r="J72" s="33" t="s">
        <v>85</v>
      </c>
      <c r="K72" s="34" t="s">
        <v>86</v>
      </c>
    </row>
    <row r="73" spans="1:12" ht="15.75" thickBot="1" x14ac:dyDescent="0.3">
      <c r="A73" s="56"/>
      <c r="B73" s="52" t="s">
        <v>87</v>
      </c>
      <c r="C73" s="39"/>
      <c r="D73" s="39"/>
      <c r="E73" s="39"/>
      <c r="F73" s="93"/>
      <c r="G73" s="93"/>
      <c r="H73" s="93"/>
      <c r="I73" s="46">
        <f>I70+I61</f>
        <v>38.678739303468028</v>
      </c>
      <c r="J73" s="46">
        <f>J70+J61</f>
        <v>25.225530138190358</v>
      </c>
      <c r="K73" s="78">
        <f>SQRT(I73^2+J73^2)/((D70+D61)/1000)</f>
        <v>11.81717424848077</v>
      </c>
    </row>
    <row r="74" spans="1:12" x14ac:dyDescent="0.25">
      <c r="A74" s="31"/>
      <c r="B74" s="52" t="s">
        <v>88</v>
      </c>
      <c r="C74" s="88" t="s">
        <v>89</v>
      </c>
      <c r="D74" s="25">
        <f>ATAN(J73/I73)</f>
        <v>0.57790675057064544</v>
      </c>
      <c r="E74" s="82" t="s">
        <v>5</v>
      </c>
      <c r="F74" s="91"/>
      <c r="G74" s="92"/>
      <c r="H74" s="92"/>
      <c r="I74" s="92"/>
      <c r="J74" s="92"/>
      <c r="K74" s="92"/>
    </row>
    <row r="75" spans="1:12" x14ac:dyDescent="0.25">
      <c r="A75" s="31"/>
      <c r="B75" s="52" t="s">
        <v>90</v>
      </c>
      <c r="C75" s="88" t="s">
        <v>89</v>
      </c>
      <c r="D75" s="25">
        <f>D74*(180/PI())</f>
        <v>33.111617759817563</v>
      </c>
      <c r="E75" s="82"/>
      <c r="F75" s="83"/>
      <c r="G75" s="19"/>
      <c r="H75" s="19"/>
      <c r="I75" s="19"/>
      <c r="J75" s="19"/>
      <c r="K75" s="19"/>
    </row>
    <row r="76" spans="1:12" ht="18" x14ac:dyDescent="0.35">
      <c r="A76" s="31"/>
      <c r="B76" s="52" t="s">
        <v>91</v>
      </c>
      <c r="C76" s="25" t="s">
        <v>92</v>
      </c>
      <c r="D76" s="25">
        <f>SQRT(I73^2+J73^2)</f>
        <v>46.17761627518675</v>
      </c>
      <c r="E76" s="82" t="s">
        <v>82</v>
      </c>
      <c r="F76" s="83"/>
      <c r="G76" s="19"/>
      <c r="H76" s="19"/>
      <c r="I76" s="19"/>
      <c r="J76" s="19"/>
      <c r="K76" s="19"/>
    </row>
    <row r="77" spans="1:12" ht="18" x14ac:dyDescent="0.35">
      <c r="A77" s="31"/>
      <c r="B77" s="52" t="s">
        <v>93</v>
      </c>
      <c r="C77" s="25" t="s">
        <v>94</v>
      </c>
      <c r="D77" s="25">
        <f>D76/(K73)</f>
        <v>3.9076699136532915</v>
      </c>
      <c r="E77" s="82" t="s">
        <v>95</v>
      </c>
      <c r="F77" s="83"/>
      <c r="G77" s="19"/>
      <c r="H77" s="19"/>
      <c r="I77" s="19"/>
      <c r="J77" s="19"/>
      <c r="K77" s="19"/>
    </row>
    <row r="78" spans="1:12" ht="18" x14ac:dyDescent="0.35">
      <c r="A78" s="31"/>
      <c r="B78" s="52" t="s">
        <v>96</v>
      </c>
      <c r="C78" s="25" t="s">
        <v>97</v>
      </c>
      <c r="D78" s="25">
        <f>(D76*D79^2)/1000</f>
        <v>457.02079039034714</v>
      </c>
      <c r="E78" s="82" t="s">
        <v>98</v>
      </c>
      <c r="F78" s="83"/>
      <c r="G78" s="19"/>
      <c r="H78" s="19"/>
      <c r="I78" s="19"/>
      <c r="J78" s="19"/>
      <c r="K78" s="19"/>
    </row>
    <row r="79" spans="1:12" ht="15.75" thickBot="1" x14ac:dyDescent="0.3">
      <c r="A79" s="31"/>
      <c r="B79" s="63" t="s">
        <v>99</v>
      </c>
      <c r="C79" s="89" t="s">
        <v>100</v>
      </c>
      <c r="D79" s="28">
        <f>950*2*PI()/60</f>
        <v>99.48376736367679</v>
      </c>
      <c r="E79" s="90" t="s">
        <v>101</v>
      </c>
      <c r="F79" s="83"/>
      <c r="G79" s="19"/>
      <c r="H79" s="19"/>
      <c r="I79" s="19"/>
      <c r="J79" s="19"/>
      <c r="K79" s="19"/>
    </row>
  </sheetData>
  <mergeCells count="11">
    <mergeCell ref="A1:B1"/>
    <mergeCell ref="A25:B25"/>
    <mergeCell ref="A72:B72"/>
    <mergeCell ref="A64:B64"/>
    <mergeCell ref="A56:B56"/>
    <mergeCell ref="A51:B51"/>
    <mergeCell ref="A44:B44"/>
    <mergeCell ref="A33:B33"/>
    <mergeCell ref="B2:D2"/>
    <mergeCell ref="B3:C3"/>
    <mergeCell ref="A11:B11"/>
  </mergeCells>
  <pageMargins left="0.7" right="0.7" top="0.75" bottom="0.75" header="0.3" footer="0.3"/>
  <pageSetup paperSize="9" scale="71" orientation="landscape" r:id="rId1"/>
  <rowBreaks count="2" manualBreakCount="2">
    <brk id="31" max="11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4FEC-E55E-4F14-BF7E-E001B76FB928}">
  <sheetPr>
    <pageSetUpPr fitToPage="1"/>
  </sheetPr>
  <dimension ref="A2:G52"/>
  <sheetViews>
    <sheetView tabSelected="1" view="pageBreakPreview" topLeftCell="A22" zoomScale="60" zoomScaleNormal="90" workbookViewId="0">
      <selection activeCell="L18" sqref="L18"/>
    </sheetView>
  </sheetViews>
  <sheetFormatPr baseColWidth="10" defaultColWidth="11.42578125" defaultRowHeight="15" x14ac:dyDescent="0.25"/>
  <cols>
    <col min="2" max="2" width="53.42578125" bestFit="1" customWidth="1"/>
    <col min="3" max="3" width="10.42578125" bestFit="1" customWidth="1"/>
    <col min="4" max="4" width="13.28515625" bestFit="1" customWidth="1"/>
    <col min="5" max="5" width="16.42578125" bestFit="1" customWidth="1"/>
  </cols>
  <sheetData>
    <row r="2" spans="1:7" x14ac:dyDescent="0.25">
      <c r="B2" s="17" t="s">
        <v>102</v>
      </c>
      <c r="C2" s="9"/>
      <c r="D2" s="9"/>
    </row>
    <row r="3" spans="1:7" x14ac:dyDescent="0.25">
      <c r="A3" s="9"/>
      <c r="B3" s="15" t="s">
        <v>103</v>
      </c>
      <c r="C3" s="18">
        <f>Masse!D76</f>
        <v>46.17761627518675</v>
      </c>
      <c r="D3" s="15" t="s">
        <v>82</v>
      </c>
    </row>
    <row r="4" spans="1:7" x14ac:dyDescent="0.25">
      <c r="A4" s="9"/>
      <c r="B4" s="16" t="s">
        <v>104</v>
      </c>
      <c r="C4" s="18">
        <f>Masse!D7</f>
        <v>0.57790675057064544</v>
      </c>
      <c r="D4" s="15" t="s">
        <v>5</v>
      </c>
    </row>
    <row r="5" spans="1:7" x14ac:dyDescent="0.25">
      <c r="A5" s="9"/>
      <c r="B5" s="16" t="s">
        <v>105</v>
      </c>
      <c r="C5" s="18">
        <f>C4+PI()</f>
        <v>3.7194994041604383</v>
      </c>
      <c r="D5" s="15" t="s">
        <v>5</v>
      </c>
      <c r="G5" s="14"/>
    </row>
    <row r="6" spans="1:7" x14ac:dyDescent="0.25">
      <c r="A6" s="9"/>
      <c r="B6" s="16" t="s">
        <v>106</v>
      </c>
      <c r="C6" s="18">
        <f>C5*(180/PI())</f>
        <v>213.11161775981756</v>
      </c>
      <c r="D6" s="15" t="s">
        <v>107</v>
      </c>
    </row>
    <row r="7" spans="1:7" x14ac:dyDescent="0.25">
      <c r="B7" s="107" t="s">
        <v>108</v>
      </c>
      <c r="C7" s="108">
        <f>C4*(180/PI())</f>
        <v>33.111617759817563</v>
      </c>
      <c r="D7" s="109" t="s">
        <v>107</v>
      </c>
      <c r="G7" s="14"/>
    </row>
    <row r="8" spans="1:7" ht="15.75" thickBot="1" x14ac:dyDescent="0.3">
      <c r="A8" s="14"/>
      <c r="B8" s="141"/>
      <c r="C8" s="142"/>
      <c r="D8" s="143"/>
      <c r="E8" s="14"/>
      <c r="G8" s="14"/>
    </row>
    <row r="9" spans="1:7" ht="15.75" thickBot="1" x14ac:dyDescent="0.3">
      <c r="A9" s="139" t="s">
        <v>109</v>
      </c>
      <c r="B9" s="140"/>
      <c r="C9" s="110"/>
      <c r="D9" s="111"/>
      <c r="E9" s="23"/>
    </row>
    <row r="10" spans="1:7" ht="15.75" x14ac:dyDescent="0.3">
      <c r="A10" s="120"/>
      <c r="B10" s="118" t="s">
        <v>110</v>
      </c>
      <c r="C10" s="112" t="s">
        <v>111</v>
      </c>
      <c r="D10" s="113">
        <v>158</v>
      </c>
      <c r="E10" s="114" t="s">
        <v>29</v>
      </c>
      <c r="F10" s="13"/>
    </row>
    <row r="11" spans="1:7" ht="16.5" thickBot="1" x14ac:dyDescent="0.35">
      <c r="A11" s="121"/>
      <c r="B11" s="119" t="s">
        <v>112</v>
      </c>
      <c r="C11" s="115" t="s">
        <v>113</v>
      </c>
      <c r="D11" s="116">
        <v>126</v>
      </c>
      <c r="E11" s="117" t="s">
        <v>29</v>
      </c>
      <c r="F11" s="13"/>
    </row>
    <row r="12" spans="1:7" ht="15.75" thickBot="1" x14ac:dyDescent="0.3">
      <c r="A12" s="9"/>
      <c r="B12" s="10"/>
      <c r="C12" s="10"/>
      <c r="D12" s="11"/>
      <c r="E12" s="9"/>
    </row>
    <row r="13" spans="1:7" ht="15.75" thickBot="1" x14ac:dyDescent="0.3">
      <c r="A13" s="139" t="s">
        <v>114</v>
      </c>
      <c r="B13" s="140"/>
      <c r="C13" s="122"/>
      <c r="D13" s="110"/>
      <c r="E13" s="123"/>
    </row>
    <row r="14" spans="1:7" x14ac:dyDescent="0.25">
      <c r="A14" s="120"/>
      <c r="B14" s="118" t="s">
        <v>115</v>
      </c>
      <c r="C14" s="25"/>
      <c r="D14" s="124">
        <f>D11/(D10+D11)*C3</f>
        <v>20.487252291103982</v>
      </c>
      <c r="E14" s="125" t="s">
        <v>82</v>
      </c>
    </row>
    <row r="15" spans="1:7" x14ac:dyDescent="0.25">
      <c r="A15" s="121"/>
      <c r="B15" s="118" t="s">
        <v>116</v>
      </c>
      <c r="C15" s="112"/>
      <c r="D15" s="124">
        <f>D10/(D10+D11)*C3</f>
        <v>25.690363984082772</v>
      </c>
      <c r="E15" s="125" t="s">
        <v>82</v>
      </c>
    </row>
    <row r="16" spans="1:7" ht="15.75" thickBot="1" x14ac:dyDescent="0.3">
      <c r="A16" s="121"/>
      <c r="B16" s="119" t="s">
        <v>117</v>
      </c>
      <c r="C16" s="115"/>
      <c r="D16" s="126">
        <f>SUM(D14:D15)</f>
        <v>46.17761627518675</v>
      </c>
      <c r="E16" s="127" t="s">
        <v>82</v>
      </c>
    </row>
    <row r="17" spans="1:6" ht="15.75" thickBot="1" x14ac:dyDescent="0.3">
      <c r="A17" s="9"/>
      <c r="B17" s="10"/>
      <c r="C17" s="10"/>
      <c r="D17" s="11"/>
      <c r="E17" s="9"/>
    </row>
    <row r="18" spans="1:6" ht="15.75" thickBot="1" x14ac:dyDescent="0.3">
      <c r="A18" s="139" t="s">
        <v>118</v>
      </c>
      <c r="B18" s="140"/>
      <c r="C18" s="122"/>
      <c r="D18" s="110"/>
      <c r="E18" s="123"/>
    </row>
    <row r="19" spans="1:6" ht="15.75" x14ac:dyDescent="0.3">
      <c r="A19" s="120"/>
      <c r="B19" s="118" t="s">
        <v>119</v>
      </c>
      <c r="C19" s="112" t="s">
        <v>120</v>
      </c>
      <c r="D19" s="128">
        <v>70</v>
      </c>
      <c r="E19" s="125" t="s">
        <v>29</v>
      </c>
    </row>
    <row r="20" spans="1:6" ht="15.75" x14ac:dyDescent="0.3">
      <c r="A20" s="121"/>
      <c r="B20" s="118" t="s">
        <v>121</v>
      </c>
      <c r="C20" s="112" t="s">
        <v>122</v>
      </c>
      <c r="D20" s="124">
        <f>D14/D19</f>
        <v>0.29267503273005691</v>
      </c>
      <c r="E20" s="125" t="s">
        <v>95</v>
      </c>
    </row>
    <row r="21" spans="1:6" ht="15.75" x14ac:dyDescent="0.3">
      <c r="A21" s="121"/>
      <c r="B21" s="118" t="s">
        <v>123</v>
      </c>
      <c r="C21" s="112" t="s">
        <v>124</v>
      </c>
      <c r="D21" s="124">
        <v>100</v>
      </c>
      <c r="E21" s="125" t="s">
        <v>29</v>
      </c>
      <c r="F21" s="12"/>
    </row>
    <row r="22" spans="1:6" ht="15.75" x14ac:dyDescent="0.3">
      <c r="A22" s="121"/>
      <c r="B22" s="135" t="s">
        <v>125</v>
      </c>
      <c r="C22" s="129" t="s">
        <v>126</v>
      </c>
      <c r="D22" s="130">
        <f>SQRT((D20*4)/(PI()*D21*7850*10^-9))</f>
        <v>21.787784382920748</v>
      </c>
      <c r="E22" s="131" t="s">
        <v>29</v>
      </c>
      <c r="F22" t="s">
        <v>127</v>
      </c>
    </row>
    <row r="23" spans="1:6" ht="15.75" x14ac:dyDescent="0.3">
      <c r="A23" s="121"/>
      <c r="B23" s="136" t="s">
        <v>128</v>
      </c>
      <c r="C23" s="132" t="s">
        <v>129</v>
      </c>
      <c r="D23" s="133">
        <f>D19*D20*Masse!D79^2/1000</f>
        <v>202.76274503233714</v>
      </c>
      <c r="E23" s="125" t="s">
        <v>98</v>
      </c>
    </row>
    <row r="24" spans="1:6" x14ac:dyDescent="0.25">
      <c r="A24" s="137"/>
      <c r="B24" s="118" t="s">
        <v>130</v>
      </c>
      <c r="C24" s="112"/>
      <c r="D24" s="133">
        <f>2*D19+D22</f>
        <v>161.78778438292073</v>
      </c>
      <c r="E24" s="125" t="s">
        <v>131</v>
      </c>
    </row>
    <row r="25" spans="1:6" ht="15.75" thickBot="1" x14ac:dyDescent="0.3">
      <c r="A25" s="137"/>
      <c r="B25" s="119" t="s">
        <v>132</v>
      </c>
      <c r="C25" s="115"/>
      <c r="D25" s="134">
        <f>2*D19-D22</f>
        <v>118.21221561707925</v>
      </c>
      <c r="E25" s="127" t="s">
        <v>131</v>
      </c>
    </row>
    <row r="26" spans="1:6" ht="15.75" thickBot="1" x14ac:dyDescent="0.3">
      <c r="A26" s="9"/>
      <c r="B26" s="10"/>
      <c r="C26" s="10"/>
      <c r="D26" s="11"/>
      <c r="E26" s="9"/>
    </row>
    <row r="27" spans="1:6" ht="15.75" thickBot="1" x14ac:dyDescent="0.3">
      <c r="A27" s="139" t="s">
        <v>133</v>
      </c>
      <c r="B27" s="140"/>
      <c r="C27" s="122"/>
      <c r="D27" s="110"/>
      <c r="E27" s="123"/>
    </row>
    <row r="28" spans="1:6" ht="15.75" x14ac:dyDescent="0.3">
      <c r="A28" s="120"/>
      <c r="B28" s="118" t="s">
        <v>134</v>
      </c>
      <c r="C28" s="112" t="s">
        <v>135</v>
      </c>
      <c r="D28" s="128">
        <v>60</v>
      </c>
      <c r="E28" s="125" t="s">
        <v>29</v>
      </c>
    </row>
    <row r="29" spans="1:6" ht="15.75" x14ac:dyDescent="0.3">
      <c r="A29" s="121"/>
      <c r="B29" s="136" t="s">
        <v>121</v>
      </c>
      <c r="C29" s="132" t="s">
        <v>136</v>
      </c>
      <c r="D29" s="124">
        <f>D15/D28</f>
        <v>0.42817273306804621</v>
      </c>
      <c r="E29" s="125" t="s">
        <v>95</v>
      </c>
    </row>
    <row r="30" spans="1:6" ht="15.75" x14ac:dyDescent="0.3">
      <c r="A30" s="121"/>
      <c r="B30" s="136" t="s">
        <v>123</v>
      </c>
      <c r="C30" s="132" t="s">
        <v>137</v>
      </c>
      <c r="D30" s="124">
        <v>34</v>
      </c>
      <c r="E30" s="125" t="s">
        <v>29</v>
      </c>
    </row>
    <row r="31" spans="1:6" ht="18.75" x14ac:dyDescent="0.35">
      <c r="A31" s="121"/>
      <c r="B31" s="135" t="s">
        <v>138</v>
      </c>
      <c r="C31" s="138" t="s">
        <v>139</v>
      </c>
      <c r="D31" s="130">
        <f>SQRT((D29*4)/(PI()*D30*7850*10^-9))</f>
        <v>45.19498805588055</v>
      </c>
      <c r="E31" s="131" t="s">
        <v>29</v>
      </c>
      <c r="F31" t="s">
        <v>127</v>
      </c>
    </row>
    <row r="32" spans="1:6" ht="15.75" x14ac:dyDescent="0.3">
      <c r="A32" s="121"/>
      <c r="B32" s="118" t="s">
        <v>128</v>
      </c>
      <c r="C32" s="112" t="s">
        <v>140</v>
      </c>
      <c r="D32" s="133">
        <f>D28*D29*Masse!D79^2/1000</f>
        <v>254.25804535801004</v>
      </c>
      <c r="E32" s="125" t="s">
        <v>98</v>
      </c>
    </row>
    <row r="33" spans="1:5" x14ac:dyDescent="0.25">
      <c r="A33" s="121"/>
      <c r="B33" s="118" t="s">
        <v>130</v>
      </c>
      <c r="C33" s="112"/>
      <c r="D33" s="133">
        <f>2*D28+D31</f>
        <v>165.19498805588054</v>
      </c>
      <c r="E33" s="125" t="s">
        <v>29</v>
      </c>
    </row>
    <row r="34" spans="1:5" x14ac:dyDescent="0.25">
      <c r="A34" s="121"/>
      <c r="B34" s="118" t="s">
        <v>132</v>
      </c>
      <c r="C34" s="112"/>
      <c r="D34" s="133">
        <f>2*D28-D31</f>
        <v>74.805011944119457</v>
      </c>
      <c r="E34" s="125" t="s">
        <v>29</v>
      </c>
    </row>
    <row r="35" spans="1:5" x14ac:dyDescent="0.25">
      <c r="A35" s="121"/>
      <c r="B35" s="118"/>
      <c r="C35" s="112"/>
      <c r="D35" s="133"/>
      <c r="E35" s="125"/>
    </row>
    <row r="36" spans="1:5" ht="15.75" thickBot="1" x14ac:dyDescent="0.3">
      <c r="A36" s="121"/>
      <c r="B36" s="119" t="s">
        <v>141</v>
      </c>
      <c r="C36" s="115"/>
      <c r="D36" s="134">
        <f>D32+D23</f>
        <v>457.0207903903472</v>
      </c>
      <c r="E36" s="127" t="s">
        <v>98</v>
      </c>
    </row>
    <row r="38" spans="1:5" ht="15.75" thickBot="1" x14ac:dyDescent="0.3"/>
    <row r="39" spans="1:5" ht="17.100000000000001" customHeight="1" x14ac:dyDescent="0.25">
      <c r="B39" s="104" t="s">
        <v>142</v>
      </c>
      <c r="C39" s="105"/>
      <c r="D39" s="105"/>
      <c r="E39" s="106"/>
    </row>
    <row r="40" spans="1:5" ht="17.100000000000001" customHeight="1" x14ac:dyDescent="0.25">
      <c r="B40" s="94" t="s">
        <v>143</v>
      </c>
      <c r="C40" s="95"/>
      <c r="D40" s="95"/>
      <c r="E40" s="96"/>
    </row>
    <row r="41" spans="1:5" ht="17.100000000000001" customHeight="1" x14ac:dyDescent="0.25">
      <c r="B41" s="24" t="s">
        <v>144</v>
      </c>
      <c r="C41" s="25"/>
      <c r="D41" s="25">
        <f>0.026062*1000</f>
        <v>26.061999999999998</v>
      </c>
      <c r="E41" s="27" t="s">
        <v>29</v>
      </c>
    </row>
    <row r="42" spans="1:5" ht="17.100000000000001" customHeight="1" x14ac:dyDescent="0.35">
      <c r="B42" s="24" t="s">
        <v>145</v>
      </c>
      <c r="C42" s="88" t="s">
        <v>146</v>
      </c>
      <c r="D42" s="97">
        <f>D22</f>
        <v>21.787784382920748</v>
      </c>
      <c r="E42" s="27" t="s">
        <v>29</v>
      </c>
    </row>
    <row r="43" spans="1:5" ht="17.100000000000001" customHeight="1" x14ac:dyDescent="0.35">
      <c r="B43" s="24" t="s">
        <v>147</v>
      </c>
      <c r="C43" s="88" t="s">
        <v>148</v>
      </c>
      <c r="D43" s="25">
        <f>D41-D42</f>
        <v>4.2742156170792498</v>
      </c>
      <c r="E43" s="27" t="s">
        <v>29</v>
      </c>
    </row>
    <row r="44" spans="1:5" ht="17.100000000000001" customHeight="1" x14ac:dyDescent="0.25">
      <c r="B44" s="94" t="s">
        <v>149</v>
      </c>
      <c r="C44" s="95"/>
      <c r="D44" s="95"/>
      <c r="E44" s="96"/>
    </row>
    <row r="45" spans="1:5" ht="17.100000000000001" customHeight="1" x14ac:dyDescent="0.25">
      <c r="B45" s="24" t="s">
        <v>144</v>
      </c>
      <c r="C45" s="25"/>
      <c r="D45" s="25">
        <f>0.05406*1000</f>
        <v>54.059999999999995</v>
      </c>
      <c r="E45" s="27" t="s">
        <v>29</v>
      </c>
    </row>
    <row r="46" spans="1:5" ht="17.100000000000001" customHeight="1" x14ac:dyDescent="0.35">
      <c r="B46" s="24" t="s">
        <v>145</v>
      </c>
      <c r="C46" s="25" t="s">
        <v>150</v>
      </c>
      <c r="D46" s="97">
        <f>D31</f>
        <v>45.19498805588055</v>
      </c>
      <c r="E46" s="27" t="s">
        <v>29</v>
      </c>
    </row>
    <row r="47" spans="1:5" ht="17.100000000000001" customHeight="1" x14ac:dyDescent="0.35">
      <c r="B47" s="24" t="s">
        <v>147</v>
      </c>
      <c r="C47" s="25" t="s">
        <v>151</v>
      </c>
      <c r="D47" s="98">
        <f>D45-D46</f>
        <v>8.8650119441194448</v>
      </c>
      <c r="E47" s="27" t="s">
        <v>29</v>
      </c>
    </row>
    <row r="48" spans="1:5" ht="17.100000000000001" customHeight="1" x14ac:dyDescent="0.25">
      <c r="B48" s="99"/>
      <c r="C48" s="100"/>
      <c r="D48" s="100"/>
      <c r="E48" s="101"/>
    </row>
    <row r="49" spans="2:5" ht="17.100000000000001" customHeight="1" x14ac:dyDescent="0.25">
      <c r="B49" s="24" t="s">
        <v>152</v>
      </c>
      <c r="C49" s="25"/>
      <c r="D49" s="25">
        <v>28.082350000000002</v>
      </c>
      <c r="E49" s="102" t="s">
        <v>6</v>
      </c>
    </row>
    <row r="50" spans="2:5" ht="17.100000000000001" customHeight="1" x14ac:dyDescent="0.25">
      <c r="B50" s="24" t="s">
        <v>153</v>
      </c>
      <c r="C50" s="88" t="s">
        <v>89</v>
      </c>
      <c r="D50" s="25">
        <f>C7</f>
        <v>33.111617759817563</v>
      </c>
      <c r="E50" s="102" t="s">
        <v>6</v>
      </c>
    </row>
    <row r="51" spans="2:5" ht="17.100000000000001" customHeight="1" thickBot="1" x14ac:dyDescent="0.3">
      <c r="B51" s="61" t="s">
        <v>147</v>
      </c>
      <c r="C51" s="28"/>
      <c r="D51" s="28">
        <f>D49-D50</f>
        <v>-5.0292677598175608</v>
      </c>
      <c r="E51" s="103" t="s">
        <v>6</v>
      </c>
    </row>
    <row r="52" spans="2:5" ht="17.100000000000001" customHeight="1" x14ac:dyDescent="0.25"/>
  </sheetData>
  <mergeCells count="8">
    <mergeCell ref="A27:B27"/>
    <mergeCell ref="A18:B18"/>
    <mergeCell ref="A13:B13"/>
    <mergeCell ref="A9:B9"/>
    <mergeCell ref="B39:E39"/>
    <mergeCell ref="B40:E40"/>
    <mergeCell ref="B44:E44"/>
    <mergeCell ref="B48:E48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ACDF6-DB38-4CA0-BDA6-D6466CC5BBCA}">
  <dimension ref="B3:G19"/>
  <sheetViews>
    <sheetView workbookViewId="0">
      <selection activeCell="D5" sqref="D5"/>
    </sheetView>
  </sheetViews>
  <sheetFormatPr baseColWidth="10" defaultColWidth="11.42578125" defaultRowHeight="15" x14ac:dyDescent="0.25"/>
  <cols>
    <col min="2" max="2" width="31" bestFit="1" customWidth="1"/>
  </cols>
  <sheetData>
    <row r="3" spans="2:5" x14ac:dyDescent="0.25">
      <c r="B3" t="s">
        <v>154</v>
      </c>
      <c r="C3" s="5" t="s">
        <v>155</v>
      </c>
      <c r="D3">
        <v>950</v>
      </c>
      <c r="E3" t="s">
        <v>156</v>
      </c>
    </row>
    <row r="4" spans="2:5" x14ac:dyDescent="0.25">
      <c r="C4" s="6" t="s">
        <v>100</v>
      </c>
      <c r="D4" s="3">
        <f>2*D3*PI()/60</f>
        <v>99.48376736367679</v>
      </c>
    </row>
    <row r="5" spans="2:5" x14ac:dyDescent="0.25">
      <c r="B5" t="s">
        <v>157</v>
      </c>
      <c r="C5" s="5"/>
    </row>
    <row r="6" spans="2:5" x14ac:dyDescent="0.25">
      <c r="C6" s="5"/>
    </row>
    <row r="7" spans="2:5" x14ac:dyDescent="0.25">
      <c r="C7" s="5"/>
    </row>
    <row r="8" spans="2:5" ht="18" x14ac:dyDescent="0.35">
      <c r="B8" t="s">
        <v>158</v>
      </c>
      <c r="C8" s="5" t="s">
        <v>159</v>
      </c>
      <c r="D8">
        <v>10</v>
      </c>
      <c r="E8" t="s">
        <v>29</v>
      </c>
    </row>
    <row r="9" spans="2:5" ht="18" x14ac:dyDescent="0.35">
      <c r="B9" t="s">
        <v>160</v>
      </c>
      <c r="C9" s="5" t="s">
        <v>161</v>
      </c>
      <c r="D9">
        <v>85</v>
      </c>
      <c r="E9" t="s">
        <v>29</v>
      </c>
    </row>
    <row r="10" spans="2:5" ht="18" x14ac:dyDescent="0.35">
      <c r="C10" s="7" t="s">
        <v>162</v>
      </c>
      <c r="D10" s="2">
        <f>D8/D9</f>
        <v>0.11764705882352941</v>
      </c>
    </row>
    <row r="11" spans="2:5" ht="18" x14ac:dyDescent="0.35">
      <c r="B11" t="s">
        <v>163</v>
      </c>
      <c r="C11" s="5" t="s">
        <v>164</v>
      </c>
      <c r="D11">
        <v>38.700000000000003</v>
      </c>
      <c r="E11" t="s">
        <v>29</v>
      </c>
    </row>
    <row r="12" spans="2:5" x14ac:dyDescent="0.25">
      <c r="C12" s="5"/>
    </row>
    <row r="13" spans="2:5" ht="18" x14ac:dyDescent="0.35">
      <c r="B13" t="s">
        <v>165</v>
      </c>
      <c r="C13" s="5" t="s">
        <v>166</v>
      </c>
      <c r="D13">
        <v>19</v>
      </c>
      <c r="E13" t="s">
        <v>29</v>
      </c>
    </row>
    <row r="14" spans="2:5" ht="18" x14ac:dyDescent="0.35">
      <c r="B14" t="s">
        <v>167</v>
      </c>
      <c r="C14" s="5" t="s">
        <v>168</v>
      </c>
      <c r="D14">
        <v>175</v>
      </c>
      <c r="E14" t="s">
        <v>29</v>
      </c>
    </row>
    <row r="15" spans="2:5" ht="18" x14ac:dyDescent="0.35">
      <c r="C15" s="6" t="s">
        <v>169</v>
      </c>
      <c r="D15" s="2">
        <f>D13/D14</f>
        <v>0.10857142857142857</v>
      </c>
    </row>
    <row r="16" spans="2:5" ht="18" x14ac:dyDescent="0.35">
      <c r="B16" t="s">
        <v>170</v>
      </c>
      <c r="C16" s="5" t="s">
        <v>171</v>
      </c>
      <c r="D16">
        <v>76.900000000000006</v>
      </c>
      <c r="E16" t="s">
        <v>29</v>
      </c>
    </row>
    <row r="19" spans="2:7" x14ac:dyDescent="0.25">
      <c r="B19" t="s">
        <v>172</v>
      </c>
      <c r="D19">
        <f>0.5*17.5*33.84</f>
        <v>296.10000000000002</v>
      </c>
      <c r="F19" t="s">
        <v>173</v>
      </c>
      <c r="G19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94EF-BE2B-48E2-AD59-EC3EF2581204}">
  <dimension ref="A1:J11"/>
  <sheetViews>
    <sheetView workbookViewId="0">
      <selection activeCell="A13" sqref="A13"/>
    </sheetView>
  </sheetViews>
  <sheetFormatPr baseColWidth="10" defaultColWidth="11.42578125" defaultRowHeight="15" x14ac:dyDescent="0.25"/>
  <cols>
    <col min="1" max="1" width="18.5703125" customWidth="1"/>
    <col min="2" max="2" width="18.85546875" customWidth="1"/>
    <col min="3" max="5" width="11.5703125" bestFit="1" customWidth="1"/>
    <col min="6" max="6" width="13.42578125" customWidth="1"/>
    <col min="7" max="7" width="12.140625" bestFit="1" customWidth="1"/>
  </cols>
  <sheetData>
    <row r="1" spans="1:10" x14ac:dyDescent="0.25">
      <c r="A1" t="s">
        <v>175</v>
      </c>
    </row>
    <row r="2" spans="1:10" x14ac:dyDescent="0.25">
      <c r="A2" s="4" t="s">
        <v>176</v>
      </c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</row>
    <row r="3" spans="1:10" ht="18.75" x14ac:dyDescent="0.35">
      <c r="A3" t="s">
        <v>11</v>
      </c>
      <c r="B3" s="5" t="s">
        <v>184</v>
      </c>
      <c r="C3" s="8">
        <f>Geometri!$D$8*10^(-3)*(Geometri!$D$4)^2*(COS(-80)+Geometri!$D$10*COS(2*-80))</f>
        <v>-22.284839084600101</v>
      </c>
      <c r="D3" s="8">
        <f>Geometri!$D$8*10^(-3)*(Geometri!$D$4)^2*(1+Geometri!$D$10)</f>
        <v>110.61375259325477</v>
      </c>
      <c r="E3" s="8">
        <f>Geometri!$D$8*10^(-3)*(Geometri!$D$4)^2*(COS(45)+Geometri!$D$10*COS(2*45))</f>
        <v>46.77405327962218</v>
      </c>
      <c r="F3" s="8">
        <f>Geometri!$D$8*10^(-3)*(Geometri!$D$4)^2*(COS(90)+Geometri!$D$10*COS(2*90))</f>
        <v>-51.314136738880308</v>
      </c>
      <c r="G3" s="8">
        <f>Geometri!$D$8*10^(-3)*(Geometri!$D$4)^2*(COS(100)+Geometri!$D$10*COS(2*100))</f>
        <v>91.016466454038394</v>
      </c>
      <c r="H3" s="8">
        <f>Geometri!$D$8*10^(-3)*(Geometri!$D$4)^2*(COS(135)+Geometri!$D$10*COS(2*135))</f>
        <v>-87.121308630932816</v>
      </c>
      <c r="I3" s="8">
        <f>-Geometri!$D$8*10^(-3)*(Geometri!$D$4)^2*(1-Geometri!$D$10)</f>
        <v>-87.326646784148508</v>
      </c>
      <c r="J3" t="s">
        <v>185</v>
      </c>
    </row>
    <row r="4" spans="1:10" ht="18.75" x14ac:dyDescent="0.35">
      <c r="A4" t="s">
        <v>36</v>
      </c>
      <c r="B4" s="5" t="s">
        <v>186</v>
      </c>
      <c r="C4" s="8">
        <f>Geometri!$D$13*10^(-3)*(Geometri!$D$4)^2*(COS(-80)+Geometri!$D$15*COS(2*-80))</f>
        <v>-40.676173389561328</v>
      </c>
      <c r="D4" s="8">
        <f>Geometri!$D$13*10^(-3)*(Geometri!$D$4)^2*(1+Geometri!$D$15)</f>
        <v>208.45951774431668</v>
      </c>
      <c r="E4" s="8">
        <f>Geometri!$D$13*10^(-3)*(Geometri!$D$4)^2*(COS(45)+Geometri!$D$15*COS(2*45))</f>
        <v>89.635389123389601</v>
      </c>
      <c r="F4" s="8">
        <f>Geometri!$D$13*10^(-3)*(Geometri!$D$4)^2*(COS(90)+Geometri!$D$15*COS(2*90))</f>
        <v>-96.475520559058779</v>
      </c>
      <c r="G4" s="8">
        <f>Geometri!$D$13*10^(-3)*(Geometri!$D$4)^2*(COS(100)+Geometri!$D$15*COS(2*100))</f>
        <v>172.09984584116316</v>
      </c>
      <c r="H4" s="8">
        <f>Geometri!$D$13*10^(-3)*(Geometri!$D$4)^2*(COS(135)+Geometri!$D$15*COS(2*135))</f>
        <v>-167.21044462831648</v>
      </c>
      <c r="I4" s="8">
        <f>-Geometri!$D$13*10^(-3)*(Geometri!$D$4)^2*(1-Geometri!$D$15)</f>
        <v>-167.62724107274951</v>
      </c>
      <c r="J4" t="s">
        <v>185</v>
      </c>
    </row>
    <row r="7" spans="1:10" x14ac:dyDescent="0.25">
      <c r="A7" s="4" t="s">
        <v>187</v>
      </c>
    </row>
    <row r="8" spans="1:10" x14ac:dyDescent="0.25">
      <c r="A8" t="s">
        <v>188</v>
      </c>
      <c r="C8" s="8">
        <f>(Masse!$F$23*10^(-3))+(Masse!$D$30*10^(-3)*2)*C3</f>
        <v>-10.919341463095019</v>
      </c>
      <c r="D8" s="8">
        <f>(Masse!$F$23*10^(-3))+(Masse!$D$30*10^(-3)*2)*D3</f>
        <v>65.680049596800487</v>
      </c>
      <c r="E8" s="8">
        <f>(Masse!$F$23*10^(-3))+(Masse!$D$30*10^(-3)*2)*E3</f>
        <v>28.884459582388551</v>
      </c>
      <c r="F8" s="8">
        <f>(Masse!$F$23*10^(-3))+(Masse!$D$30*10^(-3)*2)*F3</f>
        <v>-27.651095314967051</v>
      </c>
      <c r="H8" s="8">
        <f>(Masse!$F$23*10^(-3))+(Masse!$D$30*10^(-3)*2)*H3</f>
        <v>-48.289444659983225</v>
      </c>
      <c r="I8" s="8">
        <f>(Masse!$F$23*10^(-3))+(Masse!$D$30*10^(-3)*2)*I3</f>
        <v>-48.407796384400385</v>
      </c>
      <c r="J8" t="s">
        <v>98</v>
      </c>
    </row>
    <row r="9" spans="1:10" x14ac:dyDescent="0.25">
      <c r="A9" t="s">
        <v>189</v>
      </c>
      <c r="C9" s="8">
        <f>((Masse!$F$42*10^(-3)+Masse!$D$49*10^(-3))*C4)</f>
        <v>-75.830414407262154</v>
      </c>
      <c r="D9" s="8">
        <f>((Masse!$F$42*10^(-3)+Masse!$D$49*10^(-3))*D4)</f>
        <v>388.61992907489747</v>
      </c>
      <c r="E9" s="8">
        <f>((Masse!$F$42*10^(-3)+Masse!$D$49*10^(-3))*E4)</f>
        <v>167.10246162258616</v>
      </c>
      <c r="F9" s="8">
        <f>((Masse!$F$42*10^(-3)+Masse!$D$49*10^(-3))*F4)</f>
        <v>-179.85415280059766</v>
      </c>
      <c r="H9" s="8">
        <f>((Masse!$F$42*10^(-3)+Masse!$D$49*10^(-3))*H4)</f>
        <v>-311.72148835027241</v>
      </c>
      <c r="I9" s="8">
        <f>((Masse!$F$42*10^(-3)+Masse!$D$49*10^(-3))*I4)</f>
        <v>-312.49849966847427</v>
      </c>
      <c r="J9" t="s">
        <v>98</v>
      </c>
    </row>
    <row r="11" spans="1:10" x14ac:dyDescent="0.25">
      <c r="A11" t="s">
        <v>190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4CCD745CFEEC4C8478D478872A8487" ma:contentTypeVersion="5" ma:contentTypeDescription="Opprett et nytt dokument." ma:contentTypeScope="" ma:versionID="8ac4b73b48e7d6fc6a809fc288fc6054">
  <xsd:schema xmlns:xsd="http://www.w3.org/2001/XMLSchema" xmlns:xs="http://www.w3.org/2001/XMLSchema" xmlns:p="http://schemas.microsoft.com/office/2006/metadata/properties" xmlns:ns2="7d30b762-4a60-436c-ab13-d0f70a19fcf9" targetNamespace="http://schemas.microsoft.com/office/2006/metadata/properties" ma:root="true" ma:fieldsID="cd6b2f654e4cc458e6722ddbca518368" ns2:_="">
    <xsd:import namespace="7d30b762-4a60-436c-ab13-d0f70a19fc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30b762-4a60-436c-ab13-d0f70a19f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BF6E33-F00D-491E-B91A-EA469E31AF3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7d30b762-4a60-436c-ab13-d0f70a19fcf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66B1C6C-6EA5-4581-8BAD-BA2C21B64B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30b762-4a60-436c-ab13-d0f70a19fc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65E93B-65FB-48B1-8317-B6883D526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Masse</vt:lpstr>
      <vt:lpstr>Utbalansering</vt:lpstr>
      <vt:lpstr>Geometri</vt:lpstr>
      <vt:lpstr>(Aks og krefter)</vt:lpstr>
      <vt:lpstr>Masse!Utskriftsområde</vt:lpstr>
      <vt:lpstr>Utbalansering!Utskriftsområde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Marie</dc:creator>
  <cp:keywords/>
  <dc:description/>
  <cp:lastModifiedBy>Astrid Marie</cp:lastModifiedBy>
  <cp:revision/>
  <cp:lastPrinted>2020-06-08T09:37:49Z</cp:lastPrinted>
  <dcterms:created xsi:type="dcterms:W3CDTF">2020-02-12T09:39:24Z</dcterms:created>
  <dcterms:modified xsi:type="dcterms:W3CDTF">2020-06-08T10:23:31Z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0x010100774CCD745CFEEC4C8478D478872A8487</vt:lpwstr>
  </property>
</Properties>
</file>