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https://hvl365-my.sharepoint.com/personal/571471_stud_hvl_no/Documents/Bachelor_dokument/Ferdigstillelse oppgave/"/>
    </mc:Choice>
  </mc:AlternateContent>
  <xr:revisionPtr revIDLastSave="15" documentId="8_{48BDCC50-EE1D-4823-9CB5-6A3308008C0D}" xr6:coauthVersionLast="45" xr6:coauthVersionMax="45" xr10:uidLastSave="{46EB36E2-D9E2-41AE-B185-32C57EA58C13}"/>
  <bookViews>
    <workbookView xWindow="-108" yWindow="-108" windowWidth="23256" windowHeight="12576" xr2:uid="{00000000-000D-0000-FFFF-FFFF00000000}"/>
  </bookViews>
  <sheets>
    <sheet name="Sammendrag" sheetId="1" r:id="rId1"/>
    <sheet name="Planering" sheetId="2" r:id="rId2"/>
    <sheet name="Diverse_mengder" sheetId="4" r:id="rId3"/>
    <sheet name="Inngår_i_planering" sheetId="5" r:id="rId4"/>
    <sheet name="Overbygning" sheetId="6" r:id="rId5"/>
    <sheet name="Areal" sheetId="7" r:id="rId6"/>
    <sheet name="Lengde" sheetId="8" r:id="rId7"/>
    <sheet name="Flåsprengning" sheetId="9" r:id="rId8"/>
  </sheets>
  <definedNames>
    <definedName name="Areas_RB_Fill">OFFSET(Areal!$K$14,0,0,MATCH(9.99999999999999E+307,Areal!$K$14:$K$20002),1)</definedName>
    <definedName name="Areas_RB_RockCut">OFFSET(Areal!$J$14,0,0,MATCH(9.99999999999999E+307,Areal!$J$14:$J$20002),1)</definedName>
    <definedName name="Areas_RB_SoilCut">OFFSET(Areal!$I$14,0,0,MATCH(9.99999999999999E+307,Areal!$I$14:$I$20002),1)</definedName>
    <definedName name="Areas_Rock_trimming">OFFSET(Areal!$L$14,0,0,MATCH(9.99999999999999E+307,Areal!$L$14:$L$20002),1)</definedName>
    <definedName name="Areas_SG0">OFFSET(Areal!$B$14,0,0,MATCH(9.99999999999999E+307,Areal!$B$14:$B$20002),1)</definedName>
    <definedName name="Areas_SG1">OFFSET(Areal!$C$14,0,0,MATCH(9.99999999999999E+307,Areal!$C$14:$C$20002),1)</definedName>
    <definedName name="Areas_SG2">OFFSET(Areal!$D$14,0,0,MATCH(9.99999999999999E+307,Areal!$D$14:$D$20002),1)</definedName>
    <definedName name="Areas_SG3">OFFSET(Areal!$E$14,0,0,MATCH(9.99999999999999E+307,Areal!$E$14:$E$20002),1)</definedName>
    <definedName name="Areas_SG4">OFFSET(Areal!$F$14,0,0,MATCH(9.99999999999999E+307,Areal!$F$14:$F$20002),1)</definedName>
    <definedName name="Areas_SG5">OFFSET(Areal!$G$14,0,0,MATCH(9.99999999999999E+307,Areal!$G$14:$G$20002),1)</definedName>
    <definedName name="Areas_SG6">OFFSET(Areal!$H$14,0,0,MATCH(9.99999999999999E+307,Areal!$H$14:$H$20002),1)</definedName>
    <definedName name="IncLev_CD_Fill">OFFSET(Inngår_i_planering!$D$14,0,0,MATCH(9.99999999999999E+307,Inngår_i_planering!$D$14:$D$20002),1)</definedName>
    <definedName name="IncLev_CD_RockCut">OFFSET(Inngår_i_planering!$C$14,0,0,MATCH(9.99999999999999E+307,Inngår_i_planering!$C$14:$C$20002),1)</definedName>
    <definedName name="IncLev_CD_SoilCut">OFFSET(Inngår_i_planering!$B$14,0,0,MATCH(9.99999999999999E+307,Inngår_i_planering!$B$14:$B$20002),1)</definedName>
    <definedName name="IncLev_Extra_Fill">OFFSET(Inngår_i_planering!$G$14,0,0,MATCH(9.99999999999999E+307,Inngår_i_planering!$G$14:$G$20002),1)</definedName>
    <definedName name="IncLev_Extra_RockCut">OFFSET(Inngår_i_planering!$F$14,0,0,MATCH(9.99999999999999E+307,Inngår_i_planering!$F$14:$F$20002),1)</definedName>
    <definedName name="IncLev_Extra_SoilCut">OFFSET(Inngår_i_planering!$E$14,0,0,MATCH(9.99999999999999E+307,Inngår_i_planering!$E$14:$E$20002),1)</definedName>
    <definedName name="Lengths_CD_Fill" localSheetId="7">OFFSET(Flåsprengning!$D$14,0,0,MATCH(9.99999999999999E+307,Flåsprengning!$D$14:$D$20002),1)</definedName>
    <definedName name="Lengths_CD_Fill">OFFSET(Lengde!$F$14,0,0,MATCH(9.99999999999999E+307,Lengde!$F$14:$F$20002),1)</definedName>
    <definedName name="Lengths_CD_Rock" localSheetId="7">OFFSET(Flåsprengning!#REF!,0,0,MATCH(9.99999999999999E+307,Flåsprengning!#REF!),1)</definedName>
    <definedName name="Lengths_CD_Rock">OFFSET(Lengde!$E$14,0,0,MATCH(9.99999999999999E+307,Lengde!$E$14:$E$20002),1)</definedName>
    <definedName name="Lengths_CD_Soil" localSheetId="7">OFFSET(Flåsprengning!#REF!,0,0,MATCH(9.99999999999999E+307,Flåsprengning!#REF!),1)</definedName>
    <definedName name="Lengths_CD_Soil">OFFSET(Lengde!$D$14,0,0,MATCH(9.99999999999999E+307,Lengde!$D$14:$D$20002),1)</definedName>
    <definedName name="Lengths_GuardRail" localSheetId="7">OFFSET(Flåsprengning!$E$14,0,0,MATCH(9.99999999999999E+307,Flåsprengning!$E$14:$E$20002),1)</definedName>
    <definedName name="Lengths_GuardRail">OFFSET(Lengde!$G$14,0,0,MATCH(9.99999999999999E+307,Lengde!$G$14:$G$20002),1)</definedName>
    <definedName name="Lengths_SD_Rock" localSheetId="7">OFFSET(Flåsprengning!$C$14,0,0,MATCH(9.99999999999999E+307,Flåsprengning!$C$14:$C$20002),1)</definedName>
    <definedName name="Lengths_SD_Rock">OFFSET(Lengde!$C$14,0,0,MATCH(9.99999999999999E+307,Lengde!$C$14:$C$20002),1)</definedName>
    <definedName name="Lengths_SD_Soil" localSheetId="7">OFFSET(Flåsprengning!$B$14,0,0,MATCH(9.99999999999999E+307,Flåsprengning!$B$14:$B$20002),1)</definedName>
    <definedName name="Lengths_SD_Soil">OFFSET(Lengde!$B$14,0,0,MATCH(9.99999999999999E+307,Lengde!$B$14:$B$20002),1)</definedName>
    <definedName name="Lev_Chainage">OFFSET(Planering!$A$14,0,0,COUNTA(Planering!$A2:$A$65000),1)</definedName>
    <definedName name="Lev_DeepBlasting">OFFSET(Planering!$D$14,0,0,MATCH(9.99999999999999E+307,Planering!$D$14:$D$20002),1)</definedName>
    <definedName name="Lev_Fill">OFFSET(Planering!$E$14,0,0,MATCH(9.99999999999999E+307,Planering!$E$14:$E$20002),1)</definedName>
    <definedName name="Lev_P_DeepBlasting">OFFSET(Planering!$H$14,0,0,MATCH(9.99999999999999E+307,Planering!$H$14:$H$20002),1)</definedName>
    <definedName name="Lev_P_Fill">OFFSET(Planering!$I$14,0,0,MATCH(9.99999999999999E+307,Planering!$I$14:$I$20002),1)</definedName>
    <definedName name="Lev_P_RockCut">OFFSET(Planering!$G$14,0,0,MATCH(9.99999999999999E+307,Planering!$G$14:$G$20002),1)</definedName>
    <definedName name="Lev_P_SoilCut">OFFSET(Planering!$F$14,0,0,MATCH(9.99999999999999E+307,Planering!$F$14:$F$20002),1)</definedName>
    <definedName name="Lev_RockCut">OFFSET(Planering!$C$14,0,0,MATCH(9.99999999999999E+307,Planering!$C$14:$C$20002),1)</definedName>
    <definedName name="Lev_SoilCut">OFFSET(Planering!$B$14,0,0,MATCH(9.99999999999999E+307,Planering!$B$14:$B$20002),1)</definedName>
    <definedName name="Mass_Profile">OFFSET(Planering!$K$14,0,0,MATCH(9.99999999999999E+307,Planering!$K$14:$K$20002),1)</definedName>
    <definedName name="Mass_Profile_Acc">OFFSET(Planering!$L$14,0,0,MATCH(9.99999999999999E+307,Planering!$L$14:$L$20002),1)</definedName>
    <definedName name="Other_Landsc_Cut">OFFSET(Diverse_mengder!$F$14,0,0,MATCH(9.99999999999999E+307,Diverse_mengder!$F$14:$F$20002),1)</definedName>
    <definedName name="Other_Landsc_Fill">OFFSET(Diverse_mengder!$G$14,0,0,MATCH(9.99999999999999E+307,Diverse_mengder!$G$14:$G$20002),1)</definedName>
    <definedName name="Other_Removal_FillBack">OFFSET(Diverse_mengder!#REF!,0,0,MATCH(9.99999999999999E+307,Diverse_mengder!#REF!),1)</definedName>
    <definedName name="Other_Rounding_Cut">OFFSET(Diverse_mengder!$I$14,0,0,MATCH(9.99999999999999E+307,Diverse_mengder!$I$14:$I$20002),1)</definedName>
    <definedName name="Other_Rounding_Fill">OFFSET(Diverse_mengder!$J$14,0,0,MATCH(9.99999999999999E+307,Diverse_mengder!$J$14:$J$20002),1)</definedName>
    <definedName name="Other_SideEdge_Fill">OFFSET(Diverse_mengder!$H$14,0,0,MATCH(9.99999999999999E+307,Diverse_mengder!$H$14:$H$20002),1)</definedName>
    <definedName name="Other_Sodding">OFFSET(Diverse_mengder!$E$14,0,0,MATCH(9.99999999999999E+307,Diverse_mengder!$E$14:$E$20002),1)</definedName>
    <definedName name="Other_SoftSpot">OFFSET(Diverse_mengder!$B$14,0,0,MATCH(9.99999999999999E+307,Diverse_mengder!$B$14:$B$20002),1)</definedName>
    <definedName name="Other_TopSoil">OFFSET(Diverse_mengder!$C$14,0,0,MATCH(9.99999999999999E+307,Diverse_mengder!$C$14:$C$20002),1)</definedName>
    <definedName name="Other_Vegetation">OFFSET(Diverse_mengder!$D$14,0,0,MATCH(9.99999999999999E+307,Diverse_mengder!$D$14:$D$20002),1)</definedName>
    <definedName name="ST_Base1_Area">OFFSET(Overbygning!$I$14,0,0,MATCH(9.99999999999999E+307,Overbygning!$I$14:$I$20002),1)</definedName>
    <definedName name="ST_Base1_Vol">OFFSET(Overbygning!$H$14,0,0,MATCH(9.99999999999999E+307,Overbygning!$H$14:$H$20002),1)</definedName>
    <definedName name="ST_Base2_Area">OFFSET(Overbygning!$K$14,0,0,MATCH(9.99999999999999E+307,Overbygning!$K$14:$K$20002),1)</definedName>
    <definedName name="ST_Base2_Vol">OFFSET(Overbygning!$J$14,0,0,MATCH(9.99999999999999E+307,Overbygning!$J$14:$J$20002),1)</definedName>
    <definedName name="ST_Base3_Area">OFFSET(Overbygning!$M$14,0,0,MATCH(9.99999999999999E+307,Overbygning!$M$14:$M$20002),1)</definedName>
    <definedName name="ST_Base3_Vol">OFFSET(Overbygning!$L$14,0,0,MATCH(9.99999999999999E+307,Overbygning!$L$14:$L$20002),1)</definedName>
    <definedName name="ST_Binder1_Area">OFFSET(Overbygning!$E$14,0,0,MATCH(9.99999999999999E+307,Overbygning!$E$14:$E$20002),1)</definedName>
    <definedName name="ST_Binder1_Vol">OFFSET(Overbygning!$D$14,0,0,MATCH(9.99999999999999E+307,Overbygning!$D$14:$D$20002),1)</definedName>
    <definedName name="ST_Binder2_Area">OFFSET(Overbygning!$G$14,0,0,MATCH(9.99999999999999E+307,Overbygning!$G$14:$G$20002),1)</definedName>
    <definedName name="ST_Binder2_Vol">OFFSET(Overbygning!$F$14,0,0,MATCH(9.99999999999999E+307,Overbygning!$F$14:$F$20002),1)</definedName>
    <definedName name="ST_Filter_Area">OFFSET(Overbygning!$U$14,0,0,MATCH(9.99999999999999E+307,Overbygning!$U$14:$U$20002),1)</definedName>
    <definedName name="ST_Filter_Vol">OFFSET(Overbygning!$T$14,0,0,MATCH(9.99999999999999E+307,Overbygning!$T$14:$T$20002),1)</definedName>
    <definedName name="ST_Subbase1_Area">OFFSET(Overbygning!$O$14,0,0,MATCH(9.99999999999999E+307,Overbygning!$O$14:$O$20002),1)</definedName>
    <definedName name="ST_Subbase1_Vol">OFFSET(Overbygning!$N$14,0,0,MATCH(9.99999999999999E+307,Overbygning!$N$14:$N$20002),1)</definedName>
    <definedName name="ST_Subbase2_Area">OFFSET(Overbygning!$Q$14,0,0,MATCH(9.99999999999999E+307,Overbygning!$Q$14:$Q$20002),1)</definedName>
    <definedName name="ST_Subbase2_Vol">OFFSET(Overbygning!$P$14,0,0,MATCH(9.99999999999999E+307,Overbygning!$P$14:$P$20002),1)</definedName>
    <definedName name="ST_Subbase3_Area">OFFSET(Overbygning!$S$14,0,0,MATCH(9.99999999999999E+307,Overbygning!$S$14:$S$20002),1)</definedName>
    <definedName name="ST_Subbase3_Vol">OFFSET(Overbygning!$R$14,0,0,MATCH(9.99999999999999E+307,Overbygning!$R$14:$R$20002),1)</definedName>
    <definedName name="ST_Surface_Area">OFFSET(Overbygning!$C$14,0,0,MATCH(9.99999999999999E+307,Overbygning!$C$14:$C$20002),1)</definedName>
    <definedName name="ST_Surface_Vol">OFFSET(Overbygning!$B$14,0,0,MATCH(9.99999999999999E+307,Overbygning!$B$14:$B$20002),1)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7" l="1"/>
  <c r="D14" i="9"/>
  <c r="I7" i="7"/>
  <c r="I6" i="7"/>
  <c r="I5" i="7"/>
  <c r="B5" i="9"/>
  <c r="B5" i="8"/>
  <c r="B5" i="7"/>
  <c r="B5" i="6"/>
  <c r="B5" i="5"/>
  <c r="B5" i="4"/>
  <c r="B5" i="2"/>
  <c r="F6" i="9"/>
  <c r="F5" i="9"/>
  <c r="F6" i="8"/>
  <c r="F5" i="8"/>
  <c r="G6" i="7"/>
  <c r="G5" i="7"/>
  <c r="F6" i="6"/>
  <c r="F5" i="6"/>
  <c r="F6" i="5"/>
  <c r="F5" i="5"/>
  <c r="F6" i="4"/>
  <c r="F5" i="4"/>
  <c r="F6" i="2"/>
  <c r="F5" i="2"/>
  <c r="F7" i="9"/>
  <c r="F7" i="8"/>
  <c r="G7" i="7"/>
  <c r="F7" i="6"/>
  <c r="F7" i="5"/>
  <c r="F7" i="2"/>
  <c r="F7" i="4"/>
  <c r="H7" i="9"/>
  <c r="H6" i="9"/>
  <c r="H5" i="9"/>
  <c r="B4" i="9"/>
  <c r="H7" i="8"/>
  <c r="H6" i="8"/>
  <c r="H5" i="8"/>
  <c r="B4" i="8"/>
  <c r="B4" i="7"/>
  <c r="H7" i="6"/>
  <c r="H6" i="6"/>
  <c r="H5" i="6"/>
  <c r="B4" i="6"/>
  <c r="H7" i="5"/>
  <c r="H6" i="5"/>
  <c r="H5" i="5"/>
  <c r="B4" i="5"/>
  <c r="H7" i="4"/>
  <c r="H6" i="4"/>
  <c r="H5" i="4"/>
  <c r="B4" i="4"/>
  <c r="H7" i="2"/>
  <c r="H6" i="2"/>
  <c r="H5" i="2"/>
  <c r="B4" i="2"/>
  <c r="I14" i="2"/>
  <c r="H14" i="2"/>
  <c r="F14" i="2"/>
  <c r="K14" i="2" s="1"/>
  <c r="L14" i="2" s="1"/>
  <c r="G14" i="2"/>
  <c r="C15" i="1"/>
  <c r="G53" i="1"/>
  <c r="B13" i="7"/>
  <c r="G59" i="1"/>
  <c r="H13" i="7"/>
  <c r="J13" i="4"/>
  <c r="C24" i="1"/>
  <c r="D13" i="4"/>
  <c r="C22" i="1"/>
  <c r="B13" i="4"/>
  <c r="D13" i="2"/>
  <c r="C17" i="1"/>
  <c r="H13" i="2"/>
  <c r="C30" i="1"/>
  <c r="C13" i="4"/>
  <c r="C23" i="1"/>
  <c r="G62" i="1"/>
  <c r="K13" i="7"/>
  <c r="B13" i="6"/>
  <c r="C40" i="1"/>
  <c r="C43" i="1"/>
  <c r="H13" i="6"/>
  <c r="C26" i="1"/>
  <c r="F13" i="4"/>
  <c r="C18" i="1"/>
  <c r="E13" i="2"/>
  <c r="M13" i="6"/>
  <c r="G45" i="1"/>
  <c r="B13" i="9"/>
  <c r="G72" i="1"/>
  <c r="G41" i="1"/>
  <c r="E13" i="6"/>
  <c r="L13" i="6"/>
  <c r="C45" i="1"/>
  <c r="C27" i="1"/>
  <c r="G13" i="4"/>
  <c r="F13" i="2"/>
  <c r="J13" i="7"/>
  <c r="G61" i="1"/>
  <c r="C13" i="6"/>
  <c r="G40" i="1"/>
  <c r="G43" i="1"/>
  <c r="I13" i="6"/>
  <c r="C35" i="1"/>
  <c r="C13" i="5"/>
  <c r="C44" i="1"/>
  <c r="J13" i="6"/>
  <c r="B13" i="8"/>
  <c r="G67" i="1"/>
  <c r="C42" i="1"/>
  <c r="F13" i="6"/>
  <c r="C29" i="1"/>
  <c r="I13" i="4"/>
  <c r="C49" i="1"/>
  <c r="T13" i="6"/>
  <c r="C46" i="1"/>
  <c r="N13" i="6"/>
  <c r="B13" i="5"/>
  <c r="C34" i="1"/>
  <c r="G44" i="1"/>
  <c r="K13" i="6"/>
  <c r="C48" i="1"/>
  <c r="R13" i="6"/>
  <c r="G73" i="1"/>
  <c r="C13" i="9"/>
  <c r="G57" i="1"/>
  <c r="F13" i="7"/>
  <c r="C28" i="1"/>
  <c r="H13" i="4"/>
  <c r="I13" i="7"/>
  <c r="G60" i="1"/>
  <c r="G58" i="1"/>
  <c r="G13" i="7"/>
  <c r="G54" i="1"/>
  <c r="C13" i="7"/>
  <c r="E13" i="7"/>
  <c r="G56" i="1"/>
  <c r="U13" i="6"/>
  <c r="G49" i="1"/>
  <c r="G46" i="1"/>
  <c r="O13" i="6"/>
  <c r="C36" i="1"/>
  <c r="D13" i="5"/>
  <c r="P13" i="6"/>
  <c r="C47" i="1"/>
  <c r="C25" i="1"/>
  <c r="E13" i="4"/>
  <c r="C13" i="2"/>
  <c r="C16" i="1"/>
  <c r="G68" i="1"/>
  <c r="C13" i="8"/>
  <c r="G13" i="6"/>
  <c r="G42" i="1"/>
  <c r="B13" i="2"/>
  <c r="D13" i="6"/>
  <c r="C41" i="1"/>
  <c r="L13" i="7"/>
  <c r="G63" i="1"/>
  <c r="G47" i="1"/>
  <c r="Q13" i="6"/>
  <c r="G48" i="1"/>
  <c r="S13" i="6"/>
  <c r="D102" i="9"/>
  <c r="D101" i="9"/>
  <c r="D100" i="9"/>
  <c r="D99" i="9"/>
  <c r="D98" i="9"/>
  <c r="D97" i="9"/>
  <c r="D96" i="9"/>
  <c r="D95" i="9"/>
  <c r="D94" i="9"/>
  <c r="D93" i="9"/>
  <c r="D92" i="9"/>
  <c r="D91" i="9"/>
  <c r="G74" i="1" s="1"/>
  <c r="D90" i="9"/>
  <c r="D89" i="9"/>
  <c r="D88" i="9"/>
  <c r="D87" i="9"/>
  <c r="D86" i="9"/>
  <c r="D85" i="9"/>
  <c r="D84" i="9"/>
  <c r="D83" i="9"/>
  <c r="D82" i="9"/>
  <c r="D81" i="9"/>
  <c r="D80" i="9"/>
  <c r="D79" i="9"/>
  <c r="D78" i="9"/>
  <c r="D77" i="9"/>
  <c r="D76" i="9"/>
  <c r="D75" i="9"/>
  <c r="D74" i="9"/>
  <c r="D73" i="9"/>
  <c r="D72" i="9"/>
  <c r="D71" i="9"/>
  <c r="D70" i="9"/>
  <c r="D69" i="9"/>
  <c r="D68" i="9"/>
  <c r="D67" i="9"/>
  <c r="D66" i="9"/>
  <c r="D65" i="9"/>
  <c r="D64" i="9"/>
  <c r="D63" i="9"/>
  <c r="D62" i="9"/>
  <c r="D61" i="9"/>
  <c r="D60" i="9"/>
  <c r="D59" i="9"/>
  <c r="D58" i="9"/>
  <c r="D57" i="9"/>
  <c r="D56" i="9"/>
  <c r="D55" i="9"/>
  <c r="D54" i="9"/>
  <c r="D53" i="9"/>
  <c r="D52" i="9"/>
  <c r="D51" i="9"/>
  <c r="D50" i="9"/>
  <c r="D49" i="9"/>
  <c r="D4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02" i="7"/>
  <c r="D101" i="7"/>
  <c r="D100" i="7"/>
  <c r="D13" i="7" s="1"/>
  <c r="D99" i="7"/>
  <c r="D98" i="7"/>
  <c r="D97" i="7"/>
  <c r="D96" i="7"/>
  <c r="D95" i="7"/>
  <c r="D94" i="7"/>
  <c r="D93" i="7"/>
  <c r="D92" i="7"/>
  <c r="D91" i="7"/>
  <c r="G55" i="1" s="1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I102" i="2"/>
  <c r="H102" i="2"/>
  <c r="G102" i="2"/>
  <c r="F102" i="2"/>
  <c r="K102" i="2" s="1"/>
  <c r="I101" i="2"/>
  <c r="H101" i="2"/>
  <c r="G101" i="2"/>
  <c r="F101" i="2"/>
  <c r="K101" i="2" s="1"/>
  <c r="I100" i="2"/>
  <c r="H100" i="2"/>
  <c r="G100" i="2"/>
  <c r="K100" i="2" s="1"/>
  <c r="F100" i="2"/>
  <c r="I99" i="2"/>
  <c r="H99" i="2"/>
  <c r="G99" i="2"/>
  <c r="K99" i="2" s="1"/>
  <c r="F99" i="2"/>
  <c r="I98" i="2"/>
  <c r="H98" i="2"/>
  <c r="G98" i="2"/>
  <c r="F98" i="2"/>
  <c r="K98" i="2" s="1"/>
  <c r="I97" i="2"/>
  <c r="H97" i="2"/>
  <c r="G97" i="2"/>
  <c r="F97" i="2"/>
  <c r="K97" i="2" s="1"/>
  <c r="I96" i="2"/>
  <c r="H96" i="2"/>
  <c r="G96" i="2"/>
  <c r="K96" i="2" s="1"/>
  <c r="F96" i="2"/>
  <c r="I95" i="2"/>
  <c r="H95" i="2"/>
  <c r="G95" i="2"/>
  <c r="K95" i="2" s="1"/>
  <c r="F95" i="2"/>
  <c r="I94" i="2"/>
  <c r="H94" i="2"/>
  <c r="G94" i="2"/>
  <c r="F94" i="2"/>
  <c r="K94" i="2" s="1"/>
  <c r="I93" i="2"/>
  <c r="H93" i="2"/>
  <c r="G93" i="2"/>
  <c r="F93" i="2"/>
  <c r="K93" i="2" s="1"/>
  <c r="I92" i="2"/>
  <c r="H92" i="2"/>
  <c r="G92" i="2"/>
  <c r="K92" i="2" s="1"/>
  <c r="F92" i="2"/>
  <c r="I91" i="2"/>
  <c r="I13" i="2" s="1"/>
  <c r="H91" i="2"/>
  <c r="E17" i="1" s="1"/>
  <c r="D17" i="1" s="1"/>
  <c r="G91" i="2"/>
  <c r="K91" i="2" s="1"/>
  <c r="F91" i="2"/>
  <c r="E15" i="1" s="1"/>
  <c r="D15" i="1" s="1"/>
  <c r="I90" i="2"/>
  <c r="H90" i="2"/>
  <c r="G90" i="2"/>
  <c r="F90" i="2"/>
  <c r="K90" i="2" s="1"/>
  <c r="I89" i="2"/>
  <c r="H89" i="2"/>
  <c r="G89" i="2"/>
  <c r="F89" i="2"/>
  <c r="K89" i="2" s="1"/>
  <c r="I88" i="2"/>
  <c r="H88" i="2"/>
  <c r="G88" i="2"/>
  <c r="K88" i="2" s="1"/>
  <c r="F88" i="2"/>
  <c r="I87" i="2"/>
  <c r="H87" i="2"/>
  <c r="G87" i="2"/>
  <c r="K87" i="2" s="1"/>
  <c r="F87" i="2"/>
  <c r="I86" i="2"/>
  <c r="H86" i="2"/>
  <c r="G86" i="2"/>
  <c r="F86" i="2"/>
  <c r="K86" i="2" s="1"/>
  <c r="I85" i="2"/>
  <c r="H85" i="2"/>
  <c r="G85" i="2"/>
  <c r="F85" i="2"/>
  <c r="K85" i="2" s="1"/>
  <c r="I84" i="2"/>
  <c r="H84" i="2"/>
  <c r="G84" i="2"/>
  <c r="K84" i="2" s="1"/>
  <c r="F84" i="2"/>
  <c r="I83" i="2"/>
  <c r="H83" i="2"/>
  <c r="G83" i="2"/>
  <c r="K83" i="2" s="1"/>
  <c r="F83" i="2"/>
  <c r="I82" i="2"/>
  <c r="H82" i="2"/>
  <c r="G82" i="2"/>
  <c r="F82" i="2"/>
  <c r="K82" i="2" s="1"/>
  <c r="I81" i="2"/>
  <c r="H81" i="2"/>
  <c r="G81" i="2"/>
  <c r="F81" i="2"/>
  <c r="K81" i="2" s="1"/>
  <c r="I80" i="2"/>
  <c r="H80" i="2"/>
  <c r="G80" i="2"/>
  <c r="K80" i="2" s="1"/>
  <c r="F80" i="2"/>
  <c r="I79" i="2"/>
  <c r="H79" i="2"/>
  <c r="G79" i="2"/>
  <c r="K79" i="2" s="1"/>
  <c r="F79" i="2"/>
  <c r="I78" i="2"/>
  <c r="H78" i="2"/>
  <c r="G78" i="2"/>
  <c r="F78" i="2"/>
  <c r="K78" i="2" s="1"/>
  <c r="I77" i="2"/>
  <c r="H77" i="2"/>
  <c r="G77" i="2"/>
  <c r="F77" i="2"/>
  <c r="K77" i="2" s="1"/>
  <c r="I76" i="2"/>
  <c r="H76" i="2"/>
  <c r="G76" i="2"/>
  <c r="K76" i="2" s="1"/>
  <c r="F76" i="2"/>
  <c r="I75" i="2"/>
  <c r="H75" i="2"/>
  <c r="G75" i="2"/>
  <c r="K75" i="2" s="1"/>
  <c r="F75" i="2"/>
  <c r="I74" i="2"/>
  <c r="H74" i="2"/>
  <c r="G74" i="2"/>
  <c r="F74" i="2"/>
  <c r="K74" i="2" s="1"/>
  <c r="I73" i="2"/>
  <c r="H73" i="2"/>
  <c r="G73" i="2"/>
  <c r="F73" i="2"/>
  <c r="K73" i="2" s="1"/>
  <c r="I72" i="2"/>
  <c r="H72" i="2"/>
  <c r="G72" i="2"/>
  <c r="K72" i="2" s="1"/>
  <c r="F72" i="2"/>
  <c r="I71" i="2"/>
  <c r="H71" i="2"/>
  <c r="G71" i="2"/>
  <c r="K71" i="2" s="1"/>
  <c r="F71" i="2"/>
  <c r="I70" i="2"/>
  <c r="H70" i="2"/>
  <c r="G70" i="2"/>
  <c r="F70" i="2"/>
  <c r="K70" i="2" s="1"/>
  <c r="I69" i="2"/>
  <c r="H69" i="2"/>
  <c r="G69" i="2"/>
  <c r="F69" i="2"/>
  <c r="K69" i="2" s="1"/>
  <c r="I68" i="2"/>
  <c r="H68" i="2"/>
  <c r="G68" i="2"/>
  <c r="K68" i="2" s="1"/>
  <c r="F68" i="2"/>
  <c r="I67" i="2"/>
  <c r="H67" i="2"/>
  <c r="G67" i="2"/>
  <c r="K67" i="2" s="1"/>
  <c r="F67" i="2"/>
  <c r="I66" i="2"/>
  <c r="H66" i="2"/>
  <c r="G66" i="2"/>
  <c r="F66" i="2"/>
  <c r="K66" i="2" s="1"/>
  <c r="I65" i="2"/>
  <c r="H65" i="2"/>
  <c r="G65" i="2"/>
  <c r="F65" i="2"/>
  <c r="K65" i="2" s="1"/>
  <c r="I64" i="2"/>
  <c r="H64" i="2"/>
  <c r="G64" i="2"/>
  <c r="K64" i="2" s="1"/>
  <c r="F64" i="2"/>
  <c r="I63" i="2"/>
  <c r="H63" i="2"/>
  <c r="G63" i="2"/>
  <c r="K63" i="2" s="1"/>
  <c r="F63" i="2"/>
  <c r="I62" i="2"/>
  <c r="H62" i="2"/>
  <c r="G62" i="2"/>
  <c r="F62" i="2"/>
  <c r="K62" i="2" s="1"/>
  <c r="I61" i="2"/>
  <c r="H61" i="2"/>
  <c r="G61" i="2"/>
  <c r="F61" i="2"/>
  <c r="K61" i="2" s="1"/>
  <c r="I60" i="2"/>
  <c r="H60" i="2"/>
  <c r="G60" i="2"/>
  <c r="K60" i="2" s="1"/>
  <c r="F60" i="2"/>
  <c r="I59" i="2"/>
  <c r="H59" i="2"/>
  <c r="G59" i="2"/>
  <c r="K59" i="2" s="1"/>
  <c r="F59" i="2"/>
  <c r="I58" i="2"/>
  <c r="H58" i="2"/>
  <c r="G58" i="2"/>
  <c r="F58" i="2"/>
  <c r="K58" i="2" s="1"/>
  <c r="I57" i="2"/>
  <c r="H57" i="2"/>
  <c r="G57" i="2"/>
  <c r="F57" i="2"/>
  <c r="K57" i="2" s="1"/>
  <c r="I56" i="2"/>
  <c r="H56" i="2"/>
  <c r="G56" i="2"/>
  <c r="K56" i="2" s="1"/>
  <c r="F56" i="2"/>
  <c r="I55" i="2"/>
  <c r="H55" i="2"/>
  <c r="G55" i="2"/>
  <c r="K55" i="2" s="1"/>
  <c r="F55" i="2"/>
  <c r="I54" i="2"/>
  <c r="H54" i="2"/>
  <c r="G54" i="2"/>
  <c r="F54" i="2"/>
  <c r="K54" i="2" s="1"/>
  <c r="I53" i="2"/>
  <c r="H53" i="2"/>
  <c r="G53" i="2"/>
  <c r="F53" i="2"/>
  <c r="K53" i="2" s="1"/>
  <c r="I52" i="2"/>
  <c r="H52" i="2"/>
  <c r="G52" i="2"/>
  <c r="K52" i="2" s="1"/>
  <c r="F52" i="2"/>
  <c r="I51" i="2"/>
  <c r="H51" i="2"/>
  <c r="G51" i="2"/>
  <c r="K51" i="2" s="1"/>
  <c r="F51" i="2"/>
  <c r="I50" i="2"/>
  <c r="H50" i="2"/>
  <c r="G50" i="2"/>
  <c r="F50" i="2"/>
  <c r="K50" i="2" s="1"/>
  <c r="I49" i="2"/>
  <c r="H49" i="2"/>
  <c r="G49" i="2"/>
  <c r="F49" i="2"/>
  <c r="K49" i="2" s="1"/>
  <c r="I48" i="2"/>
  <c r="H48" i="2"/>
  <c r="G48" i="2"/>
  <c r="K48" i="2" s="1"/>
  <c r="F48" i="2"/>
  <c r="I47" i="2"/>
  <c r="H47" i="2"/>
  <c r="G47" i="2"/>
  <c r="K47" i="2" s="1"/>
  <c r="F47" i="2"/>
  <c r="I46" i="2"/>
  <c r="H46" i="2"/>
  <c r="G46" i="2"/>
  <c r="F46" i="2"/>
  <c r="K46" i="2" s="1"/>
  <c r="I45" i="2"/>
  <c r="H45" i="2"/>
  <c r="G45" i="2"/>
  <c r="F45" i="2"/>
  <c r="K45" i="2" s="1"/>
  <c r="I44" i="2"/>
  <c r="H44" i="2"/>
  <c r="G44" i="2"/>
  <c r="K44" i="2" s="1"/>
  <c r="F44" i="2"/>
  <c r="I43" i="2"/>
  <c r="H43" i="2"/>
  <c r="G43" i="2"/>
  <c r="K43" i="2" s="1"/>
  <c r="F43" i="2"/>
  <c r="I42" i="2"/>
  <c r="H42" i="2"/>
  <c r="G42" i="2"/>
  <c r="F42" i="2"/>
  <c r="K42" i="2" s="1"/>
  <c r="I41" i="2"/>
  <c r="H41" i="2"/>
  <c r="G41" i="2"/>
  <c r="F41" i="2"/>
  <c r="K41" i="2" s="1"/>
  <c r="I40" i="2"/>
  <c r="H40" i="2"/>
  <c r="G40" i="2"/>
  <c r="K40" i="2" s="1"/>
  <c r="F40" i="2"/>
  <c r="I39" i="2"/>
  <c r="H39" i="2"/>
  <c r="G39" i="2"/>
  <c r="K39" i="2" s="1"/>
  <c r="F39" i="2"/>
  <c r="I38" i="2"/>
  <c r="H38" i="2"/>
  <c r="G38" i="2"/>
  <c r="F38" i="2"/>
  <c r="K38" i="2" s="1"/>
  <c r="I37" i="2"/>
  <c r="H37" i="2"/>
  <c r="G37" i="2"/>
  <c r="F37" i="2"/>
  <c r="K37" i="2" s="1"/>
  <c r="I36" i="2"/>
  <c r="H36" i="2"/>
  <c r="G36" i="2"/>
  <c r="K36" i="2" s="1"/>
  <c r="F36" i="2"/>
  <c r="I35" i="2"/>
  <c r="H35" i="2"/>
  <c r="G35" i="2"/>
  <c r="K35" i="2" s="1"/>
  <c r="F35" i="2"/>
  <c r="I34" i="2"/>
  <c r="H34" i="2"/>
  <c r="G34" i="2"/>
  <c r="F34" i="2"/>
  <c r="K34" i="2" s="1"/>
  <c r="I33" i="2"/>
  <c r="H33" i="2"/>
  <c r="G33" i="2"/>
  <c r="F33" i="2"/>
  <c r="K33" i="2" s="1"/>
  <c r="I32" i="2"/>
  <c r="H32" i="2"/>
  <c r="G32" i="2"/>
  <c r="K32" i="2" s="1"/>
  <c r="F32" i="2"/>
  <c r="I31" i="2"/>
  <c r="H31" i="2"/>
  <c r="G31" i="2"/>
  <c r="K31" i="2" s="1"/>
  <c r="F31" i="2"/>
  <c r="I30" i="2"/>
  <c r="H30" i="2"/>
  <c r="G30" i="2"/>
  <c r="F30" i="2"/>
  <c r="K30" i="2" s="1"/>
  <c r="I29" i="2"/>
  <c r="H29" i="2"/>
  <c r="G29" i="2"/>
  <c r="F29" i="2"/>
  <c r="K29" i="2" s="1"/>
  <c r="I28" i="2"/>
  <c r="H28" i="2"/>
  <c r="G28" i="2"/>
  <c r="K28" i="2" s="1"/>
  <c r="F28" i="2"/>
  <c r="I27" i="2"/>
  <c r="H27" i="2"/>
  <c r="G27" i="2"/>
  <c r="K27" i="2" s="1"/>
  <c r="F27" i="2"/>
  <c r="I26" i="2"/>
  <c r="H26" i="2"/>
  <c r="G26" i="2"/>
  <c r="F26" i="2"/>
  <c r="K26" i="2" s="1"/>
  <c r="I25" i="2"/>
  <c r="H25" i="2"/>
  <c r="G25" i="2"/>
  <c r="F25" i="2"/>
  <c r="K25" i="2" s="1"/>
  <c r="I24" i="2"/>
  <c r="H24" i="2"/>
  <c r="G24" i="2"/>
  <c r="K24" i="2" s="1"/>
  <c r="F24" i="2"/>
  <c r="I23" i="2"/>
  <c r="H23" i="2"/>
  <c r="G23" i="2"/>
  <c r="K23" i="2" s="1"/>
  <c r="F23" i="2"/>
  <c r="I22" i="2"/>
  <c r="H22" i="2"/>
  <c r="G22" i="2"/>
  <c r="F22" i="2"/>
  <c r="K22" i="2" s="1"/>
  <c r="I21" i="2"/>
  <c r="H21" i="2"/>
  <c r="G21" i="2"/>
  <c r="F21" i="2"/>
  <c r="K21" i="2" s="1"/>
  <c r="I20" i="2"/>
  <c r="H20" i="2"/>
  <c r="G20" i="2"/>
  <c r="K20" i="2" s="1"/>
  <c r="F20" i="2"/>
  <c r="I19" i="2"/>
  <c r="H19" i="2"/>
  <c r="G19" i="2"/>
  <c r="K19" i="2" s="1"/>
  <c r="F19" i="2"/>
  <c r="I18" i="2"/>
  <c r="H18" i="2"/>
  <c r="G18" i="2"/>
  <c r="F18" i="2"/>
  <c r="K18" i="2" s="1"/>
  <c r="I17" i="2"/>
  <c r="H17" i="2"/>
  <c r="G17" i="2"/>
  <c r="F17" i="2"/>
  <c r="K17" i="2" s="1"/>
  <c r="I16" i="2"/>
  <c r="H16" i="2"/>
  <c r="G16" i="2"/>
  <c r="K16" i="2" s="1"/>
  <c r="L16" i="2" s="1"/>
  <c r="F16" i="2"/>
  <c r="I15" i="2"/>
  <c r="H15" i="2"/>
  <c r="G15" i="2"/>
  <c r="K15" i="2" s="1"/>
  <c r="L15" i="2" s="1"/>
  <c r="F15" i="2"/>
  <c r="L17" i="2" l="1"/>
  <c r="L18" i="2"/>
  <c r="L19" i="2" s="1"/>
  <c r="L20" i="2" s="1"/>
  <c r="L21" i="2" s="1"/>
  <c r="L22" i="2" s="1"/>
  <c r="L23" i="2" s="1"/>
  <c r="L24" i="2" s="1"/>
  <c r="L25" i="2" s="1"/>
  <c r="L26" i="2" s="1"/>
  <c r="L27" i="2" s="1"/>
  <c r="L28" i="2" s="1"/>
  <c r="L29" i="2" s="1"/>
  <c r="L30" i="2" s="1"/>
  <c r="L31" i="2" s="1"/>
  <c r="L32" i="2" s="1"/>
  <c r="L33" i="2" s="1"/>
  <c r="L34" i="2" s="1"/>
  <c r="L35" i="2" s="1"/>
  <c r="L36" i="2" s="1"/>
  <c r="L37" i="2" s="1"/>
  <c r="L38" i="2" s="1"/>
  <c r="L39" i="2" s="1"/>
  <c r="L40" i="2" s="1"/>
  <c r="L41" i="2" s="1"/>
  <c r="L42" i="2" s="1"/>
  <c r="L43" i="2" s="1"/>
  <c r="L44" i="2" s="1"/>
  <c r="L45" i="2" s="1"/>
  <c r="L46" i="2" s="1"/>
  <c r="L47" i="2" s="1"/>
  <c r="L48" i="2" s="1"/>
  <c r="L49" i="2" s="1"/>
  <c r="L50" i="2" s="1"/>
  <c r="L51" i="2" s="1"/>
  <c r="L52" i="2" s="1"/>
  <c r="L53" i="2" s="1"/>
  <c r="L54" i="2" s="1"/>
  <c r="L55" i="2" s="1"/>
  <c r="L56" i="2" s="1"/>
  <c r="L57" i="2" s="1"/>
  <c r="L58" i="2" s="1"/>
  <c r="L59" i="2" s="1"/>
  <c r="L60" i="2" s="1"/>
  <c r="L61" i="2" s="1"/>
  <c r="L62" i="2" s="1"/>
  <c r="L63" i="2" s="1"/>
  <c r="L64" i="2" s="1"/>
  <c r="L65" i="2" s="1"/>
  <c r="L66" i="2" s="1"/>
  <c r="L67" i="2" s="1"/>
  <c r="L68" i="2" s="1"/>
  <c r="L69" i="2" s="1"/>
  <c r="L70" i="2" s="1"/>
  <c r="L71" i="2" s="1"/>
  <c r="L72" i="2" s="1"/>
  <c r="L73" i="2" s="1"/>
  <c r="L74" i="2" s="1"/>
  <c r="L75" i="2" s="1"/>
  <c r="L76" i="2" s="1"/>
  <c r="L77" i="2" s="1"/>
  <c r="L78" i="2" s="1"/>
  <c r="L79" i="2" s="1"/>
  <c r="L80" i="2" s="1"/>
  <c r="L81" i="2" s="1"/>
  <c r="L82" i="2" s="1"/>
  <c r="L83" i="2" s="1"/>
  <c r="L84" i="2" s="1"/>
  <c r="L85" i="2" s="1"/>
  <c r="L86" i="2" s="1"/>
  <c r="L87" i="2" s="1"/>
  <c r="L88" i="2" s="1"/>
  <c r="L89" i="2" s="1"/>
  <c r="L90" i="2" s="1"/>
  <c r="L91" i="2" s="1"/>
  <c r="L92" i="2" s="1"/>
  <c r="L93" i="2" s="1"/>
  <c r="L94" i="2" s="1"/>
  <c r="L95" i="2" s="1"/>
  <c r="L96" i="2" s="1"/>
  <c r="L97" i="2" s="1"/>
  <c r="L98" i="2" s="1"/>
  <c r="L99" i="2" s="1"/>
  <c r="L100" i="2" s="1"/>
  <c r="L101" i="2" s="1"/>
  <c r="L102" i="2" s="1"/>
  <c r="K13" i="2"/>
  <c r="E16" i="1"/>
  <c r="D16" i="1" s="1"/>
  <c r="G13" i="2"/>
  <c r="E18" i="1"/>
  <c r="D18" i="1" s="1"/>
  <c r="D13" i="9"/>
</calcChain>
</file>

<file path=xl/sharedStrings.xml><?xml version="1.0" encoding="utf-8"?>
<sst xmlns="http://schemas.openxmlformats.org/spreadsheetml/2006/main" count="178" uniqueCount="110">
  <si>
    <t>m3</t>
  </si>
  <si>
    <t>m2</t>
  </si>
  <si>
    <t>m</t>
  </si>
  <si>
    <t>Rock cut factor</t>
  </si>
  <si>
    <t>Deep blasting factor</t>
  </si>
  <si>
    <t>Fill factor</t>
  </si>
  <si>
    <t>Mengder sammensatt</t>
  </si>
  <si>
    <t>Sammendrag</t>
  </si>
  <si>
    <t>Modell:</t>
  </si>
  <si>
    <t>Start profil:</t>
  </si>
  <si>
    <t>Slutt profil:</t>
  </si>
  <si>
    <t>Dato sist endret:</t>
  </si>
  <si>
    <t>Utskiftingsmasser</t>
  </si>
  <si>
    <t>Matjord</t>
  </si>
  <si>
    <t>Matjord
(m3)</t>
  </si>
  <si>
    <t>Vegetasjon
(m3)</t>
  </si>
  <si>
    <t>Vegetasjon</t>
  </si>
  <si>
    <t>Utlagte masser</t>
  </si>
  <si>
    <t>Utlagte masser
(m3)</t>
  </si>
  <si>
    <t>Bakkeplanering, skjæring</t>
  </si>
  <si>
    <t>Bakkeplanering,
skjæring
(m3)</t>
  </si>
  <si>
    <t>Bakkeplanering,
fylling
(m3)</t>
  </si>
  <si>
    <t>Justerings-
masser
(m3)</t>
  </si>
  <si>
    <t>Avrunding,
skjæring
(m3)</t>
  </si>
  <si>
    <t>Avrunding,
fylling
(m3)</t>
  </si>
  <si>
    <t>Profil</t>
  </si>
  <si>
    <t>Total</t>
  </si>
  <si>
    <t>Diverse mengder</t>
  </si>
  <si>
    <t>Bakkeplanering, fylling</t>
  </si>
  <si>
    <t>Justeringsmasser</t>
  </si>
  <si>
    <t>Avrunding, skjæring</t>
  </si>
  <si>
    <t>Avrunding, fylling</t>
  </si>
  <si>
    <t>Planering</t>
  </si>
  <si>
    <t>Jord</t>
  </si>
  <si>
    <t>Fjell</t>
  </si>
  <si>
    <t>Dypsprenging</t>
  </si>
  <si>
    <t>Fylling</t>
  </si>
  <si>
    <t>Inngår i planering</t>
  </si>
  <si>
    <t>Lukket grøft, jordskjæring</t>
  </si>
  <si>
    <t>Lukket grøft, fjellskjæring</t>
  </si>
  <si>
    <t>Lukket grøft, fylling</t>
  </si>
  <si>
    <t>Overbygning</t>
  </si>
  <si>
    <t>Slitelag</t>
  </si>
  <si>
    <t>Bindlag 1</t>
  </si>
  <si>
    <t>Bindlag 2</t>
  </si>
  <si>
    <t>Bærelag 1</t>
  </si>
  <si>
    <t>Bærelag 2</t>
  </si>
  <si>
    <t>Bærelag 3</t>
  </si>
  <si>
    <t>Forsterkningslag 1</t>
  </si>
  <si>
    <t>Forsterkningslag 2</t>
  </si>
  <si>
    <t>Forsterkningslag 3</t>
  </si>
  <si>
    <t>Filter- / Frostsikringslag</t>
  </si>
  <si>
    <t>Areal</t>
  </si>
  <si>
    <t>Planum, jordskjæring</t>
  </si>
  <si>
    <t>Planum, fjellskjæring</t>
  </si>
  <si>
    <t>Planum, fylling</t>
  </si>
  <si>
    <t>Flåsprengning</t>
  </si>
  <si>
    <t>Lengde</t>
  </si>
  <si>
    <t>Åpen grøft, jord</t>
  </si>
  <si>
    <t>Åpen grøft, fjell</t>
  </si>
  <si>
    <t>Mengde</t>
  </si>
  <si>
    <t>Prosjekterte
masser</t>
  </si>
  <si>
    <t>Masseomreg-ningsfaktorer</t>
  </si>
  <si>
    <t>Utførte anbrakte masser</t>
  </si>
  <si>
    <t>Areal og lengde</t>
  </si>
  <si>
    <t>Flå-sprengning</t>
  </si>
  <si>
    <t>Flå-sprengning
(m2)</t>
  </si>
  <si>
    <t>Teoretisk Fjell
(m3)</t>
  </si>
  <si>
    <t>Teoretisk Fjell</t>
  </si>
  <si>
    <t>Fjell inkl. flå-sprengning</t>
  </si>
  <si>
    <t>Fjell inkl. flå-sprengning
(m3)</t>
  </si>
  <si>
    <t>Jord
(m3)</t>
  </si>
  <si>
    <t>Fjell
(m3)</t>
  </si>
  <si>
    <t>Dypsprenging
(m3)</t>
  </si>
  <si>
    <t>Fylling
(m3)</t>
  </si>
  <si>
    <t>Anbragt jord
(m3)</t>
  </si>
  <si>
    <t>Anbragt fjell
(m3)</t>
  </si>
  <si>
    <t>Anbragt
dypsprenging
(m3)</t>
  </si>
  <si>
    <t>Anbragt
fylling
(m3)</t>
  </si>
  <si>
    <t>Masseprofil
(m3)</t>
  </si>
  <si>
    <t>Masseprofil,
akkumulert
(m3)</t>
  </si>
  <si>
    <t>Lukket grøft, jordskjæring
(m3)</t>
  </si>
  <si>
    <t>Lukket grøft, fjellskjæring
(m3)</t>
  </si>
  <si>
    <t>Lukket grøft, fylling
(m3)</t>
  </si>
  <si>
    <t>Volum (m3)</t>
  </si>
  <si>
    <t>Areal (m2)</t>
  </si>
  <si>
    <t>Planum, jordskjæring
(m2)</t>
  </si>
  <si>
    <t>Planum, fjellskjæring
(m2)</t>
  </si>
  <si>
    <t>Planum, fylling
(m2)</t>
  </si>
  <si>
    <t>Flåsprengning
(m2)</t>
  </si>
  <si>
    <t>Åpen grøft, jord
(m)</t>
  </si>
  <si>
    <t>Åpen grøft, fjell
(m)</t>
  </si>
  <si>
    <t>Utskiftings-
masser
(m3)
(m3)</t>
  </si>
  <si>
    <t>Kjørefelt
(m2)</t>
  </si>
  <si>
    <t>Vegskulder
(m2)</t>
  </si>
  <si>
    <t>Kjørefelt</t>
  </si>
  <si>
    <t>Vegskulder</t>
  </si>
  <si>
    <t>Soil cut factor</t>
  </si>
  <si>
    <t>Grøfteflate</t>
  </si>
  <si>
    <t>Fjellskjæring</t>
  </si>
  <si>
    <t>Jordskjæring</t>
  </si>
  <si>
    <t>Fyllingsflate</t>
  </si>
  <si>
    <t>Byggegropsideflate</t>
  </si>
  <si>
    <t>Grøfteflate
(m2)</t>
  </si>
  <si>
    <t>Fjellskjæring
(m2)</t>
  </si>
  <si>
    <t>Jordskjæring
(m2)</t>
  </si>
  <si>
    <t>Fyllingsflate
(m2)</t>
  </si>
  <si>
    <t>Byggegropsideflate
(m2)</t>
  </si>
  <si>
    <t>Granlien_andre</t>
  </si>
  <si>
    <t>5/19/2020 9:27:49 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</si>
</sst>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&quot;+&quot;000.000"/>
    <numFmt numFmtId="165" formatCode="0.000"/>
    <numFmt numFmtId="166" formatCode="0.000000"/>
  </numFmts>
  <fonts count="25" x14ac:knownFonts="1">
    <font>
      <sz val="10"/>
      <color rgb="FF000000"/>
      <name val="Arial"/>
      <family val="2"/>
    </font>
    <font>
      <b/>
      <sz val="9"/>
      <color rgb="FF000000"/>
      <name val="Calibri"/>
      <family val="2"/>
    </font>
    <font>
      <b/>
      <sz val="9"/>
      <color rgb="FFFF0000"/>
      <name val="Calibri"/>
      <family val="2"/>
    </font>
    <font>
      <b/>
      <sz val="13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color rgb="FF000000"/>
      <name val="Calibri"/>
      <family val="2"/>
    </font>
    <font>
      <sz val="20"/>
      <color rgb="FFFF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color theme="1"/>
      <name val="Calibri"/>
      <family val="2"/>
    </font>
    <font>
      <b/>
      <sz val="9"/>
      <name val="Calibri"/>
      <family val="2"/>
    </font>
    <font>
      <i/>
      <sz val="9"/>
      <color rgb="FF000000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F3E1C8"/>
        <bgColor rgb="FFF3E1C8"/>
      </patternFill>
    </fill>
    <fill>
      <patternFill patternType="solid">
        <fgColor indexed="9"/>
        <bgColor indexed="64"/>
      </patternFill>
    </fill>
    <fill>
      <patternFill patternType="solid">
        <fgColor rgb="FFF3E1C8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 applyAlignment="0"/>
  </cellStyleXfs>
  <cellXfs count="160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164" fontId="2" fillId="2" borderId="0" xfId="0" applyNumberFormat="1" applyFont="1" applyFill="1"/>
    <xf numFmtId="164" fontId="1" fillId="2" borderId="0" xfId="0" applyNumberFormat="1" applyFont="1" applyFill="1"/>
    <xf numFmtId="165" fontId="1" fillId="2" borderId="0" xfId="0" applyNumberFormat="1" applyFont="1" applyFill="1"/>
    <xf numFmtId="166" fontId="1" fillId="2" borderId="0" xfId="0" applyNumberFormat="1" applyFont="1" applyFill="1"/>
    <xf numFmtId="0" fontId="1" fillId="3" borderId="0" xfId="0" applyFont="1" applyFill="1"/>
    <xf numFmtId="0" fontId="3" fillId="4" borderId="0" xfId="0" applyFont="1" applyFill="1"/>
    <xf numFmtId="0" fontId="1" fillId="4" borderId="0" xfId="0" applyFont="1" applyFill="1"/>
    <xf numFmtId="165" fontId="1" fillId="4" borderId="0" xfId="0" applyNumberFormat="1" applyFont="1" applyFill="1"/>
    <xf numFmtId="166" fontId="1" fillId="4" borderId="0" xfId="0" applyNumberFormat="1" applyFont="1" applyFill="1"/>
    <xf numFmtId="0" fontId="4" fillId="4" borderId="0" xfId="0" applyFont="1" applyFill="1"/>
    <xf numFmtId="0" fontId="5" fillId="4" borderId="0" xfId="0" applyFont="1" applyFill="1"/>
    <xf numFmtId="164" fontId="5" fillId="4" borderId="0" xfId="0" applyNumberFormat="1" applyFont="1" applyFill="1"/>
    <xf numFmtId="2" fontId="1" fillId="4" borderId="0" xfId="0" applyNumberFormat="1" applyFont="1" applyFill="1" applyAlignment="1">
      <alignment horizontal="right"/>
    </xf>
    <xf numFmtId="0" fontId="1" fillId="4" borderId="0" xfId="0" applyFont="1" applyFill="1" applyAlignment="1">
      <alignment horizontal="right"/>
    </xf>
    <xf numFmtId="0" fontId="1" fillId="4" borderId="0" xfId="0" applyFont="1" applyFill="1" applyAlignment="1">
      <alignment horizontal="center"/>
    </xf>
    <xf numFmtId="165" fontId="1" fillId="3" borderId="0" xfId="0" applyNumberFormat="1" applyFont="1" applyFill="1"/>
    <xf numFmtId="2" fontId="1" fillId="3" borderId="0" xfId="0" applyNumberFormat="1" applyFont="1" applyFill="1"/>
    <xf numFmtId="166" fontId="1" fillId="3" borderId="0" xfId="0" applyNumberFormat="1" applyFont="1" applyFill="1"/>
    <xf numFmtId="0" fontId="1" fillId="3" borderId="0" xfId="0" applyFont="1" applyFill="1" applyAlignment="1">
      <alignment horizontal="center"/>
    </xf>
    <xf numFmtId="164" fontId="1" fillId="3" borderId="0" xfId="0" applyNumberFormat="1" applyFont="1" applyFill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/>
    <xf numFmtId="164" fontId="1" fillId="3" borderId="2" xfId="0" applyNumberFormat="1" applyFont="1" applyFill="1" applyBorder="1"/>
    <xf numFmtId="165" fontId="1" fillId="3" borderId="2" xfId="0" applyNumberFormat="1" applyFont="1" applyFill="1" applyBorder="1"/>
    <xf numFmtId="165" fontId="1" fillId="3" borderId="3" xfId="0" applyNumberFormat="1" applyFont="1" applyFill="1" applyBorder="1"/>
    <xf numFmtId="0" fontId="1" fillId="3" borderId="6" xfId="0" applyFont="1" applyFill="1" applyBorder="1" applyAlignment="1">
      <alignment horizontal="center" vertical="top" wrapText="1"/>
    </xf>
    <xf numFmtId="165" fontId="1" fillId="3" borderId="0" xfId="0" applyNumberFormat="1" applyFont="1" applyFill="1" applyAlignment="1">
      <alignment horizontal="center" vertical="top" wrapText="1"/>
    </xf>
    <xf numFmtId="0" fontId="6" fillId="3" borderId="0" xfId="0" applyFont="1" applyFill="1" applyAlignment="1">
      <alignment horizontal="center"/>
    </xf>
    <xf numFmtId="0" fontId="6" fillId="3" borderId="0" xfId="0" applyFont="1" applyFill="1"/>
    <xf numFmtId="164" fontId="6" fillId="3" borderId="0" xfId="0" applyNumberFormat="1" applyFont="1" applyFill="1"/>
    <xf numFmtId="165" fontId="6" fillId="3" borderId="0" xfId="0" applyNumberFormat="1" applyFont="1" applyFill="1"/>
    <xf numFmtId="166" fontId="1" fillId="3" borderId="0" xfId="0" applyNumberFormat="1" applyFont="1" applyFill="1" applyAlignment="1">
      <alignment horizontal="center" vertical="top" wrapText="1"/>
    </xf>
    <xf numFmtId="0" fontId="1" fillId="3" borderId="0" xfId="0" applyFont="1" applyFill="1" applyAlignment="1">
      <alignment horizontal="left"/>
    </xf>
    <xf numFmtId="164" fontId="1" fillId="3" borderId="0" xfId="0" applyNumberFormat="1" applyFont="1" applyFill="1" applyAlignment="1">
      <alignment horizontal="right"/>
    </xf>
    <xf numFmtId="0" fontId="1" fillId="3" borderId="0" xfId="0" applyFont="1" applyFill="1" applyAlignment="1">
      <alignment horizontal="right"/>
    </xf>
    <xf numFmtId="165" fontId="1" fillId="3" borderId="0" xfId="0" applyNumberFormat="1" applyFont="1" applyFill="1" applyAlignment="1">
      <alignment horizontal="right"/>
    </xf>
    <xf numFmtId="0" fontId="6" fillId="3" borderId="0" xfId="0" applyFont="1" applyFill="1" applyAlignment="1">
      <alignment horizontal="right"/>
    </xf>
    <xf numFmtId="0" fontId="6" fillId="3" borderId="0" xfId="0" applyFont="1" applyFill="1" applyAlignment="1">
      <alignment horizontal="left"/>
    </xf>
    <xf numFmtId="1" fontId="6" fillId="3" borderId="0" xfId="0" applyNumberFormat="1" applyFont="1" applyFill="1" applyAlignment="1">
      <alignment horizontal="right"/>
    </xf>
    <xf numFmtId="2" fontId="6" fillId="3" borderId="0" xfId="0" applyNumberFormat="1" applyFont="1" applyFill="1" applyAlignment="1">
      <alignment horizontal="right"/>
    </xf>
    <xf numFmtId="165" fontId="6" fillId="3" borderId="0" xfId="0" applyNumberFormat="1" applyFont="1" applyFill="1" applyAlignment="1">
      <alignment horizontal="right"/>
    </xf>
    <xf numFmtId="2" fontId="1" fillId="3" borderId="0" xfId="0" applyNumberFormat="1" applyFont="1" applyFill="1" applyAlignment="1">
      <alignment horizontal="center"/>
    </xf>
    <xf numFmtId="164" fontId="6" fillId="3" borderId="0" xfId="0" applyNumberFormat="1" applyFont="1" applyFill="1" applyAlignment="1">
      <alignment horizontal="right"/>
    </xf>
    <xf numFmtId="1" fontId="1" fillId="3" borderId="0" xfId="0" applyNumberFormat="1" applyFont="1" applyFill="1" applyAlignment="1">
      <alignment horizontal="right"/>
    </xf>
    <xf numFmtId="1" fontId="1" fillId="3" borderId="0" xfId="0" applyNumberFormat="1" applyFont="1" applyFill="1"/>
    <xf numFmtId="2" fontId="6" fillId="2" borderId="0" xfId="0" applyNumberFormat="1" applyFont="1" applyFill="1"/>
    <xf numFmtId="2" fontId="7" fillId="2" borderId="0" xfId="0" applyNumberFormat="1" applyFont="1" applyFill="1"/>
    <xf numFmtId="0" fontId="8" fillId="2" borderId="0" xfId="0" applyFont="1" applyFill="1" applyAlignment="1">
      <alignment horizontal="left"/>
    </xf>
    <xf numFmtId="2" fontId="6" fillId="3" borderId="0" xfId="0" applyNumberFormat="1" applyFont="1" applyFill="1"/>
    <xf numFmtId="2" fontId="9" fillId="4" borderId="0" xfId="0" applyNumberFormat="1" applyFont="1" applyFill="1"/>
    <xf numFmtId="2" fontId="6" fillId="4" borderId="0" xfId="0" applyNumberFormat="1" applyFont="1" applyFill="1"/>
    <xf numFmtId="0" fontId="8" fillId="4" borderId="0" xfId="0" applyFont="1" applyFill="1" applyAlignment="1">
      <alignment horizontal="left"/>
    </xf>
    <xf numFmtId="2" fontId="4" fillId="4" borderId="0" xfId="0" applyNumberFormat="1" applyFont="1" applyFill="1"/>
    <xf numFmtId="2" fontId="1" fillId="4" borderId="0" xfId="0" applyNumberFormat="1" applyFont="1" applyFill="1"/>
    <xf numFmtId="0" fontId="5" fillId="4" borderId="0" xfId="0" applyFont="1" applyFill="1" applyAlignment="1">
      <alignment horizontal="left"/>
    </xf>
    <xf numFmtId="14" fontId="1" fillId="4" borderId="0" xfId="0" applyNumberFormat="1" applyFont="1" applyFill="1" applyAlignment="1">
      <alignment horizontal="right"/>
    </xf>
    <xf numFmtId="2" fontId="1" fillId="3" borderId="5" xfId="0" applyNumberFormat="1" applyFont="1" applyFill="1" applyBorder="1"/>
    <xf numFmtId="2" fontId="1" fillId="3" borderId="1" xfId="0" applyNumberFormat="1" applyFont="1" applyFill="1" applyBorder="1"/>
    <xf numFmtId="2" fontId="1" fillId="3" borderId="2" xfId="0" applyNumberFormat="1" applyFont="1" applyFill="1" applyBorder="1"/>
    <xf numFmtId="2" fontId="1" fillId="3" borderId="2" xfId="0" applyNumberFormat="1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/>
    </xf>
    <xf numFmtId="2" fontId="1" fillId="3" borderId="7" xfId="0" applyNumberFormat="1" applyFont="1" applyFill="1" applyBorder="1"/>
    <xf numFmtId="2" fontId="6" fillId="3" borderId="0" xfId="0" applyNumberFormat="1" applyFont="1" applyFill="1" applyAlignment="1">
      <alignment horizontal="center"/>
    </xf>
    <xf numFmtId="2" fontId="1" fillId="3" borderId="8" xfId="0" applyNumberFormat="1" applyFont="1" applyFill="1" applyBorder="1" applyAlignment="1">
      <alignment horizontal="center" vertical="top" wrapText="1"/>
    </xf>
    <xf numFmtId="2" fontId="1" fillId="3" borderId="9" xfId="0" applyNumberFormat="1" applyFont="1" applyFill="1" applyBorder="1" applyAlignment="1">
      <alignment horizontal="center" vertical="top" wrapText="1"/>
    </xf>
    <xf numFmtId="2" fontId="6" fillId="3" borderId="0" xfId="0" applyNumberFormat="1" applyFont="1" applyFill="1" applyAlignment="1">
      <alignment horizontal="center" vertical="top" wrapText="1"/>
    </xf>
    <xf numFmtId="2" fontId="1" fillId="3" borderId="12" xfId="0" applyNumberFormat="1" applyFont="1" applyFill="1" applyBorder="1" applyAlignment="1">
      <alignment horizontal="center" wrapText="1"/>
    </xf>
    <xf numFmtId="2" fontId="1" fillId="3" borderId="4" xfId="0" applyNumberFormat="1" applyFont="1" applyFill="1" applyBorder="1"/>
    <xf numFmtId="2" fontId="1" fillId="3" borderId="12" xfId="0" applyNumberFormat="1" applyFont="1" applyFill="1" applyBorder="1"/>
    <xf numFmtId="2" fontId="1" fillId="3" borderId="13" xfId="0" applyNumberFormat="1" applyFont="1" applyFill="1" applyBorder="1" applyAlignment="1">
      <alignment horizontal="center" vertical="top" wrapText="1"/>
    </xf>
    <xf numFmtId="2" fontId="1" fillId="3" borderId="12" xfId="0" applyNumberFormat="1" applyFont="1" applyFill="1" applyBorder="1" applyAlignment="1">
      <alignment horizontal="center" vertical="top" wrapText="1"/>
    </xf>
    <xf numFmtId="2" fontId="6" fillId="3" borderId="14" xfId="0" applyNumberFormat="1" applyFont="1" applyFill="1" applyBorder="1"/>
    <xf numFmtId="2" fontId="6" fillId="3" borderId="15" xfId="0" applyNumberFormat="1" applyFont="1" applyFill="1" applyBorder="1" applyAlignment="1">
      <alignment vertical="top" wrapText="1"/>
    </xf>
    <xf numFmtId="2" fontId="6" fillId="3" borderId="15" xfId="0" applyNumberFormat="1" applyFont="1" applyFill="1" applyBorder="1"/>
    <xf numFmtId="2" fontId="1" fillId="3" borderId="3" xfId="0" applyNumberFormat="1" applyFont="1" applyFill="1" applyBorder="1"/>
    <xf numFmtId="2" fontId="1" fillId="3" borderId="0" xfId="0" applyNumberFormat="1" applyFont="1" applyFill="1" applyAlignment="1">
      <alignment horizontal="center" vertical="top" wrapText="1"/>
    </xf>
    <xf numFmtId="2" fontId="6" fillId="3" borderId="0" xfId="0" applyNumberFormat="1" applyFont="1" applyFill="1" applyAlignment="1">
      <alignment vertical="top" wrapText="1"/>
    </xf>
    <xf numFmtId="0" fontId="8" fillId="3" borderId="0" xfId="0" applyFont="1" applyFill="1"/>
    <xf numFmtId="0" fontId="8" fillId="3" borderId="0" xfId="0" applyFont="1" applyFill="1" applyAlignment="1">
      <alignment horizontal="left"/>
    </xf>
    <xf numFmtId="0" fontId="8" fillId="3" borderId="0" xfId="0" applyFont="1" applyFill="1" applyAlignment="1">
      <alignment horizontal="center"/>
    </xf>
    <xf numFmtId="0" fontId="8" fillId="3" borderId="15" xfId="0" applyFont="1" applyFill="1" applyBorder="1"/>
    <xf numFmtId="0" fontId="6" fillId="2" borderId="0" xfId="0" applyFont="1" applyFill="1"/>
    <xf numFmtId="165" fontId="6" fillId="2" borderId="0" xfId="0" applyNumberFormat="1" applyFont="1" applyFill="1"/>
    <xf numFmtId="0" fontId="6" fillId="4" borderId="0" xfId="0" applyFont="1" applyFill="1"/>
    <xf numFmtId="165" fontId="6" fillId="4" borderId="0" xfId="0" applyNumberFormat="1" applyFont="1" applyFill="1"/>
    <xf numFmtId="2" fontId="1" fillId="3" borderId="7" xfId="0" applyNumberFormat="1" applyFont="1" applyFill="1" applyBorder="1" applyAlignment="1">
      <alignment vertical="center"/>
    </xf>
    <xf numFmtId="2" fontId="1" fillId="3" borderId="0" xfId="0" applyNumberFormat="1" applyFont="1" applyFill="1" applyAlignment="1">
      <alignment vertical="center"/>
    </xf>
    <xf numFmtId="0" fontId="8" fillId="3" borderId="0" xfId="0" applyFont="1" applyFill="1" applyAlignment="1">
      <alignment vertical="center"/>
    </xf>
    <xf numFmtId="2" fontId="6" fillId="3" borderId="0" xfId="0" applyNumberFormat="1" applyFont="1" applyFill="1" applyAlignment="1">
      <alignment vertical="center"/>
    </xf>
    <xf numFmtId="2" fontId="1" fillId="3" borderId="11" xfId="0" applyNumberFormat="1" applyFont="1" applyFill="1" applyBorder="1" applyAlignment="1">
      <alignment horizontal="center" vertical="center" wrapText="1"/>
    </xf>
    <xf numFmtId="2" fontId="1" fillId="3" borderId="0" xfId="0" applyNumberFormat="1" applyFont="1" applyFill="1" applyAlignment="1">
      <alignment horizontal="center" vertical="center" wrapText="1"/>
    </xf>
    <xf numFmtId="2" fontId="1" fillId="3" borderId="6" xfId="0" applyNumberFormat="1" applyFont="1" applyFill="1" applyBorder="1"/>
    <xf numFmtId="2" fontId="6" fillId="3" borderId="13" xfId="0" applyNumberFormat="1" applyFont="1" applyFill="1" applyBorder="1"/>
    <xf numFmtId="2" fontId="6" fillId="2" borderId="0" xfId="0" applyNumberFormat="1" applyFont="1" applyFill="1" applyAlignment="1">
      <alignment horizontal="right"/>
    </xf>
    <xf numFmtId="2" fontId="4" fillId="4" borderId="0" xfId="0" applyNumberFormat="1" applyFont="1" applyFill="1" applyAlignment="1">
      <alignment horizontal="left"/>
    </xf>
    <xf numFmtId="2" fontId="1" fillId="4" borderId="0" xfId="0" applyNumberFormat="1" applyFont="1" applyFill="1" applyAlignment="1">
      <alignment horizontal="left"/>
    </xf>
    <xf numFmtId="2" fontId="1" fillId="3" borderId="0" xfId="0" applyNumberFormat="1" applyFont="1" applyFill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2" fontId="6" fillId="3" borderId="3" xfId="0" applyNumberFormat="1" applyFont="1" applyFill="1" applyBorder="1"/>
    <xf numFmtId="2" fontId="1" fillId="3" borderId="4" xfId="0" applyNumberFormat="1" applyFont="1" applyFill="1" applyBorder="1" applyAlignment="1">
      <alignment horizontal="center" wrapText="1"/>
    </xf>
    <xf numFmtId="2" fontId="6" fillId="3" borderId="15" xfId="0" applyNumberFormat="1" applyFont="1" applyFill="1" applyBorder="1" applyAlignment="1">
      <alignment horizontal="right"/>
    </xf>
    <xf numFmtId="2" fontId="10" fillId="2" borderId="0" xfId="0" applyNumberFormat="1" applyFont="1" applyFill="1"/>
    <xf numFmtId="2" fontId="11" fillId="2" borderId="0" xfId="0" applyNumberFormat="1" applyFont="1" applyFill="1"/>
    <xf numFmtId="2" fontId="10" fillId="3" borderId="0" xfId="0" applyNumberFormat="1" applyFont="1" applyFill="1"/>
    <xf numFmtId="0" fontId="12" fillId="4" borderId="0" xfId="0" applyFont="1" applyFill="1"/>
    <xf numFmtId="2" fontId="13" fillId="4" borderId="0" xfId="0" applyNumberFormat="1" applyFont="1" applyFill="1"/>
    <xf numFmtId="2" fontId="10" fillId="4" borderId="0" xfId="0" applyNumberFormat="1" applyFont="1" applyFill="1"/>
    <xf numFmtId="2" fontId="14" fillId="4" borderId="0" xfId="0" applyNumberFormat="1" applyFont="1" applyFill="1"/>
    <xf numFmtId="2" fontId="15" fillId="4" borderId="0" xfId="0" applyNumberFormat="1" applyFont="1" applyFill="1"/>
    <xf numFmtId="2" fontId="15" fillId="4" borderId="0" xfId="0" applyNumberFormat="1" applyFont="1" applyFill="1" applyAlignment="1">
      <alignment horizontal="right"/>
    </xf>
    <xf numFmtId="14" fontId="15" fillId="4" borderId="0" xfId="0" applyNumberFormat="1" applyFont="1" applyFill="1" applyAlignment="1">
      <alignment horizontal="right"/>
    </xf>
    <xf numFmtId="2" fontId="15" fillId="3" borderId="0" xfId="0" applyNumberFormat="1" applyFont="1" applyFill="1" applyAlignment="1">
      <alignment horizontal="center"/>
    </xf>
    <xf numFmtId="2" fontId="15" fillId="3" borderId="0" xfId="0" applyNumberFormat="1" applyFont="1" applyFill="1"/>
    <xf numFmtId="2" fontId="15" fillId="3" borderId="1" xfId="0" applyNumberFormat="1" applyFont="1" applyFill="1" applyBorder="1"/>
    <xf numFmtId="2" fontId="15" fillId="3" borderId="2" xfId="0" applyNumberFormat="1" applyFont="1" applyFill="1" applyBorder="1"/>
    <xf numFmtId="2" fontId="10" fillId="3" borderId="0" xfId="0" applyNumberFormat="1" applyFont="1" applyFill="1" applyAlignment="1">
      <alignment horizontal="center"/>
    </xf>
    <xf numFmtId="2" fontId="15" fillId="3" borderId="8" xfId="0" applyNumberFormat="1" applyFont="1" applyFill="1" applyBorder="1" applyAlignment="1">
      <alignment horizontal="center" vertical="top" wrapText="1"/>
    </xf>
    <xf numFmtId="2" fontId="15" fillId="3" borderId="0" xfId="0" applyNumberFormat="1" applyFont="1" applyFill="1" applyAlignment="1">
      <alignment horizontal="center" vertical="top" wrapText="1"/>
    </xf>
    <xf numFmtId="2" fontId="10" fillId="3" borderId="0" xfId="0" applyNumberFormat="1" applyFont="1" applyFill="1" applyAlignment="1">
      <alignment horizontal="center" vertical="top" wrapText="1"/>
    </xf>
    <xf numFmtId="2" fontId="15" fillId="3" borderId="12" xfId="0" applyNumberFormat="1" applyFont="1" applyFill="1" applyBorder="1" applyAlignment="1">
      <alignment horizontal="center" wrapText="1"/>
    </xf>
    <xf numFmtId="2" fontId="15" fillId="3" borderId="12" xfId="0" applyNumberFormat="1" applyFont="1" applyFill="1" applyBorder="1"/>
    <xf numFmtId="0" fontId="17" fillId="3" borderId="0" xfId="0" applyFont="1" applyFill="1" applyAlignment="1">
      <alignment horizontal="left"/>
    </xf>
    <xf numFmtId="0" fontId="17" fillId="3" borderId="0" xfId="0" applyFont="1" applyFill="1" applyAlignment="1">
      <alignment horizontal="center"/>
    </xf>
    <xf numFmtId="2" fontId="10" fillId="3" borderId="14" xfId="0" applyNumberFormat="1" applyFont="1" applyFill="1" applyBorder="1"/>
    <xf numFmtId="2" fontId="10" fillId="3" borderId="15" xfId="0" applyNumberFormat="1" applyFont="1" applyFill="1" applyBorder="1"/>
    <xf numFmtId="2" fontId="18" fillId="3" borderId="9" xfId="0" applyNumberFormat="1" applyFont="1" applyFill="1" applyBorder="1" applyAlignment="1">
      <alignment horizontal="center" vertical="top" wrapText="1"/>
    </xf>
    <xf numFmtId="2" fontId="19" fillId="3" borderId="9" xfId="0" applyNumberFormat="1" applyFont="1" applyFill="1" applyBorder="1" applyAlignment="1">
      <alignment horizontal="center" vertical="top" wrapText="1"/>
    </xf>
    <xf numFmtId="2" fontId="19" fillId="3" borderId="10" xfId="0" applyNumberFormat="1" applyFont="1" applyFill="1" applyBorder="1" applyAlignment="1">
      <alignment horizontal="center" vertical="top" wrapText="1"/>
    </xf>
    <xf numFmtId="0" fontId="6" fillId="3" borderId="0" xfId="0" applyFont="1" applyFill="1" applyAlignment="1">
      <alignment horizontal="center" vertical="top" wrapText="1"/>
    </xf>
    <xf numFmtId="2" fontId="20" fillId="3" borderId="0" xfId="0" applyNumberFormat="1" applyFont="1" applyFill="1"/>
    <xf numFmtId="2" fontId="1" fillId="3" borderId="17" xfId="0" applyNumberFormat="1" applyFont="1" applyFill="1" applyBorder="1"/>
    <xf numFmtId="2" fontId="6" fillId="3" borderId="16" xfId="0" applyNumberFormat="1" applyFont="1" applyFill="1" applyBorder="1"/>
    <xf numFmtId="2" fontId="16" fillId="3" borderId="0" xfId="0" applyNumberFormat="1" applyFont="1" applyFill="1" applyAlignment="1">
      <alignment horizontal="center" vertical="top" wrapText="1"/>
    </xf>
    <xf numFmtId="2" fontId="15" fillId="3" borderId="18" xfId="0" applyNumberFormat="1" applyFont="1" applyFill="1" applyBorder="1"/>
    <xf numFmtId="2" fontId="10" fillId="3" borderId="19" xfId="0" applyNumberFormat="1" applyFont="1" applyFill="1" applyBorder="1"/>
    <xf numFmtId="2" fontId="15" fillId="3" borderId="20" xfId="0" applyNumberFormat="1" applyFont="1" applyFill="1" applyBorder="1"/>
    <xf numFmtId="2" fontId="2" fillId="3" borderId="0" xfId="0" applyNumberFormat="1" applyFont="1" applyFill="1" applyAlignment="1">
      <alignment horizontal="center" vertical="top" wrapText="1"/>
    </xf>
    <xf numFmtId="2" fontId="1" fillId="3" borderId="21" xfId="0" applyNumberFormat="1" applyFont="1" applyFill="1" applyBorder="1"/>
    <xf numFmtId="2" fontId="1" fillId="3" borderId="18" xfId="0" applyNumberFormat="1" applyFont="1" applyFill="1" applyBorder="1"/>
    <xf numFmtId="2" fontId="6" fillId="3" borderId="19" xfId="0" applyNumberFormat="1" applyFont="1" applyFill="1" applyBorder="1"/>
    <xf numFmtId="0" fontId="22" fillId="5" borderId="0" xfId="0" applyFont="1" applyFill="1" applyAlignment="1">
      <alignment horizontal="left"/>
    </xf>
    <xf numFmtId="0" fontId="21" fillId="5" borderId="0" xfId="0" applyFont="1" applyFill="1" applyAlignment="1">
      <alignment horizontal="left"/>
    </xf>
    <xf numFmtId="0" fontId="21" fillId="5" borderId="22" xfId="0" applyFont="1" applyFill="1" applyBorder="1" applyAlignment="1">
      <alignment horizontal="left" vertical="top" wrapText="1"/>
    </xf>
    <xf numFmtId="0" fontId="21" fillId="5" borderId="23" xfId="0" applyFont="1" applyFill="1" applyBorder="1" applyAlignment="1">
      <alignment horizontal="center" vertical="top" wrapText="1"/>
    </xf>
    <xf numFmtId="0" fontId="21" fillId="5" borderId="23" xfId="0" applyFont="1" applyFill="1" applyBorder="1" applyAlignment="1">
      <alignment horizontal="right" vertical="top" wrapText="1"/>
    </xf>
    <xf numFmtId="2" fontId="21" fillId="5" borderId="24" xfId="0" applyNumberFormat="1" applyFont="1" applyFill="1" applyBorder="1" applyAlignment="1">
      <alignment horizontal="center" vertical="top" wrapText="1"/>
    </xf>
    <xf numFmtId="2" fontId="21" fillId="5" borderId="25" xfId="0" applyNumberFormat="1" applyFont="1" applyFill="1" applyBorder="1" applyAlignment="1">
      <alignment horizontal="center" vertical="top" wrapText="1"/>
    </xf>
    <xf numFmtId="2" fontId="21" fillId="5" borderId="28" xfId="0" applyNumberFormat="1" applyFont="1" applyFill="1" applyBorder="1" applyAlignment="1">
      <alignment horizontal="center" vertical="center" wrapText="1"/>
    </xf>
    <xf numFmtId="2" fontId="21" fillId="5" borderId="25" xfId="0" applyNumberFormat="1" applyFont="1" applyFill="1" applyBorder="1" applyAlignment="1">
      <alignment horizontal="center" vertical="center" wrapText="1"/>
    </xf>
    <xf numFmtId="2" fontId="23" fillId="6" borderId="0" xfId="0" applyNumberFormat="1" applyFont="1" applyFill="1" applyAlignment="1">
      <alignment horizontal="left"/>
    </xf>
    <xf numFmtId="2" fontId="23" fillId="6" borderId="0" xfId="0" applyNumberFormat="1" applyFont="1" applyFill="1"/>
    <xf numFmtId="2" fontId="24" fillId="5" borderId="26" xfId="0" applyNumberFormat="1" applyFont="1" applyFill="1" applyBorder="1" applyAlignment="1">
      <alignment horizontal="center" vertical="top" wrapText="1"/>
    </xf>
    <xf numFmtId="2" fontId="1" fillId="3" borderId="30" xfId="0" applyNumberFormat="1" applyFont="1" applyFill="1" applyBorder="1"/>
    <xf numFmtId="2" fontId="6" fillId="3" borderId="29" xfId="0" applyNumberFormat="1" applyFont="1" applyFill="1" applyBorder="1"/>
    <xf numFmtId="2" fontId="1" fillId="3" borderId="31" xfId="0" applyNumberFormat="1" applyFont="1" applyFill="1" applyBorder="1"/>
    <xf numFmtId="2" fontId="21" fillId="5" borderId="27" xfId="0" applyNumberFormat="1" applyFont="1" applyFill="1" applyBorder="1" applyAlignment="1">
      <alignment horizontal="center" vertical="center"/>
    </xf>
    <xf numFmtId="2" fontId="21" fillId="5" borderId="20" xfId="0" applyNumberFormat="1" applyFont="1" applyFill="1" applyBorder="1" applyAlignment="1">
      <alignment horizontal="center" vertical="center"/>
    </xf>
  </cellXfs>
  <cellStyles count="1">
    <cellStyle name="Normal" xfId="0" builtinId="0" customBuiltin="1"/>
  </cellStyles>
  <dxfs count="16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c:style val="2"/>
  <c:chart>
    <c:title>
      <c:tx>
        <c:rich>
          <a:bodyPr rot="0" vertOverflow="overflow" vert="horz" rtlCol="0" anchor="t"/>
          <a:lstStyle/>
          <a:p>
            <a:pPr lvl="0" algn="ctr" defTabSz="91440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75" b="1" kern="12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 sz="875" b="1">
                <a:effectLst/>
              </a:rPr>
              <a:t>Utførte anbrakte masse (m3)</a:t>
            </a:r>
          </a:p>
        </c:rich>
      </c:tx>
      <c:layout>
        <c:manualLayout>
          <c:xMode val="edge"/>
          <c:yMode val="edge"/>
          <c:x val="0.36269442986293399"/>
        </c:manualLayout>
      </c:layout>
      <c:overlay val="0"/>
      <c:spPr>
        <a:noFill/>
        <a:ln>
          <a:noFill/>
        </a:ln>
      </c:spPr>
    </c:title>
    <c:autoTitleDeleted val="0"/>
    <c:view3D>
      <c:rotX val="40"/>
      <c:rotY val="0"/>
      <c:rAngAx val="0"/>
    </c:view3D>
    <c:floor>
      <c:thickness val="0"/>
    </c:floor>
    <c:sideWall>
      <c:thickness val="0"/>
      <c:spPr>
        <a:noFill/>
        <a:ln>
          <a:noFill/>
        </a:ln>
      </c:spPr>
    </c:sideWall>
    <c:backWall>
      <c:thickness val="0"/>
      <c:spPr>
        <a:noFill/>
        <a:ln>
          <a:noFill/>
        </a:ln>
      </c:spPr>
    </c:backWall>
    <c:plotArea>
      <c:layout>
        <c:manualLayout>
          <c:layoutTarget val="inner"/>
          <c:xMode val="edge"/>
          <c:yMode val="edge"/>
          <c:x val="0.31433521477636972"/>
          <c:y val="0.36022584005487157"/>
          <c:w val="0.37133003705570999"/>
          <c:h val="0.42396263309825727"/>
        </c:manualLayout>
      </c:layout>
      <c:pie3DChart>
        <c:varyColors val="1"/>
        <c:ser>
          <c:idx val="0"/>
          <c:order val="0"/>
          <c:tx>
            <c:strRef>
              <c:f>Sammendrag!$A$15:$A$15</c:f>
              <c:strCache>
                <c:ptCount val="1"/>
                <c:pt idx="0">
                  <c:v>Jord</c:v>
                </c:pt>
              </c:strCache>
            </c:strRef>
          </c:tx>
          <c:dPt>
            <c:idx val="0"/>
            <c:bubble3D val="0"/>
            <c:spPr>
              <a:solidFill>
                <a:srgbClr val="C0C0C0"/>
              </a:solidFill>
              <a:ln w="12701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02E-4CA4-ADB0-652DDE4E7AB5}"/>
              </c:ext>
            </c:extLst>
          </c:dPt>
          <c:dPt>
            <c:idx val="1"/>
            <c:bubble3D val="0"/>
            <c:spPr>
              <a:solidFill>
                <a:srgbClr val="808080"/>
              </a:solidFill>
              <a:ln w="12701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02E-4CA4-ADB0-652DDE4E7AB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1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02E-4CA4-ADB0-652DDE4E7AB5}"/>
              </c:ext>
            </c:extLst>
          </c:dPt>
          <c:dPt>
            <c:idx val="3"/>
            <c:bubble3D val="0"/>
            <c:spPr>
              <a:solidFill>
                <a:srgbClr val="FFFFFF"/>
              </a:solidFill>
              <a:ln w="12701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02E-4CA4-ADB0-652DDE4E7AB5}"/>
              </c:ext>
            </c:extLst>
          </c:dPt>
          <c:dLbls>
            <c:dLbl>
              <c:idx val="0"/>
              <c:layout>
                <c:manualLayout>
                  <c:x val="-2.6667139496562093E-2"/>
                  <c:y val="-3.223675870325620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2E-4CA4-ADB0-652DDE4E7AB5}"/>
                </c:ext>
              </c:extLst>
            </c:dLbl>
            <c:dLbl>
              <c:idx val="2"/>
              <c:layout>
                <c:manualLayout>
                  <c:x val="-0.15227603436011303"/>
                  <c:y val="-5.5452501549844166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02E-4CA4-ADB0-652DDE4E7AB5}"/>
                </c:ext>
              </c:extLst>
            </c:dLbl>
            <c:dLbl>
              <c:idx val="3"/>
              <c:layout>
                <c:manualLayout>
                  <c:x val="0.11533790967346974"/>
                  <c:y val="-1.419079375923363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02E-4CA4-ADB0-652DDE4E7A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Overflow="overflow" vert="horz" rtlCol="0" anchor="t"/>
              <a:lstStyle/>
              <a:p>
                <a:pPr lvl="0" algn="ctr" defTabSz="91440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800" b="0" kern="12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b-N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cat>
            <c:strRef>
              <c:f>Sammendrag!$A$15:$A$18</c:f>
              <c:strCache>
                <c:ptCount val="4"/>
                <c:pt idx="0">
                  <c:v>Jord</c:v>
                </c:pt>
                <c:pt idx="1">
                  <c:v>Fjell</c:v>
                </c:pt>
                <c:pt idx="2">
                  <c:v>Dypsprenging</c:v>
                </c:pt>
                <c:pt idx="3">
                  <c:v>Fylling</c:v>
                </c:pt>
              </c:strCache>
            </c:strRef>
          </c:cat>
          <c:val>
            <c:numRef>
              <c:f>Sammendrag!$E$15:$E$18</c:f>
              <c:numCache>
                <c:formatCode>0</c:formatCode>
                <c:ptCount val="4"/>
                <c:pt idx="0">
                  <c:v>0</c:v>
                </c:pt>
                <c:pt idx="1">
                  <c:v>12169.32972541179</c:v>
                </c:pt>
                <c:pt idx="2">
                  <c:v>0</c:v>
                </c:pt>
                <c:pt idx="3">
                  <c:v>68.524934381104643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02E-4CA4-ADB0-652DDE4E7A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spPr>
    <a:noFill/>
    <a:ln>
      <a:noFill/>
    </a:ln>
  </c:spPr>
  <c:txPr>
    <a:bodyPr rot="0" vertOverflow="overflow" vert="horz" rtlCol="0" anchor="t"/>
    <a:lstStyle/>
    <a:p>
      <a:pPr lvl="0" defTabSz="914400" hangingPunct="1">
        <a:lnSpc>
          <a:spcPct val="100000"/>
        </a:lnSpc>
        <a:spcBef>
          <a:spcPts val="0"/>
        </a:spcBef>
        <a:spcAft>
          <a:spcPts val="0"/>
        </a:spcAft>
        <a:tabLst/>
        <a:defRPr lang="en-US" sz="800" b="0" kern="120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239264</xdr:colOff>
      <xdr:row>3</xdr:row>
      <xdr:rowOff>133346</xdr:rowOff>
    </xdr:from>
    <xdr:ext cx="4286249" cy="3305171"/>
    <xdr:graphicFrame macro="">
      <xdr:nvGraphicFramePr>
        <xdr:cNvPr id="3" name="Chart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0</xdr:col>
      <xdr:colOff>0</xdr:colOff>
      <xdr:row>0</xdr:row>
      <xdr:rowOff>0</xdr:rowOff>
    </xdr:from>
    <xdr:ext cx="1562096" cy="57150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0" y="0"/>
          <a:ext cx="1562096" cy="57150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62096" cy="57150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1562096" cy="57150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62096" cy="57150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1562096" cy="57150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62096" cy="57150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1562096" cy="57150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62096" cy="57150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1562096" cy="57150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62096" cy="57150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1562096" cy="57150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62096" cy="57150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1562096" cy="57150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62096" cy="57150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1562096" cy="57150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5"/>
  <sheetViews>
    <sheetView tabSelected="1" topLeftCell="I7" zoomScale="230" zoomScaleNormal="230" workbookViewId="0">
      <selection activeCell="N13" sqref="N13"/>
    </sheetView>
  </sheetViews>
  <sheetFormatPr baseColWidth="10" defaultColWidth="11.5546875" defaultRowHeight="12" x14ac:dyDescent="0.25"/>
  <cols>
    <col min="1" max="1" width="17.109375" style="21" customWidth="1"/>
    <col min="2" max="2" width="17.44140625" style="7" customWidth="1"/>
    <col min="3" max="3" width="15.21875" style="22" customWidth="1"/>
    <col min="4" max="4" width="17.5546875" style="22" customWidth="1"/>
    <col min="5" max="5" width="16" style="18" customWidth="1"/>
    <col min="6" max="6" width="15.21875" style="18" customWidth="1"/>
    <col min="7" max="7" width="16.44140625" style="18" customWidth="1"/>
    <col min="8" max="8" width="15.77734375" style="18" customWidth="1"/>
    <col min="9" max="9" width="16.109375" style="18" customWidth="1"/>
    <col min="10" max="10" width="14.44140625" style="20" customWidth="1"/>
    <col min="11" max="11" width="11.5546875" style="7" customWidth="1"/>
    <col min="12" max="16384" width="11.5546875" style="7"/>
  </cols>
  <sheetData>
    <row r="1" spans="1:12" ht="44.25" customHeight="1" x14ac:dyDescent="0.25">
      <c r="A1" s="1"/>
      <c r="B1" s="2"/>
      <c r="C1" s="3"/>
      <c r="D1" s="4"/>
      <c r="E1" s="5"/>
      <c r="F1" s="5"/>
      <c r="G1" s="5"/>
      <c r="H1" s="5"/>
      <c r="I1" s="5"/>
      <c r="J1" s="6"/>
      <c r="K1" s="2"/>
      <c r="L1" s="2"/>
    </row>
    <row r="2" spans="1:12" ht="16.95" customHeight="1" x14ac:dyDescent="0.35">
      <c r="A2" s="8" t="s">
        <v>6</v>
      </c>
      <c r="B2" s="8"/>
      <c r="C2" s="9"/>
      <c r="D2" s="9"/>
      <c r="E2" s="9"/>
      <c r="F2" s="9"/>
      <c r="G2" s="9"/>
      <c r="H2" s="9"/>
      <c r="I2" s="10"/>
      <c r="J2" s="11"/>
      <c r="K2" s="9"/>
      <c r="L2" s="9"/>
    </row>
    <row r="3" spans="1:12" ht="16.2" customHeight="1" x14ac:dyDescent="0.3">
      <c r="A3" s="12" t="s">
        <v>7</v>
      </c>
      <c r="B3" s="12"/>
      <c r="C3" s="13"/>
      <c r="D3" s="9"/>
      <c r="E3" s="9"/>
      <c r="F3" s="9"/>
      <c r="G3" s="9"/>
      <c r="H3" s="9"/>
      <c r="I3" s="10"/>
      <c r="J3" s="11"/>
      <c r="K3" s="9"/>
      <c r="L3" s="9"/>
    </row>
    <row r="4" spans="1:12" ht="16.2" customHeight="1" x14ac:dyDescent="0.3">
      <c r="A4" s="12" t="s">
        <v>8</v>
      </c>
      <c r="B4" s="12" t="s">
        <v>108</v>
      </c>
      <c r="C4" s="14"/>
      <c r="D4" s="9"/>
      <c r="E4" s="9"/>
      <c r="F4" s="9"/>
      <c r="G4" s="9"/>
      <c r="H4" s="9"/>
      <c r="I4" s="10"/>
      <c r="J4" s="11"/>
      <c r="K4" s="9"/>
      <c r="L4" s="9"/>
    </row>
    <row r="5" spans="1:12" ht="15" customHeight="1" x14ac:dyDescent="0.25">
      <c r="A5" s="9"/>
      <c r="B5" s="9"/>
      <c r="C5" s="9"/>
      <c r="D5" s="9"/>
      <c r="E5" s="10"/>
      <c r="F5" s="9" t="s">
        <v>9</v>
      </c>
      <c r="G5" s="9"/>
      <c r="H5" s="15">
        <v>3.5</v>
      </c>
      <c r="I5" s="10"/>
      <c r="J5" s="11"/>
      <c r="K5" s="9"/>
      <c r="L5" s="9"/>
    </row>
    <row r="6" spans="1:12" ht="15" customHeight="1" x14ac:dyDescent="0.25">
      <c r="A6" s="9"/>
      <c r="B6" s="9"/>
      <c r="C6" s="9"/>
      <c r="D6" s="9"/>
      <c r="E6" s="10"/>
      <c r="F6" s="9" t="s">
        <v>10</v>
      </c>
      <c r="G6" s="9"/>
      <c r="H6" s="15">
        <v>436.46100000000001</v>
      </c>
      <c r="I6" s="10"/>
      <c r="J6" s="11"/>
      <c r="K6" s="9"/>
      <c r="L6" s="9"/>
    </row>
    <row r="7" spans="1:12" ht="15" customHeight="1" x14ac:dyDescent="0.25">
      <c r="A7" s="9"/>
      <c r="B7" s="9"/>
      <c r="C7" s="9"/>
      <c r="D7" s="9"/>
      <c r="E7" s="10"/>
      <c r="F7" s="9" t="s">
        <v>11</v>
      </c>
      <c r="G7" s="9"/>
      <c r="H7" s="16" t="s">
        <v>109</v>
      </c>
      <c r="I7" s="10"/>
      <c r="J7" s="11"/>
      <c r="K7" s="9"/>
      <c r="L7" s="9"/>
    </row>
    <row r="8" spans="1:12" ht="15" customHeight="1" x14ac:dyDescent="0.25">
      <c r="A8" s="17"/>
      <c r="B8" s="9"/>
      <c r="C8" s="9"/>
      <c r="D8" s="9"/>
      <c r="E8" s="9"/>
      <c r="F8" s="10"/>
      <c r="G8" s="10"/>
      <c r="H8" s="10"/>
      <c r="I8" s="10"/>
      <c r="J8" s="11"/>
      <c r="K8" s="9"/>
      <c r="L8" s="9"/>
    </row>
    <row r="9" spans="1:12" ht="15" customHeight="1" x14ac:dyDescent="0.25">
      <c r="A9" s="7"/>
      <c r="B9" s="18"/>
      <c r="C9" s="19"/>
      <c r="D9" s="19"/>
      <c r="E9" s="19"/>
      <c r="F9" s="19"/>
      <c r="G9" s="19"/>
      <c r="H9" s="19"/>
    </row>
    <row r="10" spans="1:12" ht="15" customHeight="1" x14ac:dyDescent="0.25"/>
    <row r="11" spans="1:12" x14ac:dyDescent="0.25">
      <c r="A11" s="23"/>
      <c r="B11" s="24"/>
      <c r="C11" s="25"/>
      <c r="D11" s="25"/>
      <c r="E11" s="26"/>
      <c r="F11" s="26"/>
      <c r="G11" s="26"/>
      <c r="H11" s="27"/>
    </row>
    <row r="12" spans="1:12" ht="34.950000000000003" customHeight="1" x14ac:dyDescent="0.25">
      <c r="A12" s="145" t="s">
        <v>60</v>
      </c>
      <c r="B12" s="146"/>
      <c r="C12" s="147" t="s">
        <v>61</v>
      </c>
      <c r="D12" s="147" t="s">
        <v>62</v>
      </c>
      <c r="E12" s="147" t="s">
        <v>63</v>
      </c>
      <c r="F12" s="147"/>
      <c r="G12" s="147" t="s">
        <v>64</v>
      </c>
      <c r="H12" s="28"/>
      <c r="I12" s="29"/>
      <c r="J12" s="29"/>
    </row>
    <row r="13" spans="1:12" ht="12" customHeight="1" x14ac:dyDescent="0.25">
      <c r="A13" s="30"/>
      <c r="B13" s="31"/>
      <c r="C13" s="32"/>
      <c r="D13" s="31"/>
      <c r="E13" s="33"/>
      <c r="F13" s="31"/>
      <c r="G13" s="33"/>
      <c r="H13" s="31"/>
      <c r="I13" s="29"/>
      <c r="J13" s="34"/>
    </row>
    <row r="14" spans="1:12" x14ac:dyDescent="0.25">
      <c r="A14" s="144" t="s">
        <v>32</v>
      </c>
      <c r="B14" s="30"/>
      <c r="C14" s="36" t="s">
        <v>0</v>
      </c>
      <c r="D14" s="37"/>
      <c r="E14" s="38" t="s">
        <v>0</v>
      </c>
      <c r="F14" s="39"/>
      <c r="G14" s="38"/>
      <c r="H14" s="30"/>
    </row>
    <row r="15" spans="1:12" x14ac:dyDescent="0.25">
      <c r="A15" s="143" t="s">
        <v>33</v>
      </c>
      <c r="B15" s="21"/>
      <c r="C15" s="41">
        <f ca="1">SUM([0]!Lev_SoilCut)</f>
        <v>0</v>
      </c>
      <c r="D15" s="42" t="str">
        <f ca="1">IF(E15=0,"-",E15/C15)</f>
        <v>-</v>
      </c>
      <c r="E15" s="41">
        <f ca="1">SUM([0]!Lev_P_SoilCut)</f>
        <v>0</v>
      </c>
      <c r="F15" s="43"/>
      <c r="G15" s="43"/>
      <c r="H15" s="33"/>
      <c r="I15" s="44"/>
    </row>
    <row r="16" spans="1:12" x14ac:dyDescent="0.25">
      <c r="A16" s="143" t="s">
        <v>34</v>
      </c>
      <c r="B16" s="30"/>
      <c r="C16" s="41">
        <f ca="1">SUM([0]!Lev_RockCut)</f>
        <v>12169.32972541179</v>
      </c>
      <c r="D16" s="42">
        <f ca="1">IF(E16=0,"-",E16/C16)</f>
        <v>1</v>
      </c>
      <c r="E16" s="41">
        <f ca="1">SUM([0]!Lev_P_RockCut)</f>
        <v>12169.32972541179</v>
      </c>
      <c r="F16" s="43"/>
      <c r="G16" s="43"/>
      <c r="H16" s="33"/>
    </row>
    <row r="17" spans="1:8" x14ac:dyDescent="0.25">
      <c r="A17" s="143" t="s">
        <v>35</v>
      </c>
      <c r="B17" s="30"/>
      <c r="C17" s="41">
        <f ca="1">SUM([0]!Lev_DeepBlasting)</f>
        <v>0</v>
      </c>
      <c r="D17" s="42" t="str">
        <f ca="1">IF(E17=0,"-",E17/C17)</f>
        <v>-</v>
      </c>
      <c r="E17" s="41">
        <f ca="1">SUM([0]!Lev_P_DeepBlasting)</f>
        <v>0</v>
      </c>
      <c r="F17" s="43"/>
      <c r="G17" s="43"/>
      <c r="H17" s="33"/>
    </row>
    <row r="18" spans="1:8" x14ac:dyDescent="0.25">
      <c r="A18" s="143" t="s">
        <v>36</v>
      </c>
      <c r="B18" s="30"/>
      <c r="C18" s="41">
        <f ca="1">SUM([0]!Lev_Fill)</f>
        <v>68.524934381104643</v>
      </c>
      <c r="D18" s="42">
        <f ca="1">IF(E18=0,"-",E18/C18)</f>
        <v>1</v>
      </c>
      <c r="E18" s="41">
        <f ca="1">SUM([0]!Lev_P_Fill)</f>
        <v>68.524934381104643</v>
      </c>
      <c r="F18" s="43"/>
      <c r="G18" s="43"/>
      <c r="H18" s="33"/>
    </row>
    <row r="19" spans="1:8" x14ac:dyDescent="0.25">
      <c r="A19" s="40"/>
      <c r="B19" s="30"/>
      <c r="C19" s="45"/>
      <c r="D19" s="42"/>
      <c r="E19" s="43"/>
      <c r="F19" s="39"/>
      <c r="G19" s="43"/>
      <c r="H19" s="33"/>
    </row>
    <row r="20" spans="1:8" x14ac:dyDescent="0.25">
      <c r="A20" s="40"/>
      <c r="B20" s="30"/>
      <c r="C20" s="41"/>
      <c r="D20" s="39"/>
      <c r="E20" s="43"/>
      <c r="F20" s="39"/>
      <c r="G20" s="43"/>
      <c r="H20" s="33"/>
    </row>
    <row r="21" spans="1:8" x14ac:dyDescent="0.25">
      <c r="A21" s="35" t="s">
        <v>27</v>
      </c>
      <c r="B21" s="30"/>
      <c r="C21" s="46" t="s">
        <v>0</v>
      </c>
      <c r="D21" s="39"/>
      <c r="E21" s="43"/>
      <c r="F21" s="39"/>
      <c r="G21" s="43"/>
      <c r="H21" s="30"/>
    </row>
    <row r="22" spans="1:8" x14ac:dyDescent="0.25">
      <c r="A22" s="143" t="s">
        <v>12</v>
      </c>
      <c r="B22" s="30"/>
      <c r="C22" s="41">
        <f ca="1">SUM([0]!Other_SoftSpot)</f>
        <v>0</v>
      </c>
      <c r="D22" s="45"/>
      <c r="E22" s="43"/>
      <c r="F22" s="39"/>
      <c r="G22" s="43"/>
      <c r="H22" s="33"/>
    </row>
    <row r="23" spans="1:8" x14ac:dyDescent="0.25">
      <c r="A23" s="143" t="s">
        <v>13</v>
      </c>
      <c r="B23" s="30"/>
      <c r="C23" s="41">
        <f ca="1">SUM([0]!Other_TopSoil)</f>
        <v>0</v>
      </c>
      <c r="D23" s="45"/>
      <c r="E23" s="43"/>
      <c r="F23" s="39"/>
      <c r="G23" s="43"/>
      <c r="H23" s="33"/>
    </row>
    <row r="24" spans="1:8" x14ac:dyDescent="0.25">
      <c r="A24" s="143" t="s">
        <v>16</v>
      </c>
      <c r="B24" s="30"/>
      <c r="C24" s="41">
        <f ca="1">SUM([0]!Other_Vegetation)</f>
        <v>0</v>
      </c>
      <c r="D24" s="45"/>
      <c r="E24" s="43"/>
      <c r="F24" s="39"/>
      <c r="G24" s="43"/>
      <c r="H24" s="33"/>
    </row>
    <row r="25" spans="1:8" x14ac:dyDescent="0.25">
      <c r="A25" s="143" t="s">
        <v>17</v>
      </c>
      <c r="B25" s="30"/>
      <c r="C25" s="41">
        <f ca="1">SUM([0]!Other_Sodding)</f>
        <v>0</v>
      </c>
      <c r="D25" s="45"/>
      <c r="E25" s="43"/>
      <c r="F25" s="39"/>
      <c r="G25" s="43"/>
      <c r="H25" s="33"/>
    </row>
    <row r="26" spans="1:8" x14ac:dyDescent="0.25">
      <c r="A26" s="143" t="s">
        <v>19</v>
      </c>
      <c r="B26" s="30"/>
      <c r="C26" s="41">
        <f ca="1">SUM([0]!Other_Landsc_Cut)</f>
        <v>0</v>
      </c>
      <c r="D26" s="45"/>
      <c r="E26" s="43"/>
      <c r="F26" s="39"/>
      <c r="G26" s="43"/>
      <c r="H26" s="33"/>
    </row>
    <row r="27" spans="1:8" x14ac:dyDescent="0.25">
      <c r="A27" s="143" t="s">
        <v>28</v>
      </c>
      <c r="B27" s="30"/>
      <c r="C27" s="41">
        <f ca="1">SUM([0]!Other_Landsc_Fill)</f>
        <v>0</v>
      </c>
      <c r="D27" s="45"/>
      <c r="E27" s="43"/>
      <c r="F27" s="39"/>
      <c r="G27" s="43"/>
      <c r="H27" s="33"/>
    </row>
    <row r="28" spans="1:8" x14ac:dyDescent="0.25">
      <c r="A28" s="143" t="s">
        <v>29</v>
      </c>
      <c r="B28" s="30"/>
      <c r="C28" s="41">
        <f ca="1">SUM([0]!Other_SideEdge_Fill)</f>
        <v>3788.9287733474525</v>
      </c>
      <c r="D28" s="45"/>
      <c r="E28" s="43"/>
      <c r="F28" s="39"/>
      <c r="G28" s="43"/>
      <c r="H28" s="33"/>
    </row>
    <row r="29" spans="1:8" x14ac:dyDescent="0.25">
      <c r="A29" s="143" t="s">
        <v>30</v>
      </c>
      <c r="B29" s="30"/>
      <c r="C29" s="41">
        <f ca="1">SUM([0]!Other_Rounding_Cut)</f>
        <v>0</v>
      </c>
      <c r="D29" s="45"/>
      <c r="E29" s="43"/>
      <c r="F29" s="39"/>
      <c r="G29" s="43"/>
      <c r="H29" s="33"/>
    </row>
    <row r="30" spans="1:8" x14ac:dyDescent="0.25">
      <c r="A30" s="143" t="s">
        <v>31</v>
      </c>
      <c r="B30" s="30"/>
      <c r="C30" s="41">
        <f ca="1">SUM([0]!Other_Rounding_Fill)</f>
        <v>0</v>
      </c>
      <c r="D30" s="45"/>
      <c r="E30" s="43"/>
      <c r="F30" s="39"/>
      <c r="G30" s="43"/>
      <c r="H30" s="33"/>
    </row>
    <row r="31" spans="1:8" x14ac:dyDescent="0.25">
      <c r="A31" s="40"/>
      <c r="B31" s="30"/>
      <c r="C31" s="41"/>
      <c r="D31" s="45"/>
      <c r="E31" s="43"/>
      <c r="F31" s="39"/>
      <c r="G31" s="43"/>
      <c r="H31" s="33"/>
    </row>
    <row r="32" spans="1:8" x14ac:dyDescent="0.25">
      <c r="A32" s="40"/>
      <c r="B32" s="30"/>
      <c r="C32" s="41"/>
      <c r="D32" s="39"/>
      <c r="E32" s="43"/>
      <c r="F32" s="39"/>
      <c r="G32" s="43"/>
      <c r="H32" s="33"/>
    </row>
    <row r="33" spans="1:8" x14ac:dyDescent="0.25">
      <c r="A33" s="144" t="s">
        <v>37</v>
      </c>
      <c r="B33" s="30"/>
      <c r="C33" s="46" t="s">
        <v>0</v>
      </c>
      <c r="D33" s="39"/>
      <c r="E33" s="43"/>
      <c r="F33" s="39"/>
      <c r="G33" s="43"/>
      <c r="H33" s="30"/>
    </row>
    <row r="34" spans="1:8" x14ac:dyDescent="0.25">
      <c r="A34" s="143" t="s">
        <v>38</v>
      </c>
      <c r="B34" s="30"/>
      <c r="C34" s="41">
        <f ca="1">SUM([0]!IncLev_CD_SoilCut)</f>
        <v>0</v>
      </c>
      <c r="D34" s="45"/>
      <c r="E34" s="43"/>
      <c r="F34" s="39"/>
      <c r="G34" s="43"/>
      <c r="H34" s="33"/>
    </row>
    <row r="35" spans="1:8" x14ac:dyDescent="0.25">
      <c r="A35" s="143" t="s">
        <v>39</v>
      </c>
      <c r="B35" s="30"/>
      <c r="C35" s="41">
        <f ca="1">SUM([0]!IncLev_CD_RockCut)</f>
        <v>0</v>
      </c>
      <c r="D35" s="45"/>
      <c r="E35" s="43"/>
      <c r="F35" s="39"/>
      <c r="G35" s="43"/>
      <c r="H35" s="33"/>
    </row>
    <row r="36" spans="1:8" x14ac:dyDescent="0.25">
      <c r="A36" s="143" t="s">
        <v>40</v>
      </c>
      <c r="B36" s="30"/>
      <c r="C36" s="41">
        <f ca="1">SUM([0]!IncLev_CD_Fill)</f>
        <v>0</v>
      </c>
      <c r="D36" s="45"/>
      <c r="E36" s="43"/>
      <c r="F36" s="39"/>
      <c r="G36" s="43"/>
      <c r="H36" s="33"/>
    </row>
    <row r="37" spans="1:8" x14ac:dyDescent="0.25">
      <c r="A37" s="40"/>
      <c r="B37" s="30"/>
      <c r="C37" s="41"/>
      <c r="D37" s="39"/>
      <c r="E37" s="43"/>
      <c r="F37" s="39"/>
      <c r="G37" s="41"/>
      <c r="H37" s="33"/>
    </row>
    <row r="38" spans="1:8" x14ac:dyDescent="0.25">
      <c r="A38" s="40"/>
      <c r="B38" s="30"/>
      <c r="C38" s="41"/>
      <c r="D38" s="39"/>
      <c r="E38" s="43"/>
      <c r="F38" s="39"/>
      <c r="G38" s="41"/>
      <c r="H38" s="33"/>
    </row>
    <row r="39" spans="1:8" x14ac:dyDescent="0.25">
      <c r="A39" s="144" t="s">
        <v>41</v>
      </c>
      <c r="B39" s="30"/>
      <c r="C39" s="46" t="s">
        <v>0</v>
      </c>
      <c r="D39" s="39"/>
      <c r="E39" s="43"/>
      <c r="F39" s="39"/>
      <c r="G39" s="46" t="s">
        <v>1</v>
      </c>
      <c r="H39" s="30"/>
    </row>
    <row r="40" spans="1:8" x14ac:dyDescent="0.25">
      <c r="A40" s="143" t="s">
        <v>42</v>
      </c>
      <c r="B40" s="30"/>
      <c r="C40" s="41">
        <f ca="1">SUM([0]!ST_Surface_Vol)</f>
        <v>174.87341890205738</v>
      </c>
      <c r="D40" s="43"/>
      <c r="E40" s="39"/>
      <c r="F40" s="43"/>
      <c r="G40" s="41">
        <f ca="1">SUM([0]!ST_Surface_Area)</f>
        <v>4918.652753194774</v>
      </c>
    </row>
    <row r="41" spans="1:8" x14ac:dyDescent="0.25">
      <c r="A41" s="143" t="s">
        <v>43</v>
      </c>
      <c r="B41" s="30"/>
      <c r="C41" s="41">
        <f ca="1">SUM([0]!ST_Binder1_Vol)</f>
        <v>106.2299437022011</v>
      </c>
      <c r="D41" s="43"/>
      <c r="E41" s="39"/>
      <c r="F41" s="43"/>
      <c r="G41" s="41">
        <f ca="1">SUM([0]!ST_Binder1_Area)</f>
        <v>3565.8727449886546</v>
      </c>
    </row>
    <row r="42" spans="1:8" x14ac:dyDescent="0.25">
      <c r="A42" s="143" t="s">
        <v>44</v>
      </c>
      <c r="B42" s="30"/>
      <c r="C42" s="41">
        <f ca="1">SUM([0]!ST_Binder2_Vol)</f>
        <v>0</v>
      </c>
      <c r="D42" s="43"/>
      <c r="E42" s="39"/>
      <c r="F42" s="43"/>
      <c r="G42" s="41">
        <f ca="1">SUM([0]!ST_Binder2_Area)</f>
        <v>0</v>
      </c>
    </row>
    <row r="43" spans="1:8" x14ac:dyDescent="0.25">
      <c r="A43" s="143" t="s">
        <v>45</v>
      </c>
      <c r="B43" s="30"/>
      <c r="C43" s="41">
        <f ca="1">SUM([0]!ST_Base1_Vol)</f>
        <v>837.96361136114842</v>
      </c>
      <c r="D43" s="43"/>
      <c r="E43" s="39"/>
      <c r="F43" s="43"/>
      <c r="G43" s="41">
        <f ca="1">SUM([0]!ST_Base1_Area)</f>
        <v>4962.9575111241629</v>
      </c>
    </row>
    <row r="44" spans="1:8" x14ac:dyDescent="0.25">
      <c r="A44" s="143" t="s">
        <v>46</v>
      </c>
      <c r="B44" s="30"/>
      <c r="C44" s="41">
        <f ca="1">SUM([0]!ST_Base2_Vol)</f>
        <v>0</v>
      </c>
      <c r="D44" s="43"/>
      <c r="E44" s="39"/>
      <c r="F44" s="43"/>
      <c r="G44" s="41">
        <f ca="1">SUM([0]!ST_Base2_Area)</f>
        <v>0</v>
      </c>
    </row>
    <row r="45" spans="1:8" x14ac:dyDescent="0.25">
      <c r="A45" s="143" t="s">
        <v>47</v>
      </c>
      <c r="B45" s="30"/>
      <c r="C45" s="41">
        <f ca="1">SUM([0]!ST_Base3_Vol)</f>
        <v>0</v>
      </c>
      <c r="D45" s="43"/>
      <c r="E45" s="39"/>
      <c r="F45" s="43"/>
      <c r="G45" s="41">
        <f ca="1">SUM([0]!ST_Base3_Area)</f>
        <v>0</v>
      </c>
    </row>
    <row r="46" spans="1:8" x14ac:dyDescent="0.25">
      <c r="A46" s="143" t="s">
        <v>48</v>
      </c>
      <c r="B46" s="30"/>
      <c r="C46" s="41">
        <f ca="1">SUM([0]!ST_Subbase1_Vol)</f>
        <v>1454.6561038757018</v>
      </c>
      <c r="D46" s="43"/>
      <c r="E46" s="39"/>
      <c r="F46" s="43"/>
      <c r="G46" s="41">
        <f ca="1">SUM([0]!ST_Subbase1_Area)</f>
        <v>5021.7211354100546</v>
      </c>
    </row>
    <row r="47" spans="1:8" x14ac:dyDescent="0.25">
      <c r="A47" s="143" t="s">
        <v>49</v>
      </c>
      <c r="B47" s="30"/>
      <c r="C47" s="41">
        <f ca="1">SUM([0]!ST_Subbase2_Vol)</f>
        <v>0</v>
      </c>
      <c r="D47" s="43"/>
      <c r="E47" s="39"/>
      <c r="F47" s="43"/>
      <c r="G47" s="41">
        <f ca="1">SUM([0]!ST_Subbase2_Area)</f>
        <v>0</v>
      </c>
    </row>
    <row r="48" spans="1:8" x14ac:dyDescent="0.25">
      <c r="A48" s="143" t="s">
        <v>50</v>
      </c>
      <c r="B48" s="30"/>
      <c r="C48" s="41">
        <f ca="1">SUM([0]!ST_Subbase3_Vol)</f>
        <v>0</v>
      </c>
      <c r="D48" s="43"/>
      <c r="E48" s="39"/>
      <c r="F48" s="43"/>
      <c r="G48" s="41">
        <f ca="1">SUM([0]!ST_Subbase3_Area)</f>
        <v>0</v>
      </c>
    </row>
    <row r="49" spans="1:8" x14ac:dyDescent="0.25">
      <c r="A49" s="143" t="s">
        <v>51</v>
      </c>
      <c r="B49" s="30"/>
      <c r="C49" s="41">
        <f ca="1">SUM([0]!ST_Filter_Vol)</f>
        <v>0</v>
      </c>
      <c r="D49" s="43"/>
      <c r="E49" s="39"/>
      <c r="F49" s="43"/>
      <c r="G49" s="41">
        <f ca="1">SUM([0]!ST_Filter_Area)</f>
        <v>0</v>
      </c>
    </row>
    <row r="50" spans="1:8" x14ac:dyDescent="0.25">
      <c r="A50" s="40"/>
      <c r="B50" s="30"/>
      <c r="C50" s="41"/>
      <c r="D50" s="39"/>
      <c r="E50" s="43"/>
      <c r="F50" s="39"/>
      <c r="G50" s="41"/>
      <c r="H50" s="33"/>
    </row>
    <row r="51" spans="1:8" x14ac:dyDescent="0.25">
      <c r="A51" s="40"/>
      <c r="B51" s="30"/>
      <c r="C51" s="41"/>
      <c r="D51" s="39"/>
      <c r="E51" s="43"/>
      <c r="F51" s="39"/>
      <c r="G51" s="41"/>
      <c r="H51" s="33"/>
    </row>
    <row r="52" spans="1:8" x14ac:dyDescent="0.25">
      <c r="A52" s="144" t="s">
        <v>52</v>
      </c>
      <c r="B52" s="30"/>
      <c r="C52" s="41"/>
      <c r="D52" s="45"/>
      <c r="E52" s="43"/>
      <c r="F52" s="43"/>
      <c r="G52" s="46" t="s">
        <v>1</v>
      </c>
      <c r="H52" s="30"/>
    </row>
    <row r="53" spans="1:8" x14ac:dyDescent="0.25">
      <c r="A53" s="143" t="s">
        <v>95</v>
      </c>
      <c r="B53" s="30"/>
      <c r="C53" s="41"/>
      <c r="D53" s="45"/>
      <c r="E53" s="43"/>
      <c r="F53" s="43"/>
      <c r="G53" s="41">
        <f ca="1">SUM([0]!Areas_SG0)</f>
        <v>3015.3888361106569</v>
      </c>
      <c r="H53" s="30"/>
    </row>
    <row r="54" spans="1:8" x14ac:dyDescent="0.25">
      <c r="A54" s="143" t="s">
        <v>96</v>
      </c>
      <c r="B54" s="30"/>
      <c r="C54" s="41"/>
      <c r="D54" s="45"/>
      <c r="E54" s="43"/>
      <c r="F54" s="43"/>
      <c r="G54" s="41">
        <f ca="1">SUM([0]!Areas_SG1)</f>
        <v>648.88836458667697</v>
      </c>
      <c r="H54" s="7"/>
    </row>
    <row r="55" spans="1:8" x14ac:dyDescent="0.25">
      <c r="A55" s="143" t="s">
        <v>98</v>
      </c>
      <c r="B55" s="31"/>
      <c r="C55" s="41"/>
      <c r="D55" s="45"/>
      <c r="E55" s="43"/>
      <c r="F55" s="43"/>
      <c r="G55" s="41">
        <f ca="1">SUM([0]!Areas_SG2)</f>
        <v>198.51985109000006</v>
      </c>
      <c r="H55" s="7"/>
    </row>
    <row r="56" spans="1:8" x14ac:dyDescent="0.25">
      <c r="A56" s="143" t="s">
        <v>99</v>
      </c>
      <c r="B56" s="31"/>
      <c r="C56" s="41"/>
      <c r="D56" s="45"/>
      <c r="E56" s="43"/>
      <c r="F56" s="43"/>
      <c r="G56" s="41">
        <f ca="1">SUM([0]!Areas_SG3)</f>
        <v>540.96384414689044</v>
      </c>
      <c r="H56" s="7"/>
    </row>
    <row r="57" spans="1:8" x14ac:dyDescent="0.25">
      <c r="A57" s="143" t="s">
        <v>100</v>
      </c>
      <c r="C57" s="41"/>
      <c r="D57" s="45"/>
      <c r="E57" s="43"/>
      <c r="F57" s="43"/>
      <c r="G57" s="41">
        <f ca="1">SUM([0]!Areas_SG4)</f>
        <v>0</v>
      </c>
      <c r="H57" s="7"/>
    </row>
    <row r="58" spans="1:8" x14ac:dyDescent="0.25">
      <c r="A58" s="143" t="s">
        <v>101</v>
      </c>
      <c r="C58" s="41"/>
      <c r="D58" s="45"/>
      <c r="E58" s="43"/>
      <c r="F58" s="43"/>
      <c r="G58" s="41">
        <f ca="1">SUM([0]!Areas_SG5)</f>
        <v>0</v>
      </c>
      <c r="H58" s="7"/>
    </row>
    <row r="59" spans="1:8" x14ac:dyDescent="0.25">
      <c r="A59" s="143" t="s">
        <v>102</v>
      </c>
      <c r="C59" s="41"/>
      <c r="D59" s="45"/>
      <c r="E59" s="43"/>
      <c r="F59" s="43"/>
      <c r="G59" s="41">
        <f ca="1">SUM([0]!Areas_SG6)</f>
        <v>1804.804633330192</v>
      </c>
      <c r="H59" s="7"/>
    </row>
    <row r="60" spans="1:8" x14ac:dyDescent="0.25">
      <c r="A60" s="143" t="s">
        <v>53</v>
      </c>
      <c r="C60" s="41"/>
      <c r="D60" s="45"/>
      <c r="E60" s="43"/>
      <c r="F60" s="43"/>
      <c r="G60" s="41">
        <f ca="1">SUM([0]!Areas_RB_SoilCut)</f>
        <v>4.3881071918265802</v>
      </c>
      <c r="H60" s="7"/>
    </row>
    <row r="61" spans="1:8" x14ac:dyDescent="0.25">
      <c r="A61" s="143" t="s">
        <v>54</v>
      </c>
      <c r="C61" s="41"/>
      <c r="D61" s="45"/>
      <c r="E61" s="43"/>
      <c r="F61" s="43"/>
      <c r="G61" s="41">
        <f ca="1">SUM([0]!Areas_RB_RockCut)</f>
        <v>4811.7993138765814</v>
      </c>
      <c r="H61" s="7"/>
    </row>
    <row r="62" spans="1:8" x14ac:dyDescent="0.25">
      <c r="A62" s="143" t="s">
        <v>55</v>
      </c>
      <c r="C62" s="41"/>
      <c r="D62" s="45"/>
      <c r="E62" s="43"/>
      <c r="F62" s="43"/>
      <c r="G62" s="41">
        <f ca="1">SUM([0]!Areas_RB_Fill)</f>
        <v>272.7112566253499</v>
      </c>
      <c r="H62" s="7"/>
    </row>
    <row r="63" spans="1:8" x14ac:dyDescent="0.25">
      <c r="A63" s="143" t="s">
        <v>56</v>
      </c>
      <c r="C63" s="41"/>
      <c r="D63" s="45"/>
      <c r="E63" s="43"/>
      <c r="F63" s="43"/>
      <c r="G63" s="41">
        <f ca="1">SUM([0]!Areas_Rock_trimming)</f>
        <v>619.62727051612978</v>
      </c>
      <c r="H63" s="7"/>
    </row>
    <row r="64" spans="1:8" x14ac:dyDescent="0.25">
      <c r="C64" s="41"/>
      <c r="D64" s="45"/>
      <c r="E64" s="43"/>
      <c r="F64" s="43"/>
      <c r="G64" s="41"/>
      <c r="H64" s="30"/>
    </row>
    <row r="65" spans="1:8" x14ac:dyDescent="0.25">
      <c r="C65" s="41"/>
      <c r="D65" s="45"/>
      <c r="E65" s="43"/>
      <c r="F65" s="43"/>
      <c r="G65" s="41"/>
      <c r="H65" s="30"/>
    </row>
    <row r="66" spans="1:8" x14ac:dyDescent="0.25">
      <c r="A66" s="144" t="s">
        <v>57</v>
      </c>
      <c r="C66" s="41"/>
      <c r="D66" s="45"/>
      <c r="E66" s="43"/>
      <c r="F66" s="43"/>
      <c r="G66" s="46" t="s">
        <v>2</v>
      </c>
      <c r="H66" s="30"/>
    </row>
    <row r="67" spans="1:8" x14ac:dyDescent="0.25">
      <c r="A67" s="143" t="s">
        <v>58</v>
      </c>
      <c r="B67" s="31"/>
      <c r="C67" s="41"/>
      <c r="D67" s="45"/>
      <c r="E67" s="43"/>
      <c r="F67" s="43"/>
      <c r="G67" s="41">
        <f ca="1">SUM([0]!Lengths_SD_Soil)</f>
        <v>0</v>
      </c>
    </row>
    <row r="68" spans="1:8" x14ac:dyDescent="0.25">
      <c r="A68" s="143" t="s">
        <v>59</v>
      </c>
      <c r="B68" s="31"/>
      <c r="C68" s="41"/>
      <c r="D68" s="45"/>
      <c r="E68" s="43"/>
      <c r="F68" s="43"/>
      <c r="G68" s="41">
        <f ca="1">SUM([0]!Lengths_SD_Rock)</f>
        <v>0</v>
      </c>
    </row>
    <row r="69" spans="1:8" x14ac:dyDescent="0.25">
      <c r="A69" s="40"/>
      <c r="B69" s="31"/>
      <c r="C69" s="41"/>
      <c r="D69" s="45"/>
      <c r="E69" s="43"/>
      <c r="F69" s="43"/>
      <c r="G69" s="41"/>
    </row>
    <row r="70" spans="1:8" x14ac:dyDescent="0.25">
      <c r="A70" s="40"/>
      <c r="B70" s="31"/>
      <c r="C70" s="41"/>
      <c r="D70" s="45"/>
      <c r="E70" s="43"/>
      <c r="F70" s="43"/>
      <c r="G70" s="41"/>
    </row>
    <row r="71" spans="1:8" x14ac:dyDescent="0.25">
      <c r="A71" s="35" t="s">
        <v>56</v>
      </c>
      <c r="C71" s="41"/>
      <c r="D71" s="45"/>
      <c r="E71" s="43"/>
      <c r="F71" s="43"/>
      <c r="G71" s="46" t="s">
        <v>1</v>
      </c>
      <c r="H71" s="30"/>
    </row>
    <row r="72" spans="1:8" x14ac:dyDescent="0.25">
      <c r="A72" s="40" t="s">
        <v>65</v>
      </c>
      <c r="B72" s="31"/>
      <c r="C72" s="41"/>
      <c r="D72" s="45"/>
      <c r="E72" s="43"/>
      <c r="F72" s="43"/>
      <c r="G72" s="41">
        <f ca="1">SUM(Flåsprengning!Lengths_SD_Soil)</f>
        <v>619.62727051706383</v>
      </c>
    </row>
    <row r="73" spans="1:8" x14ac:dyDescent="0.25">
      <c r="A73" s="40" t="s">
        <v>68</v>
      </c>
      <c r="B73" s="31"/>
      <c r="C73" s="41"/>
      <c r="D73" s="45"/>
      <c r="E73" s="43"/>
      <c r="F73" s="43"/>
      <c r="G73" s="41">
        <f ca="1">SUM(Flåsprengning!Lengths_SD_Rock)</f>
        <v>12163.950724658525</v>
      </c>
    </row>
    <row r="74" spans="1:8" x14ac:dyDescent="0.25">
      <c r="A74" s="40" t="s">
        <v>69</v>
      </c>
      <c r="B74" s="31"/>
      <c r="C74" s="41"/>
      <c r="D74" s="45"/>
      <c r="E74" s="43"/>
      <c r="F74" s="43"/>
      <c r="G74" s="41">
        <f ca="1">SUM(Flåsprengning!Lengths_CD_Fill)</f>
        <v>1827.9667480370642</v>
      </c>
    </row>
    <row r="75" spans="1:8" x14ac:dyDescent="0.25">
      <c r="G75" s="47"/>
    </row>
    <row r="76" spans="1:8" x14ac:dyDescent="0.25">
      <c r="G76" s="47"/>
    </row>
    <row r="77" spans="1:8" x14ac:dyDescent="0.25">
      <c r="G77" s="47"/>
    </row>
    <row r="78" spans="1:8" x14ac:dyDescent="0.25">
      <c r="G78" s="47"/>
    </row>
    <row r="79" spans="1:8" x14ac:dyDescent="0.25">
      <c r="G79" s="47"/>
    </row>
    <row r="80" spans="1:8" x14ac:dyDescent="0.25">
      <c r="G80" s="47"/>
    </row>
    <row r="81" spans="7:7" x14ac:dyDescent="0.25">
      <c r="G81" s="47"/>
    </row>
    <row r="82" spans="7:7" x14ac:dyDescent="0.25">
      <c r="G82" s="47"/>
    </row>
    <row r="83" spans="7:7" x14ac:dyDescent="0.25">
      <c r="G83" s="47"/>
    </row>
    <row r="84" spans="7:7" x14ac:dyDescent="0.25">
      <c r="G84" s="47"/>
    </row>
    <row r="85" spans="7:7" x14ac:dyDescent="0.25">
      <c r="G85" s="47"/>
    </row>
    <row r="86" spans="7:7" x14ac:dyDescent="0.25">
      <c r="G86" s="47"/>
    </row>
    <row r="87" spans="7:7" x14ac:dyDescent="0.25">
      <c r="G87" s="47"/>
    </row>
    <row r="88" spans="7:7" x14ac:dyDescent="0.25">
      <c r="G88" s="47"/>
    </row>
    <row r="89" spans="7:7" x14ac:dyDescent="0.25">
      <c r="G89" s="47"/>
    </row>
    <row r="90" spans="7:7" x14ac:dyDescent="0.25">
      <c r="G90" s="47"/>
    </row>
    <row r="91" spans="7:7" x14ac:dyDescent="0.25">
      <c r="G91" s="47"/>
    </row>
    <row r="92" spans="7:7" x14ac:dyDescent="0.25">
      <c r="G92" s="47"/>
    </row>
    <row r="93" spans="7:7" x14ac:dyDescent="0.25">
      <c r="G93" s="47"/>
    </row>
    <row r="94" spans="7:7" x14ac:dyDescent="0.25">
      <c r="G94" s="47"/>
    </row>
    <row r="95" spans="7:7" x14ac:dyDescent="0.25">
      <c r="G95" s="47"/>
    </row>
  </sheetData>
  <pageMargins left="0.75" right="0.75" top="1" bottom="1" header="0" footer="0"/>
  <pageSetup scale="66" fitToHeight="0" orientation="portrait" r:id="rId1"/>
  <headerFooter alignWithMargins="0"/>
  <colBreaks count="1" manualBreakCount="1">
    <brk id="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02"/>
  <sheetViews>
    <sheetView zoomScaleNormal="100" workbookViewId="0">
      <selection activeCell="A2" sqref="A2"/>
    </sheetView>
  </sheetViews>
  <sheetFormatPr baseColWidth="10" defaultColWidth="11.5546875" defaultRowHeight="12" x14ac:dyDescent="0.25"/>
  <cols>
    <col min="1" max="1" width="15.77734375" style="74" customWidth="1"/>
    <col min="2" max="2" width="12.77734375" style="76" customWidth="1"/>
    <col min="3" max="3" width="12.88671875" style="74" customWidth="1"/>
    <col min="4" max="4" width="12.44140625" style="74" customWidth="1"/>
    <col min="5" max="5" width="11.5546875" style="51" customWidth="1"/>
    <col min="6" max="6" width="12.77734375" style="74" customWidth="1"/>
    <col min="7" max="7" width="13.109375" style="76" customWidth="1"/>
    <col min="8" max="8" width="11.5546875" style="76" customWidth="1"/>
    <col min="9" max="9" width="11.5546875" style="74" customWidth="1"/>
    <col min="10" max="10" width="11.5546875" style="51" customWidth="1"/>
    <col min="11" max="11" width="13" style="74" customWidth="1"/>
    <col min="12" max="12" width="15.77734375" style="74" customWidth="1"/>
    <col min="13" max="13" width="15.88671875" style="51" bestFit="1" customWidth="1"/>
    <col min="14" max="14" width="1.88671875" style="31" bestFit="1" customWidth="1"/>
    <col min="15" max="15" width="15.21875" style="51" customWidth="1"/>
    <col min="16" max="16" width="14.5546875" style="51" customWidth="1"/>
    <col min="17" max="17" width="13.77734375" style="51" customWidth="1"/>
    <col min="18" max="18" width="11.5546875" style="51" customWidth="1"/>
    <col min="19" max="19" width="16" style="51" customWidth="1"/>
    <col min="20" max="20" width="11.5546875" style="51" customWidth="1"/>
    <col min="21" max="16384" width="11.5546875" style="51"/>
  </cols>
  <sheetData>
    <row r="1" spans="1:19" ht="45" customHeight="1" x14ac:dyDescent="0.5">
      <c r="A1" s="48"/>
      <c r="B1" s="48"/>
      <c r="C1" s="49"/>
      <c r="D1" s="48"/>
      <c r="E1" s="48"/>
      <c r="F1" s="48"/>
      <c r="G1" s="48"/>
      <c r="H1" s="48"/>
      <c r="I1" s="48"/>
      <c r="J1" s="48"/>
      <c r="K1" s="50"/>
      <c r="L1" s="50"/>
      <c r="N1" s="7"/>
    </row>
    <row r="2" spans="1:19" ht="16.95" customHeight="1" x14ac:dyDescent="0.35">
      <c r="A2" s="8" t="s">
        <v>6</v>
      </c>
      <c r="B2" s="52"/>
      <c r="C2" s="53"/>
      <c r="D2" s="53"/>
      <c r="E2" s="53"/>
      <c r="F2" s="53"/>
      <c r="G2" s="53"/>
      <c r="H2" s="53"/>
      <c r="I2" s="53"/>
      <c r="J2" s="53"/>
      <c r="K2" s="54"/>
      <c r="L2" s="54"/>
      <c r="N2" s="7"/>
    </row>
    <row r="3" spans="1:19" ht="16.2" customHeight="1" x14ac:dyDescent="0.3">
      <c r="A3" s="153" t="s">
        <v>32</v>
      </c>
      <c r="B3" s="55"/>
      <c r="C3" s="56"/>
      <c r="D3" s="56"/>
      <c r="E3" s="56"/>
      <c r="F3" s="56"/>
      <c r="G3" s="56"/>
      <c r="H3" s="56"/>
      <c r="I3" s="56"/>
      <c r="J3" s="56"/>
      <c r="K3" s="57"/>
      <c r="L3" s="57"/>
      <c r="N3" s="7"/>
    </row>
    <row r="4" spans="1:19" ht="16.2" customHeight="1" x14ac:dyDescent="0.3">
      <c r="A4" s="55" t="s">
        <v>8</v>
      </c>
      <c r="B4" s="55" t="str">
        <f>Sammendrag!B4</f>
        <v>Granlien_andre</v>
      </c>
      <c r="C4" s="56"/>
      <c r="D4" s="56"/>
      <c r="E4" s="56"/>
      <c r="F4" s="56"/>
      <c r="G4" s="56"/>
      <c r="H4" s="56"/>
      <c r="I4" s="56"/>
      <c r="J4" s="56"/>
      <c r="K4" s="57"/>
      <c r="L4" s="57"/>
      <c r="M4" s="132" t="s">
        <v>97</v>
      </c>
      <c r="N4" s="7">
        <v>1</v>
      </c>
    </row>
    <row r="5" spans="1:19" ht="15" customHeight="1" x14ac:dyDescent="0.25">
      <c r="A5" s="56"/>
      <c r="B5" s="56" t="str">
        <f>IF(Sammendrag!B5="","",Sammendrag!B5)</f>
        <v/>
      </c>
      <c r="C5" s="56"/>
      <c r="D5" s="56"/>
      <c r="E5" s="56"/>
      <c r="F5" s="56" t="str">
        <f>Sammendrag!F5</f>
        <v>Start profil:</v>
      </c>
      <c r="G5" s="56"/>
      <c r="H5" s="15">
        <f>Sammendrag!H5</f>
        <v>3.5</v>
      </c>
      <c r="I5" s="56"/>
      <c r="J5" s="56"/>
      <c r="K5" s="56"/>
      <c r="L5" s="56"/>
      <c r="M5" s="132" t="s">
        <v>3</v>
      </c>
      <c r="N5" s="31">
        <v>1</v>
      </c>
    </row>
    <row r="6" spans="1:19" ht="15" customHeight="1" x14ac:dyDescent="0.25">
      <c r="A6" s="56"/>
      <c r="B6" s="56"/>
      <c r="C6" s="56"/>
      <c r="D6" s="56"/>
      <c r="E6" s="56"/>
      <c r="F6" s="56" t="str">
        <f>Sammendrag!F6</f>
        <v>Slutt profil:</v>
      </c>
      <c r="G6" s="56"/>
      <c r="H6" s="15">
        <f>Sammendrag!H6</f>
        <v>436.46100000000001</v>
      </c>
      <c r="I6" s="56"/>
      <c r="J6" s="56"/>
      <c r="K6" s="56"/>
      <c r="L6" s="56"/>
      <c r="M6" s="132" t="s">
        <v>4</v>
      </c>
      <c r="N6" s="31">
        <v>1</v>
      </c>
    </row>
    <row r="7" spans="1:19" ht="15" customHeight="1" x14ac:dyDescent="0.25">
      <c r="A7" s="56"/>
      <c r="B7" s="56"/>
      <c r="C7" s="56"/>
      <c r="D7" s="56"/>
      <c r="E7" s="56"/>
      <c r="F7" s="56" t="str">
        <f>Sammendrag!F7</f>
        <v>Dato sist endret:</v>
      </c>
      <c r="G7" s="56"/>
      <c r="H7" s="58" t="str">
        <f>Sammendrag!H7</f>
        <v>5/19/2020 9:27:49 AM</v>
      </c>
      <c r="I7" s="56"/>
      <c r="J7" s="56"/>
      <c r="K7" s="56"/>
      <c r="L7" s="56"/>
      <c r="M7" s="132" t="s">
        <v>5</v>
      </c>
      <c r="N7" s="31">
        <v>1</v>
      </c>
    </row>
    <row r="8" spans="1:19" ht="15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9" ht="15" customHeight="1" x14ac:dyDescent="0.25">
      <c r="A9" s="44"/>
      <c r="B9" s="44"/>
      <c r="C9" s="44"/>
      <c r="D9" s="19"/>
      <c r="E9" s="44"/>
      <c r="F9" s="44"/>
      <c r="G9" s="19"/>
      <c r="H9" s="19"/>
      <c r="I9" s="19"/>
      <c r="J9" s="19"/>
      <c r="K9" s="19"/>
      <c r="L9" s="19"/>
    </row>
    <row r="10" spans="1:19" ht="15" customHeight="1" x14ac:dyDescent="0.2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59"/>
      <c r="L10" s="59"/>
    </row>
    <row r="11" spans="1:19" x14ac:dyDescent="0.25">
      <c r="A11" s="60"/>
      <c r="B11" s="61"/>
      <c r="C11" s="61"/>
      <c r="D11" s="61"/>
      <c r="E11" s="62"/>
      <c r="F11" s="61"/>
      <c r="G11" s="61"/>
      <c r="H11" s="61"/>
      <c r="I11" s="63"/>
      <c r="J11" s="19"/>
      <c r="K11" s="64"/>
      <c r="L11" s="64"/>
      <c r="M11" s="65"/>
    </row>
    <row r="12" spans="1:19" ht="39.6" customHeight="1" thickBot="1" x14ac:dyDescent="0.3">
      <c r="A12" s="66" t="s">
        <v>25</v>
      </c>
      <c r="B12" s="148" t="s">
        <v>71</v>
      </c>
      <c r="C12" s="148" t="s">
        <v>72</v>
      </c>
      <c r="D12" s="148" t="s">
        <v>73</v>
      </c>
      <c r="E12" s="148" t="s">
        <v>74</v>
      </c>
      <c r="F12" s="148" t="s">
        <v>75</v>
      </c>
      <c r="G12" s="148" t="s">
        <v>76</v>
      </c>
      <c r="H12" s="148" t="s">
        <v>77</v>
      </c>
      <c r="I12" s="149" t="s">
        <v>78</v>
      </c>
      <c r="J12" s="19"/>
      <c r="K12" s="154" t="s">
        <v>79</v>
      </c>
      <c r="L12" s="154" t="s">
        <v>80</v>
      </c>
      <c r="M12" s="68"/>
      <c r="N12" s="131"/>
      <c r="O12" s="68"/>
      <c r="P12" s="68"/>
      <c r="Q12" s="68"/>
      <c r="R12" s="68"/>
      <c r="S12" s="68"/>
    </row>
    <row r="13" spans="1:19" ht="16.2" customHeight="1" thickTop="1" x14ac:dyDescent="0.25">
      <c r="A13" s="69" t="s">
        <v>26</v>
      </c>
      <c r="B13" s="59">
        <f ca="1">SUM([0]!Lev_SoilCut)</f>
        <v>0</v>
      </c>
      <c r="C13" s="70">
        <f ca="1">SUM([0]!Lev_RockCut)</f>
        <v>12169.32972541179</v>
      </c>
      <c r="D13" s="70">
        <f ca="1">SUM([0]!Lev_DeepBlasting)</f>
        <v>0</v>
      </c>
      <c r="E13" s="71">
        <f ca="1">SUM([0]!Lev_Fill)</f>
        <v>68.524934381104643</v>
      </c>
      <c r="F13" s="59">
        <f ca="1">SUM([0]!Lev_P_SoilCut)</f>
        <v>0</v>
      </c>
      <c r="G13" s="70">
        <f ca="1">SUM([0]!Lev_P_RockCut)</f>
        <v>12169.32972541179</v>
      </c>
      <c r="H13" s="70">
        <f ca="1">SUM([0]!Lev_P_DeepBlasting)</f>
        <v>0</v>
      </c>
      <c r="I13" s="71">
        <f ca="1">SUM([0]!Lev_P_Fill)</f>
        <v>68.524934381104643</v>
      </c>
      <c r="J13" s="72"/>
      <c r="K13" s="70">
        <f ca="1">SUM([0]!Mass_Profile)</f>
        <v>12100.804791030687</v>
      </c>
      <c r="L13" s="73"/>
      <c r="M13" s="68"/>
      <c r="N13" s="131"/>
      <c r="O13" s="68"/>
    </row>
    <row r="14" spans="1:19" x14ac:dyDescent="0.25">
      <c r="A14" s="74">
        <v>3.5</v>
      </c>
      <c r="B14" s="75">
        <v>0</v>
      </c>
      <c r="C14" s="74">
        <v>6.8575580502234601</v>
      </c>
      <c r="D14" s="74">
        <v>0</v>
      </c>
      <c r="E14" s="51">
        <v>0</v>
      </c>
      <c r="F14" s="74">
        <f t="shared" ref="F14:F45" si="0">B14*N$4</f>
        <v>0</v>
      </c>
      <c r="G14" s="76">
        <f t="shared" ref="G14:G45" si="1">C14*N$5</f>
        <v>6.8575580502234601</v>
      </c>
      <c r="H14" s="76">
        <f t="shared" ref="H14:H45" si="2">D14*N$6</f>
        <v>0</v>
      </c>
      <c r="I14" s="74">
        <f t="shared" ref="I14:I45" si="3">E14*N$7</f>
        <v>0</v>
      </c>
      <c r="K14" s="74">
        <f t="shared" ref="K14:K45" si="4">F14+G14+H14-I14</f>
        <v>6.8575580502234601</v>
      </c>
      <c r="L14" s="74">
        <f t="shared" ref="L14:L45" si="5">K14+L13</f>
        <v>6.8575580502234601</v>
      </c>
    </row>
    <row r="15" spans="1:19" x14ac:dyDescent="0.25">
      <c r="A15" s="74">
        <v>5</v>
      </c>
      <c r="B15" s="75">
        <v>0</v>
      </c>
      <c r="C15" s="74">
        <v>30.414999361987299</v>
      </c>
      <c r="D15" s="74">
        <v>0</v>
      </c>
      <c r="E15" s="51">
        <v>0</v>
      </c>
      <c r="F15" s="74">
        <f t="shared" si="0"/>
        <v>0</v>
      </c>
      <c r="G15" s="76">
        <f t="shared" si="1"/>
        <v>30.414999361987299</v>
      </c>
      <c r="H15" s="76">
        <f t="shared" si="2"/>
        <v>0</v>
      </c>
      <c r="I15" s="74">
        <f t="shared" si="3"/>
        <v>0</v>
      </c>
      <c r="K15" s="74">
        <f t="shared" si="4"/>
        <v>30.414999361987299</v>
      </c>
      <c r="L15" s="74">
        <f t="shared" si="5"/>
        <v>37.272557412210759</v>
      </c>
    </row>
    <row r="16" spans="1:19" x14ac:dyDescent="0.25">
      <c r="A16" s="74">
        <v>10</v>
      </c>
      <c r="B16" s="75">
        <v>0</v>
      </c>
      <c r="C16" s="74">
        <v>37.165427940191897</v>
      </c>
      <c r="D16" s="74">
        <v>0</v>
      </c>
      <c r="E16" s="51">
        <v>0</v>
      </c>
      <c r="F16" s="74">
        <f t="shared" si="0"/>
        <v>0</v>
      </c>
      <c r="G16" s="76">
        <f t="shared" si="1"/>
        <v>37.165427940191897</v>
      </c>
      <c r="H16" s="76">
        <f t="shared" si="2"/>
        <v>0</v>
      </c>
      <c r="I16" s="74">
        <f t="shared" si="3"/>
        <v>0</v>
      </c>
      <c r="K16" s="74">
        <f t="shared" si="4"/>
        <v>37.165427940191897</v>
      </c>
      <c r="L16" s="74">
        <f t="shared" si="5"/>
        <v>74.437985352402649</v>
      </c>
    </row>
    <row r="17" spans="1:12" x14ac:dyDescent="0.25">
      <c r="A17" s="74">
        <v>15</v>
      </c>
      <c r="B17" s="75">
        <v>0</v>
      </c>
      <c r="C17" s="74">
        <v>541.482602249764</v>
      </c>
      <c r="D17" s="74">
        <v>0</v>
      </c>
      <c r="E17" s="51">
        <v>0.14631859344093301</v>
      </c>
      <c r="F17" s="74">
        <f t="shared" si="0"/>
        <v>0</v>
      </c>
      <c r="G17" s="76">
        <f t="shared" si="1"/>
        <v>541.482602249764</v>
      </c>
      <c r="H17" s="76">
        <f t="shared" si="2"/>
        <v>0</v>
      </c>
      <c r="I17" s="74">
        <f t="shared" si="3"/>
        <v>0.14631859344093301</v>
      </c>
      <c r="K17" s="74">
        <f t="shared" si="4"/>
        <v>541.33628365632308</v>
      </c>
      <c r="L17" s="74">
        <f t="shared" si="5"/>
        <v>615.7742690087257</v>
      </c>
    </row>
    <row r="18" spans="1:12" x14ac:dyDescent="0.25">
      <c r="A18" s="74">
        <v>20</v>
      </c>
      <c r="B18" s="75">
        <v>0</v>
      </c>
      <c r="C18" s="74">
        <v>1989.8061183421901</v>
      </c>
      <c r="D18" s="74">
        <v>0</v>
      </c>
      <c r="E18" s="51">
        <v>7.7443117410711707E-2</v>
      </c>
      <c r="F18" s="74">
        <f t="shared" si="0"/>
        <v>0</v>
      </c>
      <c r="G18" s="76">
        <f t="shared" si="1"/>
        <v>1989.8061183421901</v>
      </c>
      <c r="H18" s="76">
        <f t="shared" si="2"/>
        <v>0</v>
      </c>
      <c r="I18" s="74">
        <f t="shared" si="3"/>
        <v>7.7443117410711707E-2</v>
      </c>
      <c r="K18" s="74">
        <f t="shared" si="4"/>
        <v>1989.7286752247794</v>
      </c>
      <c r="L18" s="74">
        <f t="shared" si="5"/>
        <v>2605.5029442335053</v>
      </c>
    </row>
    <row r="19" spans="1:12" x14ac:dyDescent="0.25">
      <c r="A19" s="74">
        <v>25</v>
      </c>
      <c r="B19" s="75">
        <v>0</v>
      </c>
      <c r="C19" s="74">
        <v>384.50583865916502</v>
      </c>
      <c r="D19" s="74">
        <v>0</v>
      </c>
      <c r="E19" s="51">
        <v>3.08000770996757E-2</v>
      </c>
      <c r="F19" s="74">
        <f t="shared" si="0"/>
        <v>0</v>
      </c>
      <c r="G19" s="76">
        <f t="shared" si="1"/>
        <v>384.50583865916502</v>
      </c>
      <c r="H19" s="76">
        <f t="shared" si="2"/>
        <v>0</v>
      </c>
      <c r="I19" s="74">
        <f t="shared" si="3"/>
        <v>3.08000770996757E-2</v>
      </c>
      <c r="K19" s="74">
        <f t="shared" si="4"/>
        <v>384.47503858206534</v>
      </c>
      <c r="L19" s="74">
        <f t="shared" si="5"/>
        <v>2989.9779828155706</v>
      </c>
    </row>
    <row r="20" spans="1:12" x14ac:dyDescent="0.25">
      <c r="A20" s="74">
        <v>30</v>
      </c>
      <c r="B20" s="75">
        <v>0</v>
      </c>
      <c r="C20" s="74">
        <v>157.56949951552599</v>
      </c>
      <c r="D20" s="74">
        <v>0</v>
      </c>
      <c r="E20" s="51">
        <v>0.117036476736575</v>
      </c>
      <c r="F20" s="74">
        <f t="shared" si="0"/>
        <v>0</v>
      </c>
      <c r="G20" s="76">
        <f t="shared" si="1"/>
        <v>157.56949951552599</v>
      </c>
      <c r="H20" s="76">
        <f t="shared" si="2"/>
        <v>0</v>
      </c>
      <c r="I20" s="74">
        <f t="shared" si="3"/>
        <v>0.117036476736575</v>
      </c>
      <c r="K20" s="74">
        <f t="shared" si="4"/>
        <v>157.4524630387894</v>
      </c>
      <c r="L20" s="74">
        <f t="shared" si="5"/>
        <v>3147.4304458543602</v>
      </c>
    </row>
    <row r="21" spans="1:12" x14ac:dyDescent="0.25">
      <c r="A21" s="74">
        <v>35</v>
      </c>
      <c r="B21" s="75">
        <v>0</v>
      </c>
      <c r="C21" s="74">
        <v>164.56033700945</v>
      </c>
      <c r="D21" s="74">
        <v>0</v>
      </c>
      <c r="E21" s="51">
        <v>6.57166641347081E-2</v>
      </c>
      <c r="F21" s="74">
        <f t="shared" si="0"/>
        <v>0</v>
      </c>
      <c r="G21" s="76">
        <f t="shared" si="1"/>
        <v>164.56033700945</v>
      </c>
      <c r="H21" s="76">
        <f t="shared" si="2"/>
        <v>0</v>
      </c>
      <c r="I21" s="74">
        <f t="shared" si="3"/>
        <v>6.57166641347081E-2</v>
      </c>
      <c r="K21" s="74">
        <f t="shared" si="4"/>
        <v>164.4946203453153</v>
      </c>
      <c r="L21" s="74">
        <f t="shared" si="5"/>
        <v>3311.9250661996757</v>
      </c>
    </row>
    <row r="22" spans="1:12" x14ac:dyDescent="0.25">
      <c r="A22" s="74">
        <v>40</v>
      </c>
      <c r="B22" s="75">
        <v>0</v>
      </c>
      <c r="C22" s="74">
        <v>985.08498120214199</v>
      </c>
      <c r="D22" s="74">
        <v>0</v>
      </c>
      <c r="E22" s="51">
        <v>1.0431917804980899</v>
      </c>
      <c r="F22" s="74">
        <f t="shared" si="0"/>
        <v>0</v>
      </c>
      <c r="G22" s="76">
        <f t="shared" si="1"/>
        <v>985.08498120214199</v>
      </c>
      <c r="H22" s="76">
        <f t="shared" si="2"/>
        <v>0</v>
      </c>
      <c r="I22" s="74">
        <f t="shared" si="3"/>
        <v>1.0431917804980899</v>
      </c>
      <c r="K22" s="74">
        <f t="shared" si="4"/>
        <v>984.0417894216439</v>
      </c>
      <c r="L22" s="74">
        <f t="shared" si="5"/>
        <v>4295.9668556213201</v>
      </c>
    </row>
    <row r="23" spans="1:12" x14ac:dyDescent="0.25">
      <c r="A23" s="74">
        <v>45</v>
      </c>
      <c r="B23" s="75">
        <v>0</v>
      </c>
      <c r="C23" s="74">
        <v>889.01310250750498</v>
      </c>
      <c r="D23" s="74">
        <v>0</v>
      </c>
      <c r="E23" s="51">
        <v>0.18246081760837299</v>
      </c>
      <c r="F23" s="74">
        <f t="shared" si="0"/>
        <v>0</v>
      </c>
      <c r="G23" s="76">
        <f t="shared" si="1"/>
        <v>889.01310250750498</v>
      </c>
      <c r="H23" s="76">
        <f t="shared" si="2"/>
        <v>0</v>
      </c>
      <c r="I23" s="74">
        <f t="shared" si="3"/>
        <v>0.18246081760837299</v>
      </c>
      <c r="K23" s="74">
        <f t="shared" si="4"/>
        <v>888.83064168989665</v>
      </c>
      <c r="L23" s="74">
        <f t="shared" si="5"/>
        <v>5184.7974973112168</v>
      </c>
    </row>
    <row r="24" spans="1:12" x14ac:dyDescent="0.25">
      <c r="A24" s="74">
        <v>50</v>
      </c>
      <c r="B24" s="75">
        <v>0</v>
      </c>
      <c r="C24" s="74">
        <v>814.42654787041602</v>
      </c>
      <c r="D24" s="74">
        <v>0</v>
      </c>
      <c r="E24" s="51">
        <v>2.3768083713211499E-2</v>
      </c>
      <c r="F24" s="74">
        <f t="shared" si="0"/>
        <v>0</v>
      </c>
      <c r="G24" s="76">
        <f t="shared" si="1"/>
        <v>814.42654787041602</v>
      </c>
      <c r="H24" s="76">
        <f t="shared" si="2"/>
        <v>0</v>
      </c>
      <c r="I24" s="74">
        <f t="shared" si="3"/>
        <v>2.3768083713211499E-2</v>
      </c>
      <c r="K24" s="74">
        <f t="shared" si="4"/>
        <v>814.40277978670281</v>
      </c>
      <c r="L24" s="74">
        <f t="shared" si="5"/>
        <v>5999.2002770979198</v>
      </c>
    </row>
    <row r="25" spans="1:12" x14ac:dyDescent="0.25">
      <c r="A25" s="74">
        <v>55</v>
      </c>
      <c r="B25" s="75">
        <v>0</v>
      </c>
      <c r="C25" s="74">
        <v>178.49880584434499</v>
      </c>
      <c r="D25" s="74">
        <v>0</v>
      </c>
      <c r="E25" s="51">
        <v>0</v>
      </c>
      <c r="F25" s="74">
        <f t="shared" si="0"/>
        <v>0</v>
      </c>
      <c r="G25" s="76">
        <f t="shared" si="1"/>
        <v>178.49880584434499</v>
      </c>
      <c r="H25" s="76">
        <f t="shared" si="2"/>
        <v>0</v>
      </c>
      <c r="I25" s="74">
        <f t="shared" si="3"/>
        <v>0</v>
      </c>
      <c r="K25" s="74">
        <f t="shared" si="4"/>
        <v>178.49880584434499</v>
      </c>
      <c r="L25" s="74">
        <f t="shared" si="5"/>
        <v>6177.6990829422648</v>
      </c>
    </row>
    <row r="26" spans="1:12" x14ac:dyDescent="0.25">
      <c r="A26" s="74">
        <v>60</v>
      </c>
      <c r="B26" s="75">
        <v>0</v>
      </c>
      <c r="C26" s="74">
        <v>366.992858888451</v>
      </c>
      <c r="D26" s="74">
        <v>0</v>
      </c>
      <c r="E26" s="51">
        <v>0</v>
      </c>
      <c r="F26" s="74">
        <f t="shared" si="0"/>
        <v>0</v>
      </c>
      <c r="G26" s="76">
        <f t="shared" si="1"/>
        <v>366.992858888451</v>
      </c>
      <c r="H26" s="76">
        <f t="shared" si="2"/>
        <v>0</v>
      </c>
      <c r="I26" s="74">
        <f t="shared" si="3"/>
        <v>0</v>
      </c>
      <c r="K26" s="74">
        <f t="shared" si="4"/>
        <v>366.992858888451</v>
      </c>
      <c r="L26" s="74">
        <f t="shared" si="5"/>
        <v>6544.6919418307161</v>
      </c>
    </row>
    <row r="27" spans="1:12" x14ac:dyDescent="0.25">
      <c r="A27" s="74">
        <v>65</v>
      </c>
      <c r="B27" s="75">
        <v>0</v>
      </c>
      <c r="C27" s="74">
        <v>426.40352113288799</v>
      </c>
      <c r="D27" s="74">
        <v>0</v>
      </c>
      <c r="E27" s="51">
        <v>0</v>
      </c>
      <c r="F27" s="74">
        <f t="shared" si="0"/>
        <v>0</v>
      </c>
      <c r="G27" s="76">
        <f t="shared" si="1"/>
        <v>426.40352113288799</v>
      </c>
      <c r="H27" s="76">
        <f t="shared" si="2"/>
        <v>0</v>
      </c>
      <c r="I27" s="74">
        <f t="shared" si="3"/>
        <v>0</v>
      </c>
      <c r="K27" s="74">
        <f t="shared" si="4"/>
        <v>426.40352113288799</v>
      </c>
      <c r="L27" s="74">
        <f t="shared" si="5"/>
        <v>6971.0954629636044</v>
      </c>
    </row>
    <row r="28" spans="1:12" x14ac:dyDescent="0.25">
      <c r="A28" s="74">
        <v>70</v>
      </c>
      <c r="B28" s="75">
        <v>0</v>
      </c>
      <c r="C28" s="74">
        <v>360.18274519310597</v>
      </c>
      <c r="D28" s="74">
        <v>0</v>
      </c>
      <c r="E28" s="51">
        <v>0</v>
      </c>
      <c r="F28" s="74">
        <f t="shared" si="0"/>
        <v>0</v>
      </c>
      <c r="G28" s="76">
        <f t="shared" si="1"/>
        <v>360.18274519310597</v>
      </c>
      <c r="H28" s="76">
        <f t="shared" si="2"/>
        <v>0</v>
      </c>
      <c r="I28" s="74">
        <f t="shared" si="3"/>
        <v>0</v>
      </c>
      <c r="K28" s="74">
        <f t="shared" si="4"/>
        <v>360.18274519310597</v>
      </c>
      <c r="L28" s="74">
        <f t="shared" si="5"/>
        <v>7331.2782081567102</v>
      </c>
    </row>
    <row r="29" spans="1:12" x14ac:dyDescent="0.25">
      <c r="A29" s="74">
        <v>75</v>
      </c>
      <c r="B29" s="75">
        <v>0</v>
      </c>
      <c r="C29" s="74">
        <v>261.46489660856201</v>
      </c>
      <c r="D29" s="74">
        <v>0</v>
      </c>
      <c r="E29" s="51">
        <v>0</v>
      </c>
      <c r="F29" s="74">
        <f t="shared" si="0"/>
        <v>0</v>
      </c>
      <c r="G29" s="76">
        <f t="shared" si="1"/>
        <v>261.46489660856201</v>
      </c>
      <c r="H29" s="76">
        <f t="shared" si="2"/>
        <v>0</v>
      </c>
      <c r="I29" s="74">
        <f t="shared" si="3"/>
        <v>0</v>
      </c>
      <c r="K29" s="74">
        <f t="shared" si="4"/>
        <v>261.46489660856201</v>
      </c>
      <c r="L29" s="74">
        <f t="shared" si="5"/>
        <v>7592.7431047652726</v>
      </c>
    </row>
    <row r="30" spans="1:12" x14ac:dyDescent="0.25">
      <c r="A30" s="74">
        <v>80</v>
      </c>
      <c r="B30" s="75">
        <v>0</v>
      </c>
      <c r="C30" s="74">
        <v>248.74578311342501</v>
      </c>
      <c r="D30" s="74">
        <v>0</v>
      </c>
      <c r="E30" s="51">
        <v>0</v>
      </c>
      <c r="F30" s="74">
        <f t="shared" si="0"/>
        <v>0</v>
      </c>
      <c r="G30" s="76">
        <f t="shared" si="1"/>
        <v>248.74578311342501</v>
      </c>
      <c r="H30" s="76">
        <f t="shared" si="2"/>
        <v>0</v>
      </c>
      <c r="I30" s="74">
        <f t="shared" si="3"/>
        <v>0</v>
      </c>
      <c r="K30" s="74">
        <f t="shared" si="4"/>
        <v>248.74578311342501</v>
      </c>
      <c r="L30" s="74">
        <f t="shared" si="5"/>
        <v>7841.4888878786978</v>
      </c>
    </row>
    <row r="31" spans="1:12" x14ac:dyDescent="0.25">
      <c r="A31" s="74">
        <v>85</v>
      </c>
      <c r="B31" s="75">
        <v>0</v>
      </c>
      <c r="C31" s="74">
        <v>369.961066291012</v>
      </c>
      <c r="D31" s="74">
        <v>0</v>
      </c>
      <c r="E31" s="51">
        <v>0</v>
      </c>
      <c r="F31" s="74">
        <f t="shared" si="0"/>
        <v>0</v>
      </c>
      <c r="G31" s="76">
        <f t="shared" si="1"/>
        <v>369.961066291012</v>
      </c>
      <c r="H31" s="76">
        <f t="shared" si="2"/>
        <v>0</v>
      </c>
      <c r="I31" s="74">
        <f t="shared" si="3"/>
        <v>0</v>
      </c>
      <c r="K31" s="74">
        <f t="shared" si="4"/>
        <v>369.961066291012</v>
      </c>
      <c r="L31" s="74">
        <f t="shared" si="5"/>
        <v>8211.4499541697096</v>
      </c>
    </row>
    <row r="32" spans="1:12" x14ac:dyDescent="0.25">
      <c r="A32" s="74">
        <v>90</v>
      </c>
      <c r="B32" s="75">
        <v>0</v>
      </c>
      <c r="C32" s="74">
        <v>387.02269597460901</v>
      </c>
      <c r="D32" s="74">
        <v>0</v>
      </c>
      <c r="E32" s="51">
        <v>0</v>
      </c>
      <c r="F32" s="74">
        <f t="shared" si="0"/>
        <v>0</v>
      </c>
      <c r="G32" s="76">
        <f t="shared" si="1"/>
        <v>387.02269597460901</v>
      </c>
      <c r="H32" s="76">
        <f t="shared" si="2"/>
        <v>0</v>
      </c>
      <c r="I32" s="74">
        <f t="shared" si="3"/>
        <v>0</v>
      </c>
      <c r="K32" s="74">
        <f t="shared" si="4"/>
        <v>387.02269597460901</v>
      </c>
      <c r="L32" s="74">
        <f t="shared" si="5"/>
        <v>8598.4726501443183</v>
      </c>
    </row>
    <row r="33" spans="1:12" x14ac:dyDescent="0.25">
      <c r="A33" s="74">
        <v>95</v>
      </c>
      <c r="B33" s="75">
        <v>0</v>
      </c>
      <c r="C33" s="74">
        <v>344.019727241282</v>
      </c>
      <c r="D33" s="74">
        <v>0</v>
      </c>
      <c r="E33" s="51">
        <v>0</v>
      </c>
      <c r="F33" s="74">
        <f t="shared" si="0"/>
        <v>0</v>
      </c>
      <c r="G33" s="76">
        <f t="shared" si="1"/>
        <v>344.019727241282</v>
      </c>
      <c r="H33" s="76">
        <f t="shared" si="2"/>
        <v>0</v>
      </c>
      <c r="I33" s="74">
        <f t="shared" si="3"/>
        <v>0</v>
      </c>
      <c r="K33" s="74">
        <f t="shared" si="4"/>
        <v>344.019727241282</v>
      </c>
      <c r="L33" s="74">
        <f t="shared" si="5"/>
        <v>8942.4923773856008</v>
      </c>
    </row>
    <row r="34" spans="1:12" x14ac:dyDescent="0.25">
      <c r="A34" s="74">
        <v>100</v>
      </c>
      <c r="B34" s="75">
        <v>0</v>
      </c>
      <c r="C34" s="74">
        <v>290.902367558366</v>
      </c>
      <c r="D34" s="74">
        <v>0</v>
      </c>
      <c r="E34" s="51">
        <v>0</v>
      </c>
      <c r="F34" s="74">
        <f t="shared" si="0"/>
        <v>0</v>
      </c>
      <c r="G34" s="76">
        <f t="shared" si="1"/>
        <v>290.902367558366</v>
      </c>
      <c r="H34" s="76">
        <f t="shared" si="2"/>
        <v>0</v>
      </c>
      <c r="I34" s="74">
        <f t="shared" si="3"/>
        <v>0</v>
      </c>
      <c r="K34" s="74">
        <f t="shared" si="4"/>
        <v>290.902367558366</v>
      </c>
      <c r="L34" s="74">
        <f t="shared" si="5"/>
        <v>9233.3947449439675</v>
      </c>
    </row>
    <row r="35" spans="1:12" x14ac:dyDescent="0.25">
      <c r="A35" s="74">
        <v>105</v>
      </c>
      <c r="B35" s="75">
        <v>0</v>
      </c>
      <c r="C35" s="74">
        <v>235.25315702476499</v>
      </c>
      <c r="D35" s="74">
        <v>0</v>
      </c>
      <c r="E35" s="51">
        <v>0</v>
      </c>
      <c r="F35" s="74">
        <f t="shared" si="0"/>
        <v>0</v>
      </c>
      <c r="G35" s="76">
        <f t="shared" si="1"/>
        <v>235.25315702476499</v>
      </c>
      <c r="H35" s="76">
        <f t="shared" si="2"/>
        <v>0</v>
      </c>
      <c r="I35" s="74">
        <f t="shared" si="3"/>
        <v>0</v>
      </c>
      <c r="K35" s="74">
        <f t="shared" si="4"/>
        <v>235.25315702476499</v>
      </c>
      <c r="L35" s="74">
        <f t="shared" si="5"/>
        <v>9468.6479019687322</v>
      </c>
    </row>
    <row r="36" spans="1:12" x14ac:dyDescent="0.25">
      <c r="A36" s="74">
        <v>110</v>
      </c>
      <c r="B36" s="75">
        <v>0</v>
      </c>
      <c r="C36" s="74">
        <v>178.85923299991501</v>
      </c>
      <c r="D36" s="74">
        <v>0</v>
      </c>
      <c r="E36" s="51">
        <v>0</v>
      </c>
      <c r="F36" s="74">
        <f t="shared" si="0"/>
        <v>0</v>
      </c>
      <c r="G36" s="76">
        <f t="shared" si="1"/>
        <v>178.85923299991501</v>
      </c>
      <c r="H36" s="76">
        <f t="shared" si="2"/>
        <v>0</v>
      </c>
      <c r="I36" s="74">
        <f t="shared" si="3"/>
        <v>0</v>
      </c>
      <c r="K36" s="74">
        <f t="shared" si="4"/>
        <v>178.85923299991501</v>
      </c>
      <c r="L36" s="74">
        <f t="shared" si="5"/>
        <v>9647.5071349686477</v>
      </c>
    </row>
    <row r="37" spans="1:12" x14ac:dyDescent="0.25">
      <c r="A37" s="74">
        <v>115</v>
      </c>
      <c r="B37" s="75">
        <v>0</v>
      </c>
      <c r="C37" s="74">
        <v>140.44140743891799</v>
      </c>
      <c r="D37" s="74">
        <v>0</v>
      </c>
      <c r="E37" s="51">
        <v>0</v>
      </c>
      <c r="F37" s="74">
        <f t="shared" si="0"/>
        <v>0</v>
      </c>
      <c r="G37" s="76">
        <f t="shared" si="1"/>
        <v>140.44140743891799</v>
      </c>
      <c r="H37" s="76">
        <f t="shared" si="2"/>
        <v>0</v>
      </c>
      <c r="I37" s="74">
        <f t="shared" si="3"/>
        <v>0</v>
      </c>
      <c r="K37" s="74">
        <f t="shared" si="4"/>
        <v>140.44140743891799</v>
      </c>
      <c r="L37" s="74">
        <f t="shared" si="5"/>
        <v>9787.9485424075665</v>
      </c>
    </row>
    <row r="38" spans="1:12" x14ac:dyDescent="0.25">
      <c r="A38" s="74">
        <v>120</v>
      </c>
      <c r="B38" s="75">
        <v>0</v>
      </c>
      <c r="C38" s="74">
        <v>92.671816795507695</v>
      </c>
      <c r="D38" s="74">
        <v>0</v>
      </c>
      <c r="E38" s="51">
        <v>0</v>
      </c>
      <c r="F38" s="74">
        <f t="shared" si="0"/>
        <v>0</v>
      </c>
      <c r="G38" s="76">
        <f t="shared" si="1"/>
        <v>92.671816795507695</v>
      </c>
      <c r="H38" s="76">
        <f t="shared" si="2"/>
        <v>0</v>
      </c>
      <c r="I38" s="74">
        <f t="shared" si="3"/>
        <v>0</v>
      </c>
      <c r="K38" s="74">
        <f t="shared" si="4"/>
        <v>92.671816795507695</v>
      </c>
      <c r="L38" s="74">
        <f t="shared" si="5"/>
        <v>9880.6203592030743</v>
      </c>
    </row>
    <row r="39" spans="1:12" x14ac:dyDescent="0.25">
      <c r="A39" s="74">
        <v>125</v>
      </c>
      <c r="B39" s="75">
        <v>0</v>
      </c>
      <c r="C39" s="74">
        <v>60.732536026461403</v>
      </c>
      <c r="D39" s="74">
        <v>0</v>
      </c>
      <c r="E39" s="51">
        <v>0</v>
      </c>
      <c r="F39" s="74">
        <f t="shared" si="0"/>
        <v>0</v>
      </c>
      <c r="G39" s="76">
        <f t="shared" si="1"/>
        <v>60.732536026461403</v>
      </c>
      <c r="H39" s="76">
        <f t="shared" si="2"/>
        <v>0</v>
      </c>
      <c r="I39" s="74">
        <f t="shared" si="3"/>
        <v>0</v>
      </c>
      <c r="K39" s="74">
        <f t="shared" si="4"/>
        <v>60.732536026461403</v>
      </c>
      <c r="L39" s="74">
        <f t="shared" si="5"/>
        <v>9941.3528952295364</v>
      </c>
    </row>
    <row r="40" spans="1:12" x14ac:dyDescent="0.25">
      <c r="A40" s="74">
        <v>130</v>
      </c>
      <c r="B40" s="75">
        <v>0</v>
      </c>
      <c r="C40" s="74">
        <v>46.693372612357003</v>
      </c>
      <c r="D40" s="74">
        <v>0</v>
      </c>
      <c r="E40" s="51">
        <v>0.19766919890939799</v>
      </c>
      <c r="F40" s="74">
        <f t="shared" si="0"/>
        <v>0</v>
      </c>
      <c r="G40" s="76">
        <f t="shared" si="1"/>
        <v>46.693372612357003</v>
      </c>
      <c r="H40" s="76">
        <f t="shared" si="2"/>
        <v>0</v>
      </c>
      <c r="I40" s="74">
        <f t="shared" si="3"/>
        <v>0.19766919890939799</v>
      </c>
      <c r="K40" s="74">
        <f t="shared" si="4"/>
        <v>46.495703413447607</v>
      </c>
      <c r="L40" s="74">
        <f t="shared" si="5"/>
        <v>9987.8485986429841</v>
      </c>
    </row>
    <row r="41" spans="1:12" x14ac:dyDescent="0.25">
      <c r="A41" s="74">
        <v>135</v>
      </c>
      <c r="B41" s="75">
        <v>0</v>
      </c>
      <c r="C41" s="74">
        <v>39.2026942447011</v>
      </c>
      <c r="D41" s="74">
        <v>0</v>
      </c>
      <c r="E41" s="51">
        <v>1.18746024842044</v>
      </c>
      <c r="F41" s="74">
        <f t="shared" si="0"/>
        <v>0</v>
      </c>
      <c r="G41" s="76">
        <f t="shared" si="1"/>
        <v>39.2026942447011</v>
      </c>
      <c r="H41" s="76">
        <f t="shared" si="2"/>
        <v>0</v>
      </c>
      <c r="I41" s="74">
        <f t="shared" si="3"/>
        <v>1.18746024842044</v>
      </c>
      <c r="K41" s="74">
        <f t="shared" si="4"/>
        <v>38.015233996280656</v>
      </c>
      <c r="L41" s="74">
        <f t="shared" si="5"/>
        <v>10025.863832639265</v>
      </c>
    </row>
    <row r="42" spans="1:12" x14ac:dyDescent="0.25">
      <c r="A42" s="74">
        <v>140</v>
      </c>
      <c r="B42" s="75">
        <v>0</v>
      </c>
      <c r="C42" s="74">
        <v>47.980913273651701</v>
      </c>
      <c r="D42" s="74">
        <v>0</v>
      </c>
      <c r="E42" s="51">
        <v>2.1809344017867498</v>
      </c>
      <c r="F42" s="74">
        <f t="shared" si="0"/>
        <v>0</v>
      </c>
      <c r="G42" s="76">
        <f t="shared" si="1"/>
        <v>47.980913273651701</v>
      </c>
      <c r="H42" s="76">
        <f t="shared" si="2"/>
        <v>0</v>
      </c>
      <c r="I42" s="74">
        <f t="shared" si="3"/>
        <v>2.1809344017867498</v>
      </c>
      <c r="K42" s="74">
        <f t="shared" si="4"/>
        <v>45.799978871864951</v>
      </c>
      <c r="L42" s="74">
        <f t="shared" si="5"/>
        <v>10071.663811511129</v>
      </c>
    </row>
    <row r="43" spans="1:12" x14ac:dyDescent="0.25">
      <c r="A43" s="74">
        <v>145</v>
      </c>
      <c r="B43" s="75">
        <v>0</v>
      </c>
      <c r="C43" s="74">
        <v>47.453966557405899</v>
      </c>
      <c r="D43" s="74">
        <v>0</v>
      </c>
      <c r="E43" s="51">
        <v>2.4690209546541699</v>
      </c>
      <c r="F43" s="74">
        <f t="shared" si="0"/>
        <v>0</v>
      </c>
      <c r="G43" s="76">
        <f t="shared" si="1"/>
        <v>47.453966557405899</v>
      </c>
      <c r="H43" s="76">
        <f t="shared" si="2"/>
        <v>0</v>
      </c>
      <c r="I43" s="74">
        <f t="shared" si="3"/>
        <v>2.4690209546541699</v>
      </c>
      <c r="K43" s="74">
        <f t="shared" si="4"/>
        <v>44.984945602751729</v>
      </c>
      <c r="L43" s="74">
        <f t="shared" si="5"/>
        <v>10116.64875711388</v>
      </c>
    </row>
    <row r="44" spans="1:12" x14ac:dyDescent="0.25">
      <c r="A44" s="74">
        <v>150</v>
      </c>
      <c r="B44" s="75">
        <v>0</v>
      </c>
      <c r="C44" s="74">
        <v>46.4187105727706</v>
      </c>
      <c r="D44" s="74">
        <v>0</v>
      </c>
      <c r="E44" s="51">
        <v>0.38686002403050102</v>
      </c>
      <c r="F44" s="74">
        <f t="shared" si="0"/>
        <v>0</v>
      </c>
      <c r="G44" s="76">
        <f t="shared" si="1"/>
        <v>46.4187105727706</v>
      </c>
      <c r="H44" s="76">
        <f t="shared" si="2"/>
        <v>0</v>
      </c>
      <c r="I44" s="74">
        <f t="shared" si="3"/>
        <v>0.38686002403050102</v>
      </c>
      <c r="K44" s="74">
        <f t="shared" si="4"/>
        <v>46.031850548740096</v>
      </c>
      <c r="L44" s="74">
        <f t="shared" si="5"/>
        <v>10162.68060766262</v>
      </c>
    </row>
    <row r="45" spans="1:12" x14ac:dyDescent="0.25">
      <c r="A45" s="74">
        <v>155</v>
      </c>
      <c r="B45" s="75">
        <v>0</v>
      </c>
      <c r="C45" s="74">
        <v>42.5041609022608</v>
      </c>
      <c r="D45" s="74">
        <v>0</v>
      </c>
      <c r="E45" s="51">
        <v>9.0156142256217403E-2</v>
      </c>
      <c r="F45" s="74">
        <f t="shared" si="0"/>
        <v>0</v>
      </c>
      <c r="G45" s="76">
        <f t="shared" si="1"/>
        <v>42.5041609022608</v>
      </c>
      <c r="H45" s="76">
        <f t="shared" si="2"/>
        <v>0</v>
      </c>
      <c r="I45" s="74">
        <f t="shared" si="3"/>
        <v>9.0156142256217403E-2</v>
      </c>
      <c r="K45" s="74">
        <f t="shared" si="4"/>
        <v>42.41400476000458</v>
      </c>
      <c r="L45" s="74">
        <f t="shared" si="5"/>
        <v>10205.094612422625</v>
      </c>
    </row>
    <row r="46" spans="1:12" x14ac:dyDescent="0.25">
      <c r="A46" s="74">
        <v>160</v>
      </c>
      <c r="B46" s="75">
        <v>0</v>
      </c>
      <c r="C46" s="74">
        <v>35.367722270590697</v>
      </c>
      <c r="D46" s="74">
        <v>0</v>
      </c>
      <c r="E46" s="51">
        <v>0</v>
      </c>
      <c r="F46" s="74">
        <f t="shared" ref="F46:F77" si="6">B46*N$4</f>
        <v>0</v>
      </c>
      <c r="G46" s="76">
        <f t="shared" ref="G46:G77" si="7">C46*N$5</f>
        <v>35.367722270590697</v>
      </c>
      <c r="H46" s="76">
        <f t="shared" ref="H46:H77" si="8">D46*N$6</f>
        <v>0</v>
      </c>
      <c r="I46" s="74">
        <f t="shared" ref="I46:I77" si="9">E46*N$7</f>
        <v>0</v>
      </c>
      <c r="K46" s="74">
        <f t="shared" ref="K46:K77" si="10">F46+G46+H46-I46</f>
        <v>35.367722270590697</v>
      </c>
      <c r="L46" s="74">
        <f t="shared" ref="L46:L77" si="11">K46+L45</f>
        <v>10240.462334693215</v>
      </c>
    </row>
    <row r="47" spans="1:12" x14ac:dyDescent="0.25">
      <c r="A47" s="74">
        <v>165</v>
      </c>
      <c r="B47" s="75">
        <v>0</v>
      </c>
      <c r="C47" s="74">
        <v>36.132065827368301</v>
      </c>
      <c r="D47" s="74">
        <v>0</v>
      </c>
      <c r="E47" s="51">
        <v>0</v>
      </c>
      <c r="F47" s="74">
        <f t="shared" si="6"/>
        <v>0</v>
      </c>
      <c r="G47" s="76">
        <f t="shared" si="7"/>
        <v>36.132065827368301</v>
      </c>
      <c r="H47" s="76">
        <f t="shared" si="8"/>
        <v>0</v>
      </c>
      <c r="I47" s="74">
        <f t="shared" si="9"/>
        <v>0</v>
      </c>
      <c r="K47" s="74">
        <f t="shared" si="10"/>
        <v>36.132065827368301</v>
      </c>
      <c r="L47" s="74">
        <f t="shared" si="11"/>
        <v>10276.594400520584</v>
      </c>
    </row>
    <row r="48" spans="1:12" x14ac:dyDescent="0.25">
      <c r="A48" s="74">
        <v>170</v>
      </c>
      <c r="B48" s="75">
        <v>0</v>
      </c>
      <c r="C48" s="74">
        <v>43.708866487608098</v>
      </c>
      <c r="D48" s="74">
        <v>0</v>
      </c>
      <c r="E48" s="51">
        <v>0</v>
      </c>
      <c r="F48" s="74">
        <f t="shared" si="6"/>
        <v>0</v>
      </c>
      <c r="G48" s="76">
        <f t="shared" si="7"/>
        <v>43.708866487608098</v>
      </c>
      <c r="H48" s="76">
        <f t="shared" si="8"/>
        <v>0</v>
      </c>
      <c r="I48" s="74">
        <f t="shared" si="9"/>
        <v>0</v>
      </c>
      <c r="K48" s="74">
        <f t="shared" si="10"/>
        <v>43.708866487608098</v>
      </c>
      <c r="L48" s="74">
        <f t="shared" si="11"/>
        <v>10320.303267008192</v>
      </c>
    </row>
    <row r="49" spans="1:12" x14ac:dyDescent="0.25">
      <c r="A49" s="74">
        <v>175</v>
      </c>
      <c r="B49" s="75">
        <v>0</v>
      </c>
      <c r="C49" s="74">
        <v>37.380821440622498</v>
      </c>
      <c r="D49" s="74">
        <v>0</v>
      </c>
      <c r="E49" s="51">
        <v>0</v>
      </c>
      <c r="F49" s="74">
        <f t="shared" si="6"/>
        <v>0</v>
      </c>
      <c r="G49" s="76">
        <f t="shared" si="7"/>
        <v>37.380821440622498</v>
      </c>
      <c r="H49" s="76">
        <f t="shared" si="8"/>
        <v>0</v>
      </c>
      <c r="I49" s="74">
        <f t="shared" si="9"/>
        <v>0</v>
      </c>
      <c r="K49" s="74">
        <f t="shared" si="10"/>
        <v>37.380821440622498</v>
      </c>
      <c r="L49" s="74">
        <f t="shared" si="11"/>
        <v>10357.684088448814</v>
      </c>
    </row>
    <row r="50" spans="1:12" x14ac:dyDescent="0.25">
      <c r="A50" s="74">
        <v>180</v>
      </c>
      <c r="B50" s="75">
        <v>0</v>
      </c>
      <c r="C50" s="74">
        <v>37.927869364482497</v>
      </c>
      <c r="D50" s="74">
        <v>0</v>
      </c>
      <c r="E50" s="51">
        <v>0</v>
      </c>
      <c r="F50" s="74">
        <f t="shared" si="6"/>
        <v>0</v>
      </c>
      <c r="G50" s="76">
        <f t="shared" si="7"/>
        <v>37.927869364482497</v>
      </c>
      <c r="H50" s="76">
        <f t="shared" si="8"/>
        <v>0</v>
      </c>
      <c r="I50" s="74">
        <f t="shared" si="9"/>
        <v>0</v>
      </c>
      <c r="K50" s="74">
        <f t="shared" si="10"/>
        <v>37.927869364482497</v>
      </c>
      <c r="L50" s="74">
        <f t="shared" si="11"/>
        <v>10395.611957813297</v>
      </c>
    </row>
    <row r="51" spans="1:12" x14ac:dyDescent="0.25">
      <c r="A51" s="74">
        <v>185</v>
      </c>
      <c r="B51" s="75">
        <v>0</v>
      </c>
      <c r="C51" s="74">
        <v>38.949339506324399</v>
      </c>
      <c r="D51" s="74">
        <v>0</v>
      </c>
      <c r="E51" s="51">
        <v>0</v>
      </c>
      <c r="F51" s="74">
        <f t="shared" si="6"/>
        <v>0</v>
      </c>
      <c r="G51" s="76">
        <f t="shared" si="7"/>
        <v>38.949339506324399</v>
      </c>
      <c r="H51" s="76">
        <f t="shared" si="8"/>
        <v>0</v>
      </c>
      <c r="I51" s="74">
        <f t="shared" si="9"/>
        <v>0</v>
      </c>
      <c r="K51" s="74">
        <f t="shared" si="10"/>
        <v>38.949339506324399</v>
      </c>
      <c r="L51" s="74">
        <f t="shared" si="11"/>
        <v>10434.56129731962</v>
      </c>
    </row>
    <row r="52" spans="1:12" x14ac:dyDescent="0.25">
      <c r="A52" s="74">
        <v>190</v>
      </c>
      <c r="B52" s="75">
        <v>0</v>
      </c>
      <c r="C52" s="74">
        <v>38.492733682418702</v>
      </c>
      <c r="D52" s="74">
        <v>0</v>
      </c>
      <c r="E52" s="51">
        <v>0</v>
      </c>
      <c r="F52" s="74">
        <f t="shared" si="6"/>
        <v>0</v>
      </c>
      <c r="G52" s="76">
        <f t="shared" si="7"/>
        <v>38.492733682418702</v>
      </c>
      <c r="H52" s="76">
        <f t="shared" si="8"/>
        <v>0</v>
      </c>
      <c r="I52" s="74">
        <f t="shared" si="9"/>
        <v>0</v>
      </c>
      <c r="K52" s="74">
        <f t="shared" si="10"/>
        <v>38.492733682418702</v>
      </c>
      <c r="L52" s="74">
        <f t="shared" si="11"/>
        <v>10473.054031002039</v>
      </c>
    </row>
    <row r="53" spans="1:12" x14ac:dyDescent="0.25">
      <c r="A53" s="74">
        <v>195</v>
      </c>
      <c r="B53" s="75">
        <v>0</v>
      </c>
      <c r="C53" s="74">
        <v>39.576715027128103</v>
      </c>
      <c r="D53" s="74">
        <v>0</v>
      </c>
      <c r="E53" s="51">
        <v>0</v>
      </c>
      <c r="F53" s="74">
        <f t="shared" si="6"/>
        <v>0</v>
      </c>
      <c r="G53" s="76">
        <f t="shared" si="7"/>
        <v>39.576715027128103</v>
      </c>
      <c r="H53" s="76">
        <f t="shared" si="8"/>
        <v>0</v>
      </c>
      <c r="I53" s="74">
        <f t="shared" si="9"/>
        <v>0</v>
      </c>
      <c r="K53" s="74">
        <f t="shared" si="10"/>
        <v>39.576715027128103</v>
      </c>
      <c r="L53" s="74">
        <f t="shared" si="11"/>
        <v>10512.630746029166</v>
      </c>
    </row>
    <row r="54" spans="1:12" x14ac:dyDescent="0.25">
      <c r="A54" s="74">
        <v>200</v>
      </c>
      <c r="B54" s="75">
        <v>0</v>
      </c>
      <c r="C54" s="74">
        <v>38.762792396447502</v>
      </c>
      <c r="D54" s="74">
        <v>0</v>
      </c>
      <c r="E54" s="51">
        <v>0</v>
      </c>
      <c r="F54" s="74">
        <f t="shared" si="6"/>
        <v>0</v>
      </c>
      <c r="G54" s="76">
        <f t="shared" si="7"/>
        <v>38.762792396447502</v>
      </c>
      <c r="H54" s="76">
        <f t="shared" si="8"/>
        <v>0</v>
      </c>
      <c r="I54" s="74">
        <f t="shared" si="9"/>
        <v>0</v>
      </c>
      <c r="K54" s="74">
        <f t="shared" si="10"/>
        <v>38.762792396447502</v>
      </c>
      <c r="L54" s="74">
        <f t="shared" si="11"/>
        <v>10551.393538425615</v>
      </c>
    </row>
    <row r="55" spans="1:12" x14ac:dyDescent="0.25">
      <c r="A55" s="74">
        <v>205</v>
      </c>
      <c r="B55" s="75">
        <v>0</v>
      </c>
      <c r="C55" s="74">
        <v>36.973274852812601</v>
      </c>
      <c r="D55" s="74">
        <v>0</v>
      </c>
      <c r="E55" s="51">
        <v>0</v>
      </c>
      <c r="F55" s="74">
        <f t="shared" si="6"/>
        <v>0</v>
      </c>
      <c r="G55" s="76">
        <f t="shared" si="7"/>
        <v>36.973274852812601</v>
      </c>
      <c r="H55" s="76">
        <f t="shared" si="8"/>
        <v>0</v>
      </c>
      <c r="I55" s="74">
        <f t="shared" si="9"/>
        <v>0</v>
      </c>
      <c r="K55" s="74">
        <f t="shared" si="10"/>
        <v>36.973274852812601</v>
      </c>
      <c r="L55" s="74">
        <f t="shared" si="11"/>
        <v>10588.366813278428</v>
      </c>
    </row>
    <row r="56" spans="1:12" x14ac:dyDescent="0.25">
      <c r="A56" s="74">
        <v>210</v>
      </c>
      <c r="B56" s="75">
        <v>0</v>
      </c>
      <c r="C56" s="74">
        <v>39.408940692923899</v>
      </c>
      <c r="D56" s="74">
        <v>0</v>
      </c>
      <c r="E56" s="51">
        <v>0</v>
      </c>
      <c r="F56" s="74">
        <f t="shared" si="6"/>
        <v>0</v>
      </c>
      <c r="G56" s="76">
        <f t="shared" si="7"/>
        <v>39.408940692923899</v>
      </c>
      <c r="H56" s="76">
        <f t="shared" si="8"/>
        <v>0</v>
      </c>
      <c r="I56" s="74">
        <f t="shared" si="9"/>
        <v>0</v>
      </c>
      <c r="K56" s="74">
        <f t="shared" si="10"/>
        <v>39.408940692923899</v>
      </c>
      <c r="L56" s="74">
        <f t="shared" si="11"/>
        <v>10627.775753971351</v>
      </c>
    </row>
    <row r="57" spans="1:12" x14ac:dyDescent="0.25">
      <c r="A57" s="74">
        <v>215</v>
      </c>
      <c r="B57" s="75">
        <v>0</v>
      </c>
      <c r="C57" s="74">
        <v>42.362361875873397</v>
      </c>
      <c r="D57" s="74">
        <v>0</v>
      </c>
      <c r="E57" s="51">
        <v>0</v>
      </c>
      <c r="F57" s="74">
        <f t="shared" si="6"/>
        <v>0</v>
      </c>
      <c r="G57" s="76">
        <f t="shared" si="7"/>
        <v>42.362361875873397</v>
      </c>
      <c r="H57" s="76">
        <f t="shared" si="8"/>
        <v>0</v>
      </c>
      <c r="I57" s="74">
        <f t="shared" si="9"/>
        <v>0</v>
      </c>
      <c r="K57" s="74">
        <f t="shared" si="10"/>
        <v>42.362361875873397</v>
      </c>
      <c r="L57" s="74">
        <f t="shared" si="11"/>
        <v>10670.138115847225</v>
      </c>
    </row>
    <row r="58" spans="1:12" x14ac:dyDescent="0.25">
      <c r="A58" s="74">
        <v>220</v>
      </c>
      <c r="B58" s="75">
        <v>0</v>
      </c>
      <c r="C58" s="74">
        <v>42.615813092706802</v>
      </c>
      <c r="D58" s="74">
        <v>0</v>
      </c>
      <c r="E58" s="51">
        <v>0</v>
      </c>
      <c r="F58" s="74">
        <f t="shared" si="6"/>
        <v>0</v>
      </c>
      <c r="G58" s="76">
        <f t="shared" si="7"/>
        <v>42.615813092706802</v>
      </c>
      <c r="H58" s="76">
        <f t="shared" si="8"/>
        <v>0</v>
      </c>
      <c r="I58" s="74">
        <f t="shared" si="9"/>
        <v>0</v>
      </c>
      <c r="K58" s="74">
        <f t="shared" si="10"/>
        <v>42.615813092706802</v>
      </c>
      <c r="L58" s="74">
        <f t="shared" si="11"/>
        <v>10712.753928939932</v>
      </c>
    </row>
    <row r="59" spans="1:12" x14ac:dyDescent="0.25">
      <c r="A59" s="74">
        <v>225</v>
      </c>
      <c r="B59" s="75">
        <v>0</v>
      </c>
      <c r="C59" s="74">
        <v>37.7529181625939</v>
      </c>
      <c r="D59" s="74">
        <v>0</v>
      </c>
      <c r="E59" s="51">
        <v>0</v>
      </c>
      <c r="F59" s="74">
        <f t="shared" si="6"/>
        <v>0</v>
      </c>
      <c r="G59" s="76">
        <f t="shared" si="7"/>
        <v>37.7529181625939</v>
      </c>
      <c r="H59" s="76">
        <f t="shared" si="8"/>
        <v>0</v>
      </c>
      <c r="I59" s="74">
        <f t="shared" si="9"/>
        <v>0</v>
      </c>
      <c r="K59" s="74">
        <f t="shared" si="10"/>
        <v>37.7529181625939</v>
      </c>
      <c r="L59" s="74">
        <f t="shared" si="11"/>
        <v>10750.506847102526</v>
      </c>
    </row>
    <row r="60" spans="1:12" x14ac:dyDescent="0.25">
      <c r="A60" s="74">
        <v>230</v>
      </c>
      <c r="B60" s="75">
        <v>0</v>
      </c>
      <c r="C60" s="74">
        <v>32.387787599258502</v>
      </c>
      <c r="D60" s="74">
        <v>0</v>
      </c>
      <c r="E60" s="51">
        <v>0</v>
      </c>
      <c r="F60" s="74">
        <f t="shared" si="6"/>
        <v>0</v>
      </c>
      <c r="G60" s="76">
        <f t="shared" si="7"/>
        <v>32.387787599258502</v>
      </c>
      <c r="H60" s="76">
        <f t="shared" si="8"/>
        <v>0</v>
      </c>
      <c r="I60" s="74">
        <f t="shared" si="9"/>
        <v>0</v>
      </c>
      <c r="K60" s="74">
        <f t="shared" si="10"/>
        <v>32.387787599258502</v>
      </c>
      <c r="L60" s="74">
        <f t="shared" si="11"/>
        <v>10782.894634701785</v>
      </c>
    </row>
    <row r="61" spans="1:12" x14ac:dyDescent="0.25">
      <c r="A61" s="74">
        <v>235</v>
      </c>
      <c r="B61" s="75">
        <v>0</v>
      </c>
      <c r="C61" s="74">
        <v>29.074203473379999</v>
      </c>
      <c r="D61" s="74">
        <v>0</v>
      </c>
      <c r="E61" s="51">
        <v>0.25673742726513599</v>
      </c>
      <c r="F61" s="74">
        <f t="shared" si="6"/>
        <v>0</v>
      </c>
      <c r="G61" s="76">
        <f t="shared" si="7"/>
        <v>29.074203473379999</v>
      </c>
      <c r="H61" s="76">
        <f t="shared" si="8"/>
        <v>0</v>
      </c>
      <c r="I61" s="74">
        <f t="shared" si="9"/>
        <v>0.25673742726513599</v>
      </c>
      <c r="K61" s="74">
        <f t="shared" si="10"/>
        <v>28.817466046114863</v>
      </c>
      <c r="L61" s="74">
        <f t="shared" si="11"/>
        <v>10811.7121007479</v>
      </c>
    </row>
    <row r="62" spans="1:12" x14ac:dyDescent="0.25">
      <c r="A62" s="74">
        <v>240</v>
      </c>
      <c r="B62" s="75">
        <v>0</v>
      </c>
      <c r="C62" s="74">
        <v>25.243888240095799</v>
      </c>
      <c r="D62" s="74">
        <v>0</v>
      </c>
      <c r="E62" s="51">
        <v>1.6112234533160601</v>
      </c>
      <c r="F62" s="74">
        <f t="shared" si="6"/>
        <v>0</v>
      </c>
      <c r="G62" s="76">
        <f t="shared" si="7"/>
        <v>25.243888240095799</v>
      </c>
      <c r="H62" s="76">
        <f t="shared" si="8"/>
        <v>0</v>
      </c>
      <c r="I62" s="74">
        <f t="shared" si="9"/>
        <v>1.6112234533160601</v>
      </c>
      <c r="K62" s="74">
        <f t="shared" si="10"/>
        <v>23.632664786779738</v>
      </c>
      <c r="L62" s="74">
        <f t="shared" si="11"/>
        <v>10835.344765534679</v>
      </c>
    </row>
    <row r="63" spans="1:12" x14ac:dyDescent="0.25">
      <c r="A63" s="74">
        <v>245</v>
      </c>
      <c r="B63" s="75">
        <v>0</v>
      </c>
      <c r="C63" s="74">
        <v>23.1923536253713</v>
      </c>
      <c r="D63" s="74">
        <v>0</v>
      </c>
      <c r="E63" s="51">
        <v>0.26724048313716497</v>
      </c>
      <c r="F63" s="74">
        <f t="shared" si="6"/>
        <v>0</v>
      </c>
      <c r="G63" s="76">
        <f t="shared" si="7"/>
        <v>23.1923536253713</v>
      </c>
      <c r="H63" s="76">
        <f t="shared" si="8"/>
        <v>0</v>
      </c>
      <c r="I63" s="74">
        <f t="shared" si="9"/>
        <v>0.26724048313716497</v>
      </c>
      <c r="K63" s="74">
        <f t="shared" si="10"/>
        <v>22.925113142234135</v>
      </c>
      <c r="L63" s="74">
        <f t="shared" si="11"/>
        <v>10858.269878676912</v>
      </c>
    </row>
    <row r="64" spans="1:12" x14ac:dyDescent="0.25">
      <c r="A64" s="74">
        <v>250</v>
      </c>
      <c r="B64" s="75">
        <v>0</v>
      </c>
      <c r="C64" s="74">
        <v>17.992027165000302</v>
      </c>
      <c r="D64" s="74">
        <v>0</v>
      </c>
      <c r="E64" s="51">
        <v>1.31360382611391</v>
      </c>
      <c r="F64" s="74">
        <f t="shared" si="6"/>
        <v>0</v>
      </c>
      <c r="G64" s="76">
        <f t="shared" si="7"/>
        <v>17.992027165000302</v>
      </c>
      <c r="H64" s="76">
        <f t="shared" si="8"/>
        <v>0</v>
      </c>
      <c r="I64" s="74">
        <f t="shared" si="9"/>
        <v>1.31360382611391</v>
      </c>
      <c r="K64" s="74">
        <f t="shared" si="10"/>
        <v>16.678423338886393</v>
      </c>
      <c r="L64" s="74">
        <f t="shared" si="11"/>
        <v>10874.948302015799</v>
      </c>
    </row>
    <row r="65" spans="1:12" x14ac:dyDescent="0.25">
      <c r="A65" s="74">
        <v>255</v>
      </c>
      <c r="B65" s="75">
        <v>0</v>
      </c>
      <c r="C65" s="74">
        <v>15.524985039192099</v>
      </c>
      <c r="D65" s="74">
        <v>0</v>
      </c>
      <c r="E65" s="51">
        <v>2.7661783972789702</v>
      </c>
      <c r="F65" s="74">
        <f t="shared" si="6"/>
        <v>0</v>
      </c>
      <c r="G65" s="76">
        <f t="shared" si="7"/>
        <v>15.524985039192099</v>
      </c>
      <c r="H65" s="76">
        <f t="shared" si="8"/>
        <v>0</v>
      </c>
      <c r="I65" s="74">
        <f t="shared" si="9"/>
        <v>2.7661783972789702</v>
      </c>
      <c r="K65" s="74">
        <f t="shared" si="10"/>
        <v>12.758806641913129</v>
      </c>
      <c r="L65" s="74">
        <f t="shared" si="11"/>
        <v>10887.707108657713</v>
      </c>
    </row>
    <row r="66" spans="1:12" x14ac:dyDescent="0.25">
      <c r="A66" s="74">
        <v>260</v>
      </c>
      <c r="B66" s="75">
        <v>0</v>
      </c>
      <c r="C66" s="74">
        <v>11.5664258700529</v>
      </c>
      <c r="D66" s="74">
        <v>0</v>
      </c>
      <c r="E66" s="51">
        <v>4.4565309512960498</v>
      </c>
      <c r="F66" s="74">
        <f t="shared" si="6"/>
        <v>0</v>
      </c>
      <c r="G66" s="76">
        <f t="shared" si="7"/>
        <v>11.5664258700529</v>
      </c>
      <c r="H66" s="76">
        <f t="shared" si="8"/>
        <v>0</v>
      </c>
      <c r="I66" s="74">
        <f t="shared" si="9"/>
        <v>4.4565309512960498</v>
      </c>
      <c r="K66" s="74">
        <f t="shared" si="10"/>
        <v>7.1098949187568499</v>
      </c>
      <c r="L66" s="74">
        <f t="shared" si="11"/>
        <v>10894.817003576469</v>
      </c>
    </row>
    <row r="67" spans="1:12" x14ac:dyDescent="0.25">
      <c r="A67" s="74">
        <v>265</v>
      </c>
      <c r="B67" s="75">
        <v>0</v>
      </c>
      <c r="C67" s="74">
        <v>9.00531724185754</v>
      </c>
      <c r="D67" s="74">
        <v>0</v>
      </c>
      <c r="E67" s="51">
        <v>7.9511770064365903</v>
      </c>
      <c r="F67" s="74">
        <f t="shared" si="6"/>
        <v>0</v>
      </c>
      <c r="G67" s="76">
        <f t="shared" si="7"/>
        <v>9.00531724185754</v>
      </c>
      <c r="H67" s="76">
        <f t="shared" si="8"/>
        <v>0</v>
      </c>
      <c r="I67" s="74">
        <f t="shared" si="9"/>
        <v>7.9511770064365903</v>
      </c>
      <c r="K67" s="74">
        <f t="shared" si="10"/>
        <v>1.0541402354209497</v>
      </c>
      <c r="L67" s="74">
        <f t="shared" si="11"/>
        <v>10895.87114381189</v>
      </c>
    </row>
    <row r="68" spans="1:12" x14ac:dyDescent="0.25">
      <c r="A68" s="74">
        <v>270</v>
      </c>
      <c r="B68" s="75">
        <v>0</v>
      </c>
      <c r="C68" s="74">
        <v>7.5354174986042803</v>
      </c>
      <c r="D68" s="74">
        <v>0</v>
      </c>
      <c r="E68" s="51">
        <v>10.785451182700699</v>
      </c>
      <c r="F68" s="74">
        <f t="shared" si="6"/>
        <v>0</v>
      </c>
      <c r="G68" s="76">
        <f t="shared" si="7"/>
        <v>7.5354174986042803</v>
      </c>
      <c r="H68" s="76">
        <f t="shared" si="8"/>
        <v>0</v>
      </c>
      <c r="I68" s="74">
        <f t="shared" si="9"/>
        <v>10.785451182700699</v>
      </c>
      <c r="K68" s="74">
        <f t="shared" si="10"/>
        <v>-3.2500336840964188</v>
      </c>
      <c r="L68" s="74">
        <f t="shared" si="11"/>
        <v>10892.621110127793</v>
      </c>
    </row>
    <row r="69" spans="1:12" x14ac:dyDescent="0.25">
      <c r="A69" s="74">
        <v>275</v>
      </c>
      <c r="B69" s="75">
        <v>0</v>
      </c>
      <c r="C69" s="74">
        <v>9.6122361062171393</v>
      </c>
      <c r="D69" s="74">
        <v>0</v>
      </c>
      <c r="E69" s="51">
        <v>9.2603009923501194</v>
      </c>
      <c r="F69" s="74">
        <f t="shared" si="6"/>
        <v>0</v>
      </c>
      <c r="G69" s="76">
        <f t="shared" si="7"/>
        <v>9.6122361062171393</v>
      </c>
      <c r="H69" s="76">
        <f t="shared" si="8"/>
        <v>0</v>
      </c>
      <c r="I69" s="74">
        <f t="shared" si="9"/>
        <v>9.2603009923501194</v>
      </c>
      <c r="K69" s="74">
        <f t="shared" si="10"/>
        <v>0.35193511386701992</v>
      </c>
      <c r="L69" s="74">
        <f t="shared" si="11"/>
        <v>10892.973045241661</v>
      </c>
    </row>
    <row r="70" spans="1:12" x14ac:dyDescent="0.25">
      <c r="A70" s="74">
        <v>280</v>
      </c>
      <c r="B70" s="75">
        <v>0</v>
      </c>
      <c r="C70" s="74">
        <v>9.4328524120396793</v>
      </c>
      <c r="D70" s="74">
        <v>0</v>
      </c>
      <c r="E70" s="51">
        <v>9.8362141287973497</v>
      </c>
      <c r="F70" s="74">
        <f t="shared" si="6"/>
        <v>0</v>
      </c>
      <c r="G70" s="76">
        <f t="shared" si="7"/>
        <v>9.4328524120396793</v>
      </c>
      <c r="H70" s="76">
        <f t="shared" si="8"/>
        <v>0</v>
      </c>
      <c r="I70" s="74">
        <f t="shared" si="9"/>
        <v>9.8362141287973497</v>
      </c>
      <c r="K70" s="74">
        <f t="shared" si="10"/>
        <v>-0.40336171675767041</v>
      </c>
      <c r="L70" s="74">
        <f t="shared" si="11"/>
        <v>10892.569683524904</v>
      </c>
    </row>
    <row r="71" spans="1:12" x14ac:dyDescent="0.25">
      <c r="A71" s="74">
        <v>285</v>
      </c>
      <c r="B71" s="75">
        <v>0</v>
      </c>
      <c r="C71" s="74">
        <v>12.407990621860399</v>
      </c>
      <c r="D71" s="74">
        <v>0</v>
      </c>
      <c r="E71" s="51">
        <v>8.2352418260197204</v>
      </c>
      <c r="F71" s="74">
        <f t="shared" si="6"/>
        <v>0</v>
      </c>
      <c r="G71" s="76">
        <f t="shared" si="7"/>
        <v>12.407990621860399</v>
      </c>
      <c r="H71" s="76">
        <f t="shared" si="8"/>
        <v>0</v>
      </c>
      <c r="I71" s="74">
        <f t="shared" si="9"/>
        <v>8.2352418260197204</v>
      </c>
      <c r="K71" s="74">
        <f t="shared" si="10"/>
        <v>4.172748795840679</v>
      </c>
      <c r="L71" s="74">
        <f t="shared" si="11"/>
        <v>10896.742432320745</v>
      </c>
    </row>
    <row r="72" spans="1:12" x14ac:dyDescent="0.25">
      <c r="A72" s="74">
        <v>290</v>
      </c>
      <c r="B72" s="75">
        <v>0</v>
      </c>
      <c r="C72" s="74">
        <v>14.6321963651031</v>
      </c>
      <c r="D72" s="74">
        <v>0</v>
      </c>
      <c r="E72" s="51">
        <v>3.0717851209841398</v>
      </c>
      <c r="F72" s="74">
        <f t="shared" si="6"/>
        <v>0</v>
      </c>
      <c r="G72" s="76">
        <f t="shared" si="7"/>
        <v>14.6321963651031</v>
      </c>
      <c r="H72" s="76">
        <f t="shared" si="8"/>
        <v>0</v>
      </c>
      <c r="I72" s="74">
        <f t="shared" si="9"/>
        <v>3.0717851209841398</v>
      </c>
      <c r="K72" s="74">
        <f t="shared" si="10"/>
        <v>11.56041124411896</v>
      </c>
      <c r="L72" s="74">
        <f t="shared" si="11"/>
        <v>10908.302843564865</v>
      </c>
    </row>
    <row r="73" spans="1:12" x14ac:dyDescent="0.25">
      <c r="A73" s="74">
        <v>295</v>
      </c>
      <c r="B73" s="75">
        <v>0</v>
      </c>
      <c r="C73" s="74">
        <v>23.088586456757799</v>
      </c>
      <c r="D73" s="74">
        <v>0</v>
      </c>
      <c r="E73" s="51">
        <v>5.8294663451178501E-2</v>
      </c>
      <c r="F73" s="74">
        <f t="shared" si="6"/>
        <v>0</v>
      </c>
      <c r="G73" s="76">
        <f t="shared" si="7"/>
        <v>23.088586456757799</v>
      </c>
      <c r="H73" s="76">
        <f t="shared" si="8"/>
        <v>0</v>
      </c>
      <c r="I73" s="74">
        <f t="shared" si="9"/>
        <v>5.8294663451178501E-2</v>
      </c>
      <c r="K73" s="74">
        <f t="shared" si="10"/>
        <v>23.03029179330662</v>
      </c>
      <c r="L73" s="74">
        <f t="shared" si="11"/>
        <v>10931.333135358171</v>
      </c>
    </row>
    <row r="74" spans="1:12" x14ac:dyDescent="0.25">
      <c r="A74" s="74">
        <v>300</v>
      </c>
      <c r="B74" s="75">
        <v>0</v>
      </c>
      <c r="C74" s="74">
        <v>34.291182060437798</v>
      </c>
      <c r="D74" s="74">
        <v>0</v>
      </c>
      <c r="E74" s="51">
        <v>0</v>
      </c>
      <c r="F74" s="74">
        <f t="shared" si="6"/>
        <v>0</v>
      </c>
      <c r="G74" s="76">
        <f t="shared" si="7"/>
        <v>34.291182060437798</v>
      </c>
      <c r="H74" s="76">
        <f t="shared" si="8"/>
        <v>0</v>
      </c>
      <c r="I74" s="74">
        <f t="shared" si="9"/>
        <v>0</v>
      </c>
      <c r="K74" s="74">
        <f t="shared" si="10"/>
        <v>34.291182060437798</v>
      </c>
      <c r="L74" s="74">
        <f t="shared" si="11"/>
        <v>10965.624317418609</v>
      </c>
    </row>
    <row r="75" spans="1:12" x14ac:dyDescent="0.25">
      <c r="A75" s="74">
        <v>305</v>
      </c>
      <c r="B75" s="75">
        <v>0</v>
      </c>
      <c r="C75" s="74">
        <v>42.305127540550203</v>
      </c>
      <c r="D75" s="74">
        <v>0</v>
      </c>
      <c r="E75" s="51">
        <v>0</v>
      </c>
      <c r="F75" s="74">
        <f t="shared" si="6"/>
        <v>0</v>
      </c>
      <c r="G75" s="76">
        <f t="shared" si="7"/>
        <v>42.305127540550203</v>
      </c>
      <c r="H75" s="76">
        <f t="shared" si="8"/>
        <v>0</v>
      </c>
      <c r="I75" s="74">
        <f t="shared" si="9"/>
        <v>0</v>
      </c>
      <c r="K75" s="74">
        <f t="shared" si="10"/>
        <v>42.305127540550203</v>
      </c>
      <c r="L75" s="74">
        <f t="shared" si="11"/>
        <v>11007.92944495916</v>
      </c>
    </row>
    <row r="76" spans="1:12" x14ac:dyDescent="0.25">
      <c r="A76" s="74">
        <v>310</v>
      </c>
      <c r="B76" s="75">
        <v>0</v>
      </c>
      <c r="C76" s="74">
        <v>50.757731397199798</v>
      </c>
      <c r="D76" s="74">
        <v>0</v>
      </c>
      <c r="E76" s="51">
        <v>0</v>
      </c>
      <c r="F76" s="74">
        <f t="shared" si="6"/>
        <v>0</v>
      </c>
      <c r="G76" s="76">
        <f t="shared" si="7"/>
        <v>50.757731397199798</v>
      </c>
      <c r="H76" s="76">
        <f t="shared" si="8"/>
        <v>0</v>
      </c>
      <c r="I76" s="74">
        <f t="shared" si="9"/>
        <v>0</v>
      </c>
      <c r="K76" s="74">
        <f t="shared" si="10"/>
        <v>50.757731397199798</v>
      </c>
      <c r="L76" s="74">
        <f t="shared" si="11"/>
        <v>11058.687176356359</v>
      </c>
    </row>
    <row r="77" spans="1:12" x14ac:dyDescent="0.25">
      <c r="A77" s="74">
        <v>315</v>
      </c>
      <c r="B77" s="75">
        <v>0</v>
      </c>
      <c r="C77" s="74">
        <v>52.713150327393798</v>
      </c>
      <c r="D77" s="74">
        <v>0</v>
      </c>
      <c r="E77" s="51">
        <v>0</v>
      </c>
      <c r="F77" s="74">
        <f t="shared" si="6"/>
        <v>0</v>
      </c>
      <c r="G77" s="76">
        <f t="shared" si="7"/>
        <v>52.713150327393798</v>
      </c>
      <c r="H77" s="76">
        <f t="shared" si="8"/>
        <v>0</v>
      </c>
      <c r="I77" s="74">
        <f t="shared" si="9"/>
        <v>0</v>
      </c>
      <c r="K77" s="74">
        <f t="shared" si="10"/>
        <v>52.713150327393798</v>
      </c>
      <c r="L77" s="74">
        <f t="shared" si="11"/>
        <v>11111.400326683754</v>
      </c>
    </row>
    <row r="78" spans="1:12" x14ac:dyDescent="0.25">
      <c r="A78" s="74">
        <v>320</v>
      </c>
      <c r="B78" s="75">
        <v>0</v>
      </c>
      <c r="C78" s="74">
        <v>56.5167742764216</v>
      </c>
      <c r="D78" s="74">
        <v>0</v>
      </c>
      <c r="E78" s="51">
        <v>0</v>
      </c>
      <c r="F78" s="74">
        <f t="shared" ref="F78:F102" si="12">B78*N$4</f>
        <v>0</v>
      </c>
      <c r="G78" s="76">
        <f t="shared" ref="G78:G102" si="13">C78*N$5</f>
        <v>56.5167742764216</v>
      </c>
      <c r="H78" s="76">
        <f t="shared" ref="H78:H102" si="14">D78*N$6</f>
        <v>0</v>
      </c>
      <c r="I78" s="74">
        <f t="shared" ref="I78:I102" si="15">E78*N$7</f>
        <v>0</v>
      </c>
      <c r="K78" s="74">
        <f t="shared" ref="K78:K102" si="16">F78+G78+H78-I78</f>
        <v>56.5167742764216</v>
      </c>
      <c r="L78" s="74">
        <f t="shared" ref="L78:L102" si="17">K78+L77</f>
        <v>11167.917100960176</v>
      </c>
    </row>
    <row r="79" spans="1:12" x14ac:dyDescent="0.25">
      <c r="A79" s="74">
        <v>325</v>
      </c>
      <c r="B79" s="75">
        <v>0</v>
      </c>
      <c r="C79" s="74">
        <v>58.917324392705503</v>
      </c>
      <c r="D79" s="74">
        <v>0</v>
      </c>
      <c r="E79" s="51">
        <v>0</v>
      </c>
      <c r="F79" s="74">
        <f t="shared" si="12"/>
        <v>0</v>
      </c>
      <c r="G79" s="76">
        <f t="shared" si="13"/>
        <v>58.917324392705503</v>
      </c>
      <c r="H79" s="76">
        <f t="shared" si="14"/>
        <v>0</v>
      </c>
      <c r="I79" s="74">
        <f t="shared" si="15"/>
        <v>0</v>
      </c>
      <c r="K79" s="74">
        <f t="shared" si="16"/>
        <v>58.917324392705503</v>
      </c>
      <c r="L79" s="74">
        <f t="shared" si="17"/>
        <v>11226.834425352881</v>
      </c>
    </row>
    <row r="80" spans="1:12" x14ac:dyDescent="0.25">
      <c r="A80" s="74">
        <v>330</v>
      </c>
      <c r="B80" s="75">
        <v>0</v>
      </c>
      <c r="C80" s="74">
        <v>63.377614218786199</v>
      </c>
      <c r="D80" s="74">
        <v>0</v>
      </c>
      <c r="E80" s="51">
        <v>0</v>
      </c>
      <c r="F80" s="74">
        <f t="shared" si="12"/>
        <v>0</v>
      </c>
      <c r="G80" s="76">
        <f t="shared" si="13"/>
        <v>63.377614218786199</v>
      </c>
      <c r="H80" s="76">
        <f t="shared" si="14"/>
        <v>0</v>
      </c>
      <c r="I80" s="74">
        <f t="shared" si="15"/>
        <v>0</v>
      </c>
      <c r="K80" s="74">
        <f t="shared" si="16"/>
        <v>63.377614218786199</v>
      </c>
      <c r="L80" s="74">
        <f t="shared" si="17"/>
        <v>11290.212039571667</v>
      </c>
    </row>
    <row r="81" spans="1:12" x14ac:dyDescent="0.25">
      <c r="A81" s="74">
        <v>335</v>
      </c>
      <c r="B81" s="75">
        <v>0</v>
      </c>
      <c r="C81" s="74">
        <v>64.368207800234401</v>
      </c>
      <c r="D81" s="74">
        <v>0</v>
      </c>
      <c r="E81" s="51">
        <v>0</v>
      </c>
      <c r="F81" s="74">
        <f t="shared" si="12"/>
        <v>0</v>
      </c>
      <c r="G81" s="76">
        <f t="shared" si="13"/>
        <v>64.368207800234401</v>
      </c>
      <c r="H81" s="76">
        <f t="shared" si="14"/>
        <v>0</v>
      </c>
      <c r="I81" s="74">
        <f t="shared" si="15"/>
        <v>0</v>
      </c>
      <c r="K81" s="74">
        <f t="shared" si="16"/>
        <v>64.368207800234401</v>
      </c>
      <c r="L81" s="74">
        <f t="shared" si="17"/>
        <v>11354.580247371901</v>
      </c>
    </row>
    <row r="82" spans="1:12" x14ac:dyDescent="0.25">
      <c r="A82" s="74">
        <v>340</v>
      </c>
      <c r="B82" s="75">
        <v>0</v>
      </c>
      <c r="C82" s="74">
        <v>66.490554179315495</v>
      </c>
      <c r="D82" s="74">
        <v>0</v>
      </c>
      <c r="E82" s="51">
        <v>0</v>
      </c>
      <c r="F82" s="74">
        <f t="shared" si="12"/>
        <v>0</v>
      </c>
      <c r="G82" s="76">
        <f t="shared" si="13"/>
        <v>66.490554179315495</v>
      </c>
      <c r="H82" s="76">
        <f t="shared" si="14"/>
        <v>0</v>
      </c>
      <c r="I82" s="74">
        <f t="shared" si="15"/>
        <v>0</v>
      </c>
      <c r="K82" s="74">
        <f t="shared" si="16"/>
        <v>66.490554179315495</v>
      </c>
      <c r="L82" s="74">
        <f t="shared" si="17"/>
        <v>11421.070801551217</v>
      </c>
    </row>
    <row r="83" spans="1:12" x14ac:dyDescent="0.25">
      <c r="A83" s="74">
        <v>345</v>
      </c>
      <c r="B83" s="75">
        <v>0</v>
      </c>
      <c r="C83" s="74">
        <v>72.059747219016103</v>
      </c>
      <c r="D83" s="74">
        <v>0</v>
      </c>
      <c r="E83" s="51">
        <v>0</v>
      </c>
      <c r="F83" s="74">
        <f t="shared" si="12"/>
        <v>0</v>
      </c>
      <c r="G83" s="76">
        <f t="shared" si="13"/>
        <v>72.059747219016103</v>
      </c>
      <c r="H83" s="76">
        <f t="shared" si="14"/>
        <v>0</v>
      </c>
      <c r="I83" s="74">
        <f t="shared" si="15"/>
        <v>0</v>
      </c>
      <c r="K83" s="74">
        <f t="shared" si="16"/>
        <v>72.059747219016103</v>
      </c>
      <c r="L83" s="74">
        <f t="shared" si="17"/>
        <v>11493.130548770234</v>
      </c>
    </row>
    <row r="84" spans="1:12" x14ac:dyDescent="0.25">
      <c r="A84" s="74">
        <v>350</v>
      </c>
      <c r="B84" s="75">
        <v>0</v>
      </c>
      <c r="C84" s="74">
        <v>68.023736841555504</v>
      </c>
      <c r="D84" s="74">
        <v>0</v>
      </c>
      <c r="E84" s="51">
        <v>0</v>
      </c>
      <c r="F84" s="74">
        <f t="shared" si="12"/>
        <v>0</v>
      </c>
      <c r="G84" s="76">
        <f t="shared" si="13"/>
        <v>68.023736841555504</v>
      </c>
      <c r="H84" s="76">
        <f t="shared" si="14"/>
        <v>0</v>
      </c>
      <c r="I84" s="74">
        <f t="shared" si="15"/>
        <v>0</v>
      </c>
      <c r="K84" s="74">
        <f t="shared" si="16"/>
        <v>68.023736841555504</v>
      </c>
      <c r="L84" s="74">
        <f t="shared" si="17"/>
        <v>11561.154285611789</v>
      </c>
    </row>
    <row r="85" spans="1:12" x14ac:dyDescent="0.25">
      <c r="A85" s="74">
        <v>355</v>
      </c>
      <c r="B85" s="75">
        <v>0</v>
      </c>
      <c r="C85" s="74">
        <v>64.057005334248004</v>
      </c>
      <c r="D85" s="74">
        <v>0</v>
      </c>
      <c r="E85" s="51">
        <v>0</v>
      </c>
      <c r="F85" s="74">
        <f t="shared" si="12"/>
        <v>0</v>
      </c>
      <c r="G85" s="76">
        <f t="shared" si="13"/>
        <v>64.057005334248004</v>
      </c>
      <c r="H85" s="76">
        <f t="shared" si="14"/>
        <v>0</v>
      </c>
      <c r="I85" s="74">
        <f t="shared" si="15"/>
        <v>0</v>
      </c>
      <c r="K85" s="74">
        <f t="shared" si="16"/>
        <v>64.057005334248004</v>
      </c>
      <c r="L85" s="74">
        <f t="shared" si="17"/>
        <v>11625.211290946036</v>
      </c>
    </row>
    <row r="86" spans="1:12" x14ac:dyDescent="0.25">
      <c r="A86" s="74">
        <v>360</v>
      </c>
      <c r="B86" s="75">
        <v>0</v>
      </c>
      <c r="C86" s="74">
        <v>58.611432017815702</v>
      </c>
      <c r="D86" s="74">
        <v>0</v>
      </c>
      <c r="E86" s="51">
        <v>0</v>
      </c>
      <c r="F86" s="74">
        <f t="shared" si="12"/>
        <v>0</v>
      </c>
      <c r="G86" s="76">
        <f t="shared" si="13"/>
        <v>58.611432017815702</v>
      </c>
      <c r="H86" s="76">
        <f t="shared" si="14"/>
        <v>0</v>
      </c>
      <c r="I86" s="74">
        <f t="shared" si="15"/>
        <v>0</v>
      </c>
      <c r="K86" s="74">
        <f t="shared" si="16"/>
        <v>58.611432017815702</v>
      </c>
      <c r="L86" s="74">
        <f t="shared" si="17"/>
        <v>11683.822722963851</v>
      </c>
    </row>
    <row r="87" spans="1:12" x14ac:dyDescent="0.25">
      <c r="A87" s="74">
        <v>365</v>
      </c>
      <c r="B87" s="75">
        <v>0</v>
      </c>
      <c r="C87" s="74">
        <v>51.159852263756797</v>
      </c>
      <c r="D87" s="74">
        <v>0</v>
      </c>
      <c r="E87" s="51">
        <v>2.7196733442023401E-2</v>
      </c>
      <c r="F87" s="74">
        <f t="shared" si="12"/>
        <v>0</v>
      </c>
      <c r="G87" s="76">
        <f t="shared" si="13"/>
        <v>51.159852263756797</v>
      </c>
      <c r="H87" s="76">
        <f t="shared" si="14"/>
        <v>0</v>
      </c>
      <c r="I87" s="74">
        <f t="shared" si="15"/>
        <v>2.7196733442023401E-2</v>
      </c>
      <c r="K87" s="74">
        <f t="shared" si="16"/>
        <v>51.132655530314771</v>
      </c>
      <c r="L87" s="74">
        <f t="shared" si="17"/>
        <v>11734.955378494165</v>
      </c>
    </row>
    <row r="88" spans="1:12" x14ac:dyDescent="0.25">
      <c r="A88" s="74">
        <v>370</v>
      </c>
      <c r="B88" s="75">
        <v>0</v>
      </c>
      <c r="C88" s="74">
        <v>45.424534367355697</v>
      </c>
      <c r="D88" s="74">
        <v>0</v>
      </c>
      <c r="E88" s="51">
        <v>0.40227968595336999</v>
      </c>
      <c r="F88" s="74">
        <f t="shared" si="12"/>
        <v>0</v>
      </c>
      <c r="G88" s="76">
        <f t="shared" si="13"/>
        <v>45.424534367355697</v>
      </c>
      <c r="H88" s="76">
        <f t="shared" si="14"/>
        <v>0</v>
      </c>
      <c r="I88" s="74">
        <f t="shared" si="15"/>
        <v>0.40227968595336999</v>
      </c>
      <c r="K88" s="74">
        <f t="shared" si="16"/>
        <v>45.02225468140233</v>
      </c>
      <c r="L88" s="74">
        <f t="shared" si="17"/>
        <v>11779.977633175567</v>
      </c>
    </row>
    <row r="89" spans="1:12" x14ac:dyDescent="0.25">
      <c r="A89" s="74">
        <v>375</v>
      </c>
      <c r="B89" s="75">
        <v>0</v>
      </c>
      <c r="C89" s="74">
        <v>44.932264980142897</v>
      </c>
      <c r="D89" s="74">
        <v>0</v>
      </c>
      <c r="E89" s="51">
        <v>2.6641921862396001E-2</v>
      </c>
      <c r="F89" s="74">
        <f t="shared" si="12"/>
        <v>0</v>
      </c>
      <c r="G89" s="76">
        <f t="shared" si="13"/>
        <v>44.932264980142897</v>
      </c>
      <c r="H89" s="76">
        <f t="shared" si="14"/>
        <v>0</v>
      </c>
      <c r="I89" s="74">
        <f t="shared" si="15"/>
        <v>2.6641921862396001E-2</v>
      </c>
      <c r="K89" s="74">
        <f t="shared" si="16"/>
        <v>44.905623058280497</v>
      </c>
      <c r="L89" s="74">
        <f t="shared" si="17"/>
        <v>11824.883256233848</v>
      </c>
    </row>
    <row r="90" spans="1:12" x14ac:dyDescent="0.25">
      <c r="A90" s="74">
        <v>380</v>
      </c>
      <c r="B90" s="75">
        <v>0</v>
      </c>
      <c r="C90" s="74">
        <v>37.193793531815103</v>
      </c>
      <c r="D90" s="74">
        <v>0</v>
      </c>
      <c r="E90" s="51">
        <v>0</v>
      </c>
      <c r="F90" s="74">
        <f t="shared" si="12"/>
        <v>0</v>
      </c>
      <c r="G90" s="76">
        <f t="shared" si="13"/>
        <v>37.193793531815103</v>
      </c>
      <c r="H90" s="76">
        <f t="shared" si="14"/>
        <v>0</v>
      </c>
      <c r="I90" s="74">
        <f t="shared" si="15"/>
        <v>0</v>
      </c>
      <c r="K90" s="74">
        <f t="shared" si="16"/>
        <v>37.193793531815103</v>
      </c>
      <c r="L90" s="74">
        <f t="shared" si="17"/>
        <v>11862.077049765663</v>
      </c>
    </row>
    <row r="91" spans="1:12" x14ac:dyDescent="0.25">
      <c r="A91" s="74">
        <v>385</v>
      </c>
      <c r="B91" s="75">
        <v>0</v>
      </c>
      <c r="C91" s="74">
        <v>30.413261036617101</v>
      </c>
      <c r="D91" s="74">
        <v>0</v>
      </c>
      <c r="E91" s="51">
        <v>0</v>
      </c>
      <c r="F91" s="74">
        <f t="shared" si="12"/>
        <v>0</v>
      </c>
      <c r="G91" s="76">
        <f t="shared" si="13"/>
        <v>30.413261036617101</v>
      </c>
      <c r="H91" s="76">
        <f t="shared" si="14"/>
        <v>0</v>
      </c>
      <c r="I91" s="74">
        <f t="shared" si="15"/>
        <v>0</v>
      </c>
      <c r="K91" s="74">
        <f t="shared" si="16"/>
        <v>30.413261036617101</v>
      </c>
      <c r="L91" s="74">
        <f t="shared" si="17"/>
        <v>11892.490310802281</v>
      </c>
    </row>
    <row r="92" spans="1:12" x14ac:dyDescent="0.25">
      <c r="A92" s="74">
        <v>390</v>
      </c>
      <c r="B92" s="75">
        <v>0</v>
      </c>
      <c r="C92" s="74">
        <v>24.302395270413601</v>
      </c>
      <c r="D92" s="74">
        <v>0</v>
      </c>
      <c r="E92" s="51">
        <v>0</v>
      </c>
      <c r="F92" s="74">
        <f t="shared" si="12"/>
        <v>0</v>
      </c>
      <c r="G92" s="76">
        <f t="shared" si="13"/>
        <v>24.302395270413601</v>
      </c>
      <c r="H92" s="76">
        <f t="shared" si="14"/>
        <v>0</v>
      </c>
      <c r="I92" s="74">
        <f t="shared" si="15"/>
        <v>0</v>
      </c>
      <c r="K92" s="74">
        <f t="shared" si="16"/>
        <v>24.302395270413601</v>
      </c>
      <c r="L92" s="74">
        <f t="shared" si="17"/>
        <v>11916.792706072694</v>
      </c>
    </row>
    <row r="93" spans="1:12" x14ac:dyDescent="0.25">
      <c r="A93" s="74">
        <v>395</v>
      </c>
      <c r="B93" s="75">
        <v>0</v>
      </c>
      <c r="C93" s="74">
        <v>18.9447530121307</v>
      </c>
      <c r="D93" s="74">
        <v>0</v>
      </c>
      <c r="E93" s="51">
        <v>0</v>
      </c>
      <c r="F93" s="74">
        <f t="shared" si="12"/>
        <v>0</v>
      </c>
      <c r="G93" s="76">
        <f t="shared" si="13"/>
        <v>18.9447530121307</v>
      </c>
      <c r="H93" s="76">
        <f t="shared" si="14"/>
        <v>0</v>
      </c>
      <c r="I93" s="74">
        <f t="shared" si="15"/>
        <v>0</v>
      </c>
      <c r="K93" s="74">
        <f t="shared" si="16"/>
        <v>18.9447530121307</v>
      </c>
      <c r="L93" s="74">
        <f t="shared" si="17"/>
        <v>11935.737459084825</v>
      </c>
    </row>
    <row r="94" spans="1:12" x14ac:dyDescent="0.25">
      <c r="A94" s="74">
        <v>400</v>
      </c>
      <c r="B94" s="75">
        <v>0</v>
      </c>
      <c r="C94" s="74">
        <v>19.841220902915399</v>
      </c>
      <c r="D94" s="74">
        <v>0</v>
      </c>
      <c r="E94" s="51">
        <v>0</v>
      </c>
      <c r="F94" s="74">
        <f t="shared" si="12"/>
        <v>0</v>
      </c>
      <c r="G94" s="76">
        <f t="shared" si="13"/>
        <v>19.841220902915399</v>
      </c>
      <c r="H94" s="76">
        <f t="shared" si="14"/>
        <v>0</v>
      </c>
      <c r="I94" s="74">
        <f t="shared" si="15"/>
        <v>0</v>
      </c>
      <c r="K94" s="74">
        <f t="shared" si="16"/>
        <v>19.841220902915399</v>
      </c>
      <c r="L94" s="74">
        <f t="shared" si="17"/>
        <v>11955.578679987741</v>
      </c>
    </row>
    <row r="95" spans="1:12" x14ac:dyDescent="0.25">
      <c r="A95" s="74">
        <v>405</v>
      </c>
      <c r="B95" s="75">
        <v>0</v>
      </c>
      <c r="C95" s="74">
        <v>16.8166429670434</v>
      </c>
      <c r="D95" s="74">
        <v>0</v>
      </c>
      <c r="E95" s="51">
        <v>0</v>
      </c>
      <c r="F95" s="74">
        <f t="shared" si="12"/>
        <v>0</v>
      </c>
      <c r="G95" s="76">
        <f t="shared" si="13"/>
        <v>16.8166429670434</v>
      </c>
      <c r="H95" s="76">
        <f t="shared" si="14"/>
        <v>0</v>
      </c>
      <c r="I95" s="74">
        <f t="shared" si="15"/>
        <v>0</v>
      </c>
      <c r="K95" s="74">
        <f t="shared" si="16"/>
        <v>16.8166429670434</v>
      </c>
      <c r="L95" s="74">
        <f t="shared" si="17"/>
        <v>11972.395322954784</v>
      </c>
    </row>
    <row r="96" spans="1:12" x14ac:dyDescent="0.25">
      <c r="A96" s="74">
        <v>410</v>
      </c>
      <c r="B96" s="75">
        <v>0</v>
      </c>
      <c r="C96" s="74">
        <v>20.069197931810301</v>
      </c>
      <c r="D96" s="74">
        <v>0</v>
      </c>
      <c r="E96" s="51">
        <v>0</v>
      </c>
      <c r="F96" s="74">
        <f t="shared" si="12"/>
        <v>0</v>
      </c>
      <c r="G96" s="76">
        <f t="shared" si="13"/>
        <v>20.069197931810301</v>
      </c>
      <c r="H96" s="76">
        <f t="shared" si="14"/>
        <v>0</v>
      </c>
      <c r="I96" s="74">
        <f t="shared" si="15"/>
        <v>0</v>
      </c>
      <c r="K96" s="74">
        <f t="shared" si="16"/>
        <v>20.069197931810301</v>
      </c>
      <c r="L96" s="74">
        <f t="shared" si="17"/>
        <v>11992.464520886595</v>
      </c>
    </row>
    <row r="97" spans="1:12" x14ac:dyDescent="0.25">
      <c r="A97" s="74">
        <v>415</v>
      </c>
      <c r="B97" s="75">
        <v>0</v>
      </c>
      <c r="C97" s="74">
        <v>19.9427980785002</v>
      </c>
      <c r="D97" s="74">
        <v>0</v>
      </c>
      <c r="E97" s="51">
        <v>0</v>
      </c>
      <c r="F97" s="74">
        <f t="shared" si="12"/>
        <v>0</v>
      </c>
      <c r="G97" s="76">
        <f t="shared" si="13"/>
        <v>19.9427980785002</v>
      </c>
      <c r="H97" s="76">
        <f t="shared" si="14"/>
        <v>0</v>
      </c>
      <c r="I97" s="74">
        <f t="shared" si="15"/>
        <v>0</v>
      </c>
      <c r="K97" s="74">
        <f t="shared" si="16"/>
        <v>19.9427980785002</v>
      </c>
      <c r="L97" s="74">
        <f t="shared" si="17"/>
        <v>12012.407318965095</v>
      </c>
    </row>
    <row r="98" spans="1:12" x14ac:dyDescent="0.25">
      <c r="A98" s="74">
        <v>420</v>
      </c>
      <c r="B98" s="75">
        <v>0</v>
      </c>
      <c r="C98" s="74">
        <v>24.007398801375601</v>
      </c>
      <c r="D98" s="74">
        <v>0</v>
      </c>
      <c r="E98" s="51">
        <v>0</v>
      </c>
      <c r="F98" s="74">
        <f t="shared" si="12"/>
        <v>0</v>
      </c>
      <c r="G98" s="76">
        <f t="shared" si="13"/>
        <v>24.007398801375601</v>
      </c>
      <c r="H98" s="76">
        <f t="shared" si="14"/>
        <v>0</v>
      </c>
      <c r="I98" s="74">
        <f t="shared" si="15"/>
        <v>0</v>
      </c>
      <c r="K98" s="74">
        <f t="shared" si="16"/>
        <v>24.007398801375601</v>
      </c>
      <c r="L98" s="74">
        <f t="shared" si="17"/>
        <v>12036.414717766471</v>
      </c>
    </row>
    <row r="99" spans="1:12" x14ac:dyDescent="0.25">
      <c r="A99" s="74">
        <v>425</v>
      </c>
      <c r="B99" s="75">
        <v>0</v>
      </c>
      <c r="C99" s="74">
        <v>22.808930382513001</v>
      </c>
      <c r="D99" s="74">
        <v>0</v>
      </c>
      <c r="E99" s="51">
        <v>0</v>
      </c>
      <c r="F99" s="74">
        <f t="shared" si="12"/>
        <v>0</v>
      </c>
      <c r="G99" s="76">
        <f t="shared" si="13"/>
        <v>22.808930382513001</v>
      </c>
      <c r="H99" s="76">
        <f t="shared" si="14"/>
        <v>0</v>
      </c>
      <c r="I99" s="74">
        <f t="shared" si="15"/>
        <v>0</v>
      </c>
      <c r="K99" s="74">
        <f t="shared" si="16"/>
        <v>22.808930382513001</v>
      </c>
      <c r="L99" s="74">
        <f t="shared" si="17"/>
        <v>12059.223648148984</v>
      </c>
    </row>
    <row r="100" spans="1:12" x14ac:dyDescent="0.25">
      <c r="A100" s="74">
        <v>430</v>
      </c>
      <c r="B100" s="75">
        <v>0</v>
      </c>
      <c r="C100" s="74">
        <v>24.172836760270702</v>
      </c>
      <c r="D100" s="74">
        <v>0</v>
      </c>
      <c r="E100" s="51">
        <v>0</v>
      </c>
      <c r="F100" s="74">
        <f t="shared" si="12"/>
        <v>0</v>
      </c>
      <c r="G100" s="76">
        <f t="shared" si="13"/>
        <v>24.172836760270702</v>
      </c>
      <c r="H100" s="76">
        <f t="shared" si="14"/>
        <v>0</v>
      </c>
      <c r="I100" s="74">
        <f t="shared" si="15"/>
        <v>0</v>
      </c>
      <c r="K100" s="74">
        <f t="shared" si="16"/>
        <v>24.172836760270702</v>
      </c>
      <c r="L100" s="74">
        <f t="shared" si="17"/>
        <v>12083.396484909254</v>
      </c>
    </row>
    <row r="101" spans="1:12" x14ac:dyDescent="0.25">
      <c r="A101" s="74">
        <v>435</v>
      </c>
      <c r="B101" s="75">
        <v>0</v>
      </c>
      <c r="C101" s="74">
        <v>14.259680579035701</v>
      </c>
      <c r="D101" s="74">
        <v>0</v>
      </c>
      <c r="E101" s="51">
        <v>0</v>
      </c>
      <c r="F101" s="74">
        <f t="shared" si="12"/>
        <v>0</v>
      </c>
      <c r="G101" s="76">
        <f t="shared" si="13"/>
        <v>14.259680579035701</v>
      </c>
      <c r="H101" s="76">
        <f t="shared" si="14"/>
        <v>0</v>
      </c>
      <c r="I101" s="74">
        <f t="shared" si="15"/>
        <v>0</v>
      </c>
      <c r="K101" s="74">
        <f t="shared" si="16"/>
        <v>14.259680579035701</v>
      </c>
      <c r="L101" s="74">
        <f t="shared" si="17"/>
        <v>12097.65616548829</v>
      </c>
    </row>
    <row r="102" spans="1:12" x14ac:dyDescent="0.25">
      <c r="A102" s="74">
        <v>436.46100000000001</v>
      </c>
      <c r="B102" s="75">
        <v>0</v>
      </c>
      <c r="C102" s="74">
        <v>3.1486255423961</v>
      </c>
      <c r="D102" s="74">
        <v>0</v>
      </c>
      <c r="E102" s="51">
        <v>0</v>
      </c>
      <c r="F102" s="74">
        <f t="shared" si="12"/>
        <v>0</v>
      </c>
      <c r="G102" s="76">
        <f t="shared" si="13"/>
        <v>3.1486255423961</v>
      </c>
      <c r="H102" s="76">
        <f t="shared" si="14"/>
        <v>0</v>
      </c>
      <c r="I102" s="74">
        <f t="shared" si="15"/>
        <v>0</v>
      </c>
      <c r="K102" s="74">
        <f t="shared" si="16"/>
        <v>3.1486255423961</v>
      </c>
      <c r="L102" s="74">
        <f t="shared" si="17"/>
        <v>12100.804791030687</v>
      </c>
    </row>
  </sheetData>
  <conditionalFormatting sqref="B12:C12 F12">
    <cfRule type="cellIs" dxfId="15" priority="1" stopIfTrue="1" operator="equal">
      <formula>0</formula>
    </cfRule>
  </conditionalFormatting>
  <pageMargins left="0.75" right="0.75" top="1" bottom="1" header="0" footer="0"/>
  <pageSetup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02"/>
  <sheetViews>
    <sheetView workbookViewId="0">
      <selection activeCell="A2" sqref="A2"/>
    </sheetView>
  </sheetViews>
  <sheetFormatPr baseColWidth="10" defaultColWidth="11.5546875" defaultRowHeight="13.8" x14ac:dyDescent="0.3"/>
  <cols>
    <col min="1" max="1" width="15.77734375" style="74" customWidth="1"/>
    <col min="2" max="2" width="12.77734375" style="76" customWidth="1"/>
    <col min="3" max="3" width="12.88671875" style="74" customWidth="1"/>
    <col min="4" max="4" width="11.5546875" style="74" customWidth="1"/>
    <col min="5" max="5" width="11.5546875" style="51" customWidth="1"/>
    <col min="6" max="6" width="12.77734375" style="74" customWidth="1"/>
    <col min="7" max="7" width="12.44140625" style="74" bestFit="1" customWidth="1"/>
    <col min="8" max="8" width="13.77734375" style="51" customWidth="1"/>
    <col min="9" max="9" width="13.77734375" style="74" customWidth="1"/>
    <col min="10" max="10" width="15" style="51" customWidth="1"/>
    <col min="11" max="11" width="11.5546875" style="83" customWidth="1"/>
    <col min="12" max="12" width="11" style="51" customWidth="1"/>
    <col min="13" max="13" width="11.77734375" style="51" customWidth="1"/>
    <col min="14" max="14" width="15" style="51" customWidth="1"/>
    <col min="15" max="15" width="15.21875" style="51" customWidth="1"/>
    <col min="16" max="16" width="14.5546875" style="51" customWidth="1"/>
    <col min="17" max="17" width="13.77734375" style="51" customWidth="1"/>
    <col min="18" max="18" width="11.5546875" style="51" customWidth="1"/>
    <col min="19" max="19" width="16" style="51" customWidth="1"/>
    <col min="20" max="20" width="11.5546875" style="51" customWidth="1"/>
    <col min="21" max="16384" width="11.5546875" style="51"/>
  </cols>
  <sheetData>
    <row r="1" spans="1:19" ht="45" customHeight="1" x14ac:dyDescent="0.5">
      <c r="A1" s="48"/>
      <c r="B1" s="48"/>
      <c r="C1" s="49"/>
      <c r="D1" s="48"/>
      <c r="E1" s="48"/>
      <c r="F1" s="48"/>
      <c r="G1" s="48"/>
      <c r="H1" s="48"/>
      <c r="I1" s="48"/>
      <c r="J1" s="48"/>
      <c r="K1" s="80"/>
    </row>
    <row r="2" spans="1:19" ht="16.95" customHeight="1" x14ac:dyDescent="0.35">
      <c r="A2" s="8" t="s">
        <v>6</v>
      </c>
      <c r="B2" s="52"/>
      <c r="C2" s="53"/>
      <c r="D2" s="53"/>
      <c r="E2" s="53"/>
      <c r="F2" s="53"/>
      <c r="G2" s="53"/>
      <c r="H2" s="53"/>
      <c r="I2" s="53"/>
      <c r="J2" s="53"/>
      <c r="K2" s="80"/>
    </row>
    <row r="3" spans="1:19" ht="16.2" customHeight="1" x14ac:dyDescent="0.3">
      <c r="A3" s="153" t="s">
        <v>27</v>
      </c>
      <c r="B3" s="55"/>
      <c r="C3" s="56"/>
      <c r="D3" s="56"/>
      <c r="E3" s="56"/>
      <c r="F3" s="56"/>
      <c r="G3" s="56"/>
      <c r="H3" s="56"/>
      <c r="I3" s="56"/>
      <c r="J3" s="56"/>
      <c r="K3" s="80"/>
    </row>
    <row r="4" spans="1:19" ht="16.2" customHeight="1" x14ac:dyDescent="0.3">
      <c r="A4" s="55" t="s">
        <v>8</v>
      </c>
      <c r="B4" s="55" t="str">
        <f>Sammendrag!B4</f>
        <v>Granlien_andre</v>
      </c>
      <c r="C4" s="56"/>
      <c r="D4" s="56"/>
      <c r="E4" s="56"/>
      <c r="F4" s="56"/>
      <c r="G4" s="56"/>
      <c r="H4" s="56"/>
      <c r="I4" s="56"/>
      <c r="J4" s="56"/>
      <c r="K4" s="80"/>
    </row>
    <row r="5" spans="1:19" ht="15" customHeight="1" x14ac:dyDescent="0.3">
      <c r="A5" s="56"/>
      <c r="B5" s="56" t="str">
        <f>IF(Sammendrag!B5="","",Sammendrag!B5)</f>
        <v/>
      </c>
      <c r="C5" s="56"/>
      <c r="D5" s="56"/>
      <c r="E5" s="56"/>
      <c r="F5" s="56" t="str">
        <f>Sammendrag!F5</f>
        <v>Start profil:</v>
      </c>
      <c r="G5" s="56"/>
      <c r="H5" s="15">
        <f>Sammendrag!H5</f>
        <v>3.5</v>
      </c>
      <c r="I5" s="56"/>
      <c r="J5" s="56"/>
      <c r="K5" s="80"/>
    </row>
    <row r="6" spans="1:19" ht="15" customHeight="1" x14ac:dyDescent="0.3">
      <c r="A6" s="56"/>
      <c r="B6" s="56"/>
      <c r="C6" s="56"/>
      <c r="D6" s="56"/>
      <c r="E6" s="56"/>
      <c r="F6" s="56" t="str">
        <f>Sammendrag!F6</f>
        <v>Slutt profil:</v>
      </c>
      <c r="G6" s="56"/>
      <c r="H6" s="15">
        <f>Sammendrag!H6</f>
        <v>436.46100000000001</v>
      </c>
      <c r="I6" s="56"/>
      <c r="J6" s="56"/>
      <c r="K6" s="80"/>
    </row>
    <row r="7" spans="1:19" ht="15" customHeight="1" x14ac:dyDescent="0.3">
      <c r="A7" s="56"/>
      <c r="B7" s="56"/>
      <c r="C7" s="56"/>
      <c r="D7" s="56"/>
      <c r="E7" s="56"/>
      <c r="F7" s="56" t="str">
        <f>Sammendrag!F7</f>
        <v>Dato sist endret:</v>
      </c>
      <c r="G7" s="56"/>
      <c r="H7" s="58" t="str">
        <f>Sammendrag!H7</f>
        <v>5/19/2020 9:27:49 AM</v>
      </c>
      <c r="I7" s="56"/>
      <c r="J7" s="56"/>
      <c r="K7" s="80"/>
    </row>
    <row r="8" spans="1:19" ht="15" customHeight="1" x14ac:dyDescent="0.3">
      <c r="A8" s="56"/>
      <c r="B8" s="56"/>
      <c r="C8" s="56"/>
      <c r="D8" s="56"/>
      <c r="E8" s="56"/>
      <c r="F8" s="56"/>
      <c r="G8" s="56"/>
      <c r="H8" s="56"/>
      <c r="I8" s="56"/>
      <c r="J8" s="56"/>
      <c r="K8" s="80"/>
    </row>
    <row r="9" spans="1:19" ht="15" customHeight="1" x14ac:dyDescent="0.3">
      <c r="A9" s="44"/>
      <c r="B9" s="44"/>
      <c r="C9" s="44"/>
      <c r="D9" s="19"/>
      <c r="E9" s="44"/>
      <c r="F9" s="44"/>
      <c r="G9" s="19"/>
      <c r="H9" s="19"/>
      <c r="I9" s="19"/>
      <c r="J9" s="19"/>
      <c r="K9" s="80"/>
      <c r="L9" s="81"/>
      <c r="M9" s="82"/>
    </row>
    <row r="10" spans="1:19" ht="15" customHeight="1" x14ac:dyDescent="0.3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80"/>
      <c r="L10" s="81"/>
      <c r="M10" s="82"/>
    </row>
    <row r="11" spans="1:19" x14ac:dyDescent="0.3">
      <c r="A11" s="60"/>
      <c r="B11" s="61"/>
      <c r="C11" s="61"/>
      <c r="D11" s="61"/>
      <c r="E11" s="61"/>
      <c r="F11" s="61"/>
      <c r="G11" s="61"/>
      <c r="H11" s="61"/>
      <c r="I11" s="61"/>
      <c r="J11" s="61"/>
      <c r="L11" s="81"/>
      <c r="M11" s="82"/>
    </row>
    <row r="12" spans="1:19" ht="38.4" customHeight="1" thickBot="1" x14ac:dyDescent="0.35">
      <c r="A12" s="66" t="s">
        <v>25</v>
      </c>
      <c r="B12" s="129" t="s">
        <v>92</v>
      </c>
      <c r="C12" s="67" t="s">
        <v>14</v>
      </c>
      <c r="D12" s="67" t="s">
        <v>15</v>
      </c>
      <c r="E12" s="128" t="s">
        <v>18</v>
      </c>
      <c r="F12" s="129" t="s">
        <v>20</v>
      </c>
      <c r="G12" s="67" t="s">
        <v>21</v>
      </c>
      <c r="H12" s="67" t="s">
        <v>22</v>
      </c>
      <c r="I12" s="129" t="s">
        <v>23</v>
      </c>
      <c r="J12" s="129" t="s">
        <v>24</v>
      </c>
      <c r="L12" s="81"/>
      <c r="M12" s="82"/>
      <c r="O12" s="68"/>
      <c r="P12" s="68"/>
      <c r="Q12" s="68"/>
      <c r="R12" s="68"/>
      <c r="S12" s="68"/>
    </row>
    <row r="13" spans="1:19" ht="16.2" customHeight="1" thickTop="1" x14ac:dyDescent="0.3">
      <c r="A13" s="69" t="s">
        <v>26</v>
      </c>
      <c r="B13" s="71">
        <f ca="1">SUM([0]!Other_SoftSpot)</f>
        <v>0</v>
      </c>
      <c r="C13" s="71">
        <f ca="1">SUM([0]!Other_TopSoil)</f>
        <v>0</v>
      </c>
      <c r="D13" s="71">
        <f ca="1">SUM([0]!Other_Vegetation)</f>
        <v>0</v>
      </c>
      <c r="E13" s="71">
        <f ca="1">SUM([0]!Other_Sodding)</f>
        <v>0</v>
      </c>
      <c r="F13" s="71">
        <f ca="1">SUM([0]!Other_Landsc_Cut)</f>
        <v>0</v>
      </c>
      <c r="G13" s="71">
        <f ca="1">SUM([0]!Other_Landsc_Fill)</f>
        <v>0</v>
      </c>
      <c r="H13" s="71">
        <f ca="1">SUM([0]!Other_SideEdge_Fill)</f>
        <v>3788.9287733474525</v>
      </c>
      <c r="I13" s="71">
        <f ca="1">SUM([0]!Other_Rounding_Cut)</f>
        <v>0</v>
      </c>
      <c r="J13" s="70">
        <f ca="1">SUM([0]!Other_Rounding_Fill)</f>
        <v>0</v>
      </c>
      <c r="L13" s="81"/>
      <c r="M13" s="82"/>
      <c r="O13" s="68"/>
    </row>
    <row r="14" spans="1:19" x14ac:dyDescent="0.3">
      <c r="A14" s="74">
        <v>3.5</v>
      </c>
      <c r="B14" s="76">
        <v>0</v>
      </c>
      <c r="C14" s="74">
        <v>0</v>
      </c>
      <c r="D14" s="74">
        <v>0</v>
      </c>
      <c r="E14" s="51">
        <v>0</v>
      </c>
      <c r="F14" s="74">
        <v>0</v>
      </c>
      <c r="G14" s="74">
        <v>0</v>
      </c>
      <c r="H14" s="51">
        <v>0.59834645152293597</v>
      </c>
      <c r="I14" s="74">
        <v>0</v>
      </c>
      <c r="J14" s="51">
        <v>0</v>
      </c>
      <c r="L14" s="81"/>
      <c r="M14" s="82"/>
    </row>
    <row r="15" spans="1:19" x14ac:dyDescent="0.3">
      <c r="A15" s="74">
        <v>5</v>
      </c>
      <c r="B15" s="76">
        <v>0</v>
      </c>
      <c r="C15" s="74">
        <v>0</v>
      </c>
      <c r="D15" s="74">
        <v>0</v>
      </c>
      <c r="E15" s="51">
        <v>0</v>
      </c>
      <c r="F15" s="74">
        <v>0</v>
      </c>
      <c r="G15" s="74">
        <v>0</v>
      </c>
      <c r="H15" s="51">
        <v>1.9586128107235701</v>
      </c>
      <c r="I15" s="74">
        <v>0</v>
      </c>
      <c r="J15" s="51">
        <v>0</v>
      </c>
      <c r="L15" s="81"/>
      <c r="M15" s="82"/>
    </row>
    <row r="16" spans="1:19" x14ac:dyDescent="0.3">
      <c r="A16" s="74">
        <v>10</v>
      </c>
      <c r="B16" s="76">
        <v>0</v>
      </c>
      <c r="C16" s="74">
        <v>0</v>
      </c>
      <c r="D16" s="74">
        <v>0</v>
      </c>
      <c r="E16" s="51">
        <v>0</v>
      </c>
      <c r="F16" s="74">
        <v>0</v>
      </c>
      <c r="G16" s="74">
        <v>0</v>
      </c>
      <c r="H16" s="51">
        <v>1.81382738490635</v>
      </c>
      <c r="I16" s="74">
        <v>0</v>
      </c>
      <c r="J16" s="51">
        <v>0</v>
      </c>
      <c r="L16" s="81"/>
      <c r="M16" s="82"/>
    </row>
    <row r="17" spans="1:13" x14ac:dyDescent="0.3">
      <c r="A17" s="74">
        <v>15</v>
      </c>
      <c r="B17" s="76">
        <v>0</v>
      </c>
      <c r="C17" s="74">
        <v>0</v>
      </c>
      <c r="D17" s="74">
        <v>0</v>
      </c>
      <c r="E17" s="51">
        <v>0</v>
      </c>
      <c r="F17" s="74">
        <v>0</v>
      </c>
      <c r="G17" s="74">
        <v>0</v>
      </c>
      <c r="H17" s="51">
        <v>73.237029584882606</v>
      </c>
      <c r="I17" s="74">
        <v>0</v>
      </c>
      <c r="J17" s="51">
        <v>0</v>
      </c>
      <c r="L17" s="81"/>
      <c r="M17" s="82"/>
    </row>
    <row r="18" spans="1:13" x14ac:dyDescent="0.3">
      <c r="A18" s="74">
        <v>20</v>
      </c>
      <c r="B18" s="76">
        <v>0</v>
      </c>
      <c r="C18" s="74">
        <v>0</v>
      </c>
      <c r="D18" s="74">
        <v>0</v>
      </c>
      <c r="E18" s="51">
        <v>0</v>
      </c>
      <c r="F18" s="74">
        <v>0</v>
      </c>
      <c r="G18" s="74">
        <v>0</v>
      </c>
      <c r="H18" s="51">
        <v>638.32617836874499</v>
      </c>
      <c r="I18" s="74">
        <v>0</v>
      </c>
      <c r="J18" s="51">
        <v>0</v>
      </c>
    </row>
    <row r="19" spans="1:13" x14ac:dyDescent="0.3">
      <c r="A19" s="74">
        <v>25</v>
      </c>
      <c r="B19" s="76">
        <v>0</v>
      </c>
      <c r="C19" s="74">
        <v>0</v>
      </c>
      <c r="D19" s="74">
        <v>0</v>
      </c>
      <c r="E19" s="51">
        <v>0</v>
      </c>
      <c r="F19" s="74">
        <v>0</v>
      </c>
      <c r="G19" s="74">
        <v>0</v>
      </c>
      <c r="H19" s="51">
        <v>158.12598354511599</v>
      </c>
      <c r="I19" s="74">
        <v>0</v>
      </c>
      <c r="J19" s="51">
        <v>0</v>
      </c>
    </row>
    <row r="20" spans="1:13" x14ac:dyDescent="0.3">
      <c r="A20" s="74">
        <v>30</v>
      </c>
      <c r="B20" s="76">
        <v>0</v>
      </c>
      <c r="C20" s="74">
        <v>0</v>
      </c>
      <c r="D20" s="74">
        <v>0</v>
      </c>
      <c r="E20" s="51">
        <v>0</v>
      </c>
      <c r="F20" s="74">
        <v>0</v>
      </c>
      <c r="G20" s="74">
        <v>0</v>
      </c>
      <c r="H20" s="51">
        <v>1.06026628888504</v>
      </c>
      <c r="I20" s="74">
        <v>0</v>
      </c>
      <c r="J20" s="51">
        <v>0</v>
      </c>
    </row>
    <row r="21" spans="1:13" x14ac:dyDescent="0.3">
      <c r="A21" s="74">
        <v>35</v>
      </c>
      <c r="B21" s="76">
        <v>0</v>
      </c>
      <c r="C21" s="74">
        <v>0</v>
      </c>
      <c r="D21" s="74">
        <v>0</v>
      </c>
      <c r="E21" s="51">
        <v>0</v>
      </c>
      <c r="F21" s="74">
        <v>0</v>
      </c>
      <c r="G21" s="74">
        <v>0</v>
      </c>
      <c r="H21" s="51">
        <v>5.0424687348902397</v>
      </c>
      <c r="I21" s="74">
        <v>0</v>
      </c>
      <c r="J21" s="51">
        <v>0</v>
      </c>
    </row>
    <row r="22" spans="1:13" x14ac:dyDescent="0.3">
      <c r="A22" s="74">
        <v>40</v>
      </c>
      <c r="B22" s="76">
        <v>0</v>
      </c>
      <c r="C22" s="74">
        <v>0</v>
      </c>
      <c r="D22" s="74">
        <v>0</v>
      </c>
      <c r="E22" s="51">
        <v>0</v>
      </c>
      <c r="F22" s="74">
        <v>0</v>
      </c>
      <c r="G22" s="74">
        <v>0</v>
      </c>
      <c r="H22" s="51">
        <v>548.08114328766703</v>
      </c>
      <c r="I22" s="74">
        <v>0</v>
      </c>
      <c r="J22" s="51">
        <v>0</v>
      </c>
    </row>
    <row r="23" spans="1:13" x14ac:dyDescent="0.3">
      <c r="A23" s="74">
        <v>45</v>
      </c>
      <c r="B23" s="76">
        <v>0</v>
      </c>
      <c r="C23" s="74">
        <v>0</v>
      </c>
      <c r="D23" s="74">
        <v>0</v>
      </c>
      <c r="E23" s="51">
        <v>0</v>
      </c>
      <c r="F23" s="74">
        <v>0</v>
      </c>
      <c r="G23" s="74">
        <v>0</v>
      </c>
      <c r="H23" s="51">
        <v>575.474717008433</v>
      </c>
      <c r="I23" s="74">
        <v>0</v>
      </c>
      <c r="J23" s="51">
        <v>0</v>
      </c>
    </row>
    <row r="24" spans="1:13" x14ac:dyDescent="0.3">
      <c r="A24" s="74">
        <v>50</v>
      </c>
      <c r="B24" s="76">
        <v>0</v>
      </c>
      <c r="C24" s="74">
        <v>0</v>
      </c>
      <c r="D24" s="74">
        <v>0</v>
      </c>
      <c r="E24" s="51">
        <v>0</v>
      </c>
      <c r="F24" s="74">
        <v>0</v>
      </c>
      <c r="G24" s="74">
        <v>0</v>
      </c>
      <c r="H24" s="51">
        <v>479.42296387326701</v>
      </c>
      <c r="I24" s="74">
        <v>0</v>
      </c>
      <c r="J24" s="51">
        <v>0</v>
      </c>
    </row>
    <row r="25" spans="1:13" x14ac:dyDescent="0.3">
      <c r="A25" s="74">
        <v>55</v>
      </c>
      <c r="B25" s="76">
        <v>0</v>
      </c>
      <c r="C25" s="74">
        <v>0</v>
      </c>
      <c r="D25" s="74">
        <v>0</v>
      </c>
      <c r="E25" s="51">
        <v>0</v>
      </c>
      <c r="F25" s="74">
        <v>0</v>
      </c>
      <c r="G25" s="74">
        <v>0</v>
      </c>
      <c r="H25" s="51">
        <v>5.8267674815050903</v>
      </c>
      <c r="I25" s="74">
        <v>0</v>
      </c>
      <c r="J25" s="51">
        <v>0</v>
      </c>
    </row>
    <row r="26" spans="1:13" x14ac:dyDescent="0.3">
      <c r="A26" s="74">
        <v>60</v>
      </c>
      <c r="B26" s="76">
        <v>0</v>
      </c>
      <c r="C26" s="74">
        <v>0</v>
      </c>
      <c r="D26" s="74">
        <v>0</v>
      </c>
      <c r="E26" s="51">
        <v>0</v>
      </c>
      <c r="F26" s="74">
        <v>0</v>
      </c>
      <c r="G26" s="74">
        <v>0</v>
      </c>
      <c r="H26" s="51">
        <v>200.21535787843399</v>
      </c>
      <c r="I26" s="74">
        <v>0</v>
      </c>
      <c r="J26" s="51">
        <v>0</v>
      </c>
    </row>
    <row r="27" spans="1:13" x14ac:dyDescent="0.3">
      <c r="A27" s="74">
        <v>65</v>
      </c>
      <c r="B27" s="76">
        <v>0</v>
      </c>
      <c r="C27" s="74">
        <v>0</v>
      </c>
      <c r="D27" s="74">
        <v>0</v>
      </c>
      <c r="E27" s="51">
        <v>0</v>
      </c>
      <c r="F27" s="74">
        <v>0</v>
      </c>
      <c r="G27" s="74">
        <v>0</v>
      </c>
      <c r="H27" s="51">
        <v>236.61958557247999</v>
      </c>
      <c r="I27" s="74">
        <v>0</v>
      </c>
      <c r="J27" s="51">
        <v>0</v>
      </c>
    </row>
    <row r="28" spans="1:13" x14ac:dyDescent="0.3">
      <c r="A28" s="74">
        <v>70</v>
      </c>
      <c r="B28" s="76">
        <v>0</v>
      </c>
      <c r="C28" s="74">
        <v>0</v>
      </c>
      <c r="D28" s="74">
        <v>0</v>
      </c>
      <c r="E28" s="51">
        <v>0</v>
      </c>
      <c r="F28" s="74">
        <v>0</v>
      </c>
      <c r="G28" s="74">
        <v>0</v>
      </c>
      <c r="H28" s="51">
        <v>136.560033522921</v>
      </c>
      <c r="I28" s="74">
        <v>0</v>
      </c>
      <c r="J28" s="51">
        <v>0</v>
      </c>
    </row>
    <row r="29" spans="1:13" x14ac:dyDescent="0.3">
      <c r="A29" s="74">
        <v>75</v>
      </c>
      <c r="B29" s="76">
        <v>0</v>
      </c>
      <c r="C29" s="74">
        <v>0</v>
      </c>
      <c r="D29" s="74">
        <v>0</v>
      </c>
      <c r="E29" s="51">
        <v>0</v>
      </c>
      <c r="F29" s="74">
        <v>0</v>
      </c>
      <c r="G29" s="74">
        <v>0</v>
      </c>
      <c r="H29" s="51">
        <v>0</v>
      </c>
      <c r="I29" s="74">
        <v>0</v>
      </c>
      <c r="J29" s="51">
        <v>0</v>
      </c>
    </row>
    <row r="30" spans="1:13" x14ac:dyDescent="0.3">
      <c r="A30" s="74">
        <v>80</v>
      </c>
      <c r="B30" s="76">
        <v>0</v>
      </c>
      <c r="C30" s="74">
        <v>0</v>
      </c>
      <c r="D30" s="74">
        <v>0</v>
      </c>
      <c r="E30" s="51">
        <v>0</v>
      </c>
      <c r="F30" s="74">
        <v>0</v>
      </c>
      <c r="G30" s="74">
        <v>0</v>
      </c>
      <c r="H30" s="51">
        <v>15.335415906782501</v>
      </c>
      <c r="I30" s="74">
        <v>0</v>
      </c>
      <c r="J30" s="51">
        <v>0</v>
      </c>
    </row>
    <row r="31" spans="1:13" x14ac:dyDescent="0.3">
      <c r="A31" s="74">
        <v>85</v>
      </c>
      <c r="B31" s="76">
        <v>0</v>
      </c>
      <c r="C31" s="74">
        <v>0</v>
      </c>
      <c r="D31" s="74">
        <v>0</v>
      </c>
      <c r="E31" s="51">
        <v>0</v>
      </c>
      <c r="F31" s="74">
        <v>0</v>
      </c>
      <c r="G31" s="74">
        <v>0</v>
      </c>
      <c r="H31" s="51">
        <v>158.590195436226</v>
      </c>
      <c r="I31" s="74">
        <v>0</v>
      </c>
      <c r="J31" s="51">
        <v>0</v>
      </c>
    </row>
    <row r="32" spans="1:13" x14ac:dyDescent="0.3">
      <c r="A32" s="74">
        <v>90</v>
      </c>
      <c r="B32" s="76">
        <v>0</v>
      </c>
      <c r="C32" s="74">
        <v>0</v>
      </c>
      <c r="D32" s="74">
        <v>0</v>
      </c>
      <c r="E32" s="51">
        <v>0</v>
      </c>
      <c r="F32" s="74">
        <v>0</v>
      </c>
      <c r="G32" s="74">
        <v>0</v>
      </c>
      <c r="H32" s="51">
        <v>161.272788471485</v>
      </c>
      <c r="I32" s="74">
        <v>0</v>
      </c>
      <c r="J32" s="51">
        <v>0</v>
      </c>
    </row>
    <row r="33" spans="1:10" x14ac:dyDescent="0.3">
      <c r="A33" s="74">
        <v>95</v>
      </c>
      <c r="B33" s="76">
        <v>0</v>
      </c>
      <c r="C33" s="74">
        <v>0</v>
      </c>
      <c r="D33" s="74">
        <v>0</v>
      </c>
      <c r="E33" s="51">
        <v>0</v>
      </c>
      <c r="F33" s="74">
        <v>0</v>
      </c>
      <c r="G33" s="74">
        <v>0</v>
      </c>
      <c r="H33" s="51">
        <v>136.76403560056201</v>
      </c>
      <c r="I33" s="74">
        <v>0</v>
      </c>
      <c r="J33" s="51">
        <v>0</v>
      </c>
    </row>
    <row r="34" spans="1:10" x14ac:dyDescent="0.3">
      <c r="A34" s="74">
        <v>100</v>
      </c>
      <c r="B34" s="76">
        <v>0</v>
      </c>
      <c r="C34" s="74">
        <v>0</v>
      </c>
      <c r="D34" s="74">
        <v>0</v>
      </c>
      <c r="E34" s="51">
        <v>0</v>
      </c>
      <c r="F34" s="74">
        <v>0</v>
      </c>
      <c r="G34" s="74">
        <v>0</v>
      </c>
      <c r="H34" s="51">
        <v>103.416498766766</v>
      </c>
      <c r="I34" s="74">
        <v>0</v>
      </c>
      <c r="J34" s="51">
        <v>0</v>
      </c>
    </row>
    <row r="35" spans="1:10" x14ac:dyDescent="0.3">
      <c r="A35" s="74">
        <v>105</v>
      </c>
      <c r="B35" s="76">
        <v>0</v>
      </c>
      <c r="C35" s="74">
        <v>0</v>
      </c>
      <c r="D35" s="74">
        <v>0</v>
      </c>
      <c r="E35" s="51">
        <v>0</v>
      </c>
      <c r="F35" s="74">
        <v>0</v>
      </c>
      <c r="G35" s="74">
        <v>0</v>
      </c>
      <c r="H35" s="51">
        <v>66.752493532830897</v>
      </c>
      <c r="I35" s="74">
        <v>0</v>
      </c>
      <c r="J35" s="51">
        <v>0</v>
      </c>
    </row>
    <row r="36" spans="1:10" x14ac:dyDescent="0.3">
      <c r="A36" s="74">
        <v>110</v>
      </c>
      <c r="B36" s="76">
        <v>0</v>
      </c>
      <c r="C36" s="74">
        <v>0</v>
      </c>
      <c r="D36" s="74">
        <v>0</v>
      </c>
      <c r="E36" s="51">
        <v>0</v>
      </c>
      <c r="F36" s="74">
        <v>0</v>
      </c>
      <c r="G36" s="74">
        <v>0</v>
      </c>
      <c r="H36" s="51">
        <v>40.697392420593303</v>
      </c>
      <c r="I36" s="74">
        <v>0</v>
      </c>
      <c r="J36" s="51">
        <v>0</v>
      </c>
    </row>
    <row r="37" spans="1:10" x14ac:dyDescent="0.3">
      <c r="A37" s="74">
        <v>115</v>
      </c>
      <c r="B37" s="76">
        <v>0</v>
      </c>
      <c r="C37" s="74">
        <v>0</v>
      </c>
      <c r="D37" s="74">
        <v>0</v>
      </c>
      <c r="E37" s="51">
        <v>0</v>
      </c>
      <c r="F37" s="74">
        <v>0</v>
      </c>
      <c r="G37" s="74">
        <v>0</v>
      </c>
      <c r="H37" s="51">
        <v>31.8375271577181</v>
      </c>
      <c r="I37" s="74">
        <v>0</v>
      </c>
      <c r="J37" s="51">
        <v>0</v>
      </c>
    </row>
    <row r="38" spans="1:10" x14ac:dyDescent="0.3">
      <c r="A38" s="74">
        <v>120</v>
      </c>
      <c r="B38" s="76">
        <v>0</v>
      </c>
      <c r="C38" s="74">
        <v>0</v>
      </c>
      <c r="D38" s="74">
        <v>0</v>
      </c>
      <c r="E38" s="51">
        <v>0</v>
      </c>
      <c r="F38" s="74">
        <v>0</v>
      </c>
      <c r="G38" s="74">
        <v>0</v>
      </c>
      <c r="H38" s="51">
        <v>11.8991442601091</v>
      </c>
      <c r="I38" s="74">
        <v>0</v>
      </c>
      <c r="J38" s="51">
        <v>0</v>
      </c>
    </row>
    <row r="39" spans="1:10" x14ac:dyDescent="0.3">
      <c r="A39" s="74">
        <v>125</v>
      </c>
      <c r="B39" s="76">
        <v>0</v>
      </c>
      <c r="C39" s="74">
        <v>0</v>
      </c>
      <c r="D39" s="74">
        <v>0</v>
      </c>
      <c r="E39" s="51">
        <v>0</v>
      </c>
      <c r="F39" s="74">
        <v>0</v>
      </c>
      <c r="G39" s="74">
        <v>0</v>
      </c>
      <c r="H39" s="51">
        <v>0</v>
      </c>
      <c r="I39" s="74">
        <v>0</v>
      </c>
      <c r="J39" s="51">
        <v>0</v>
      </c>
    </row>
    <row r="40" spans="1:10" x14ac:dyDescent="0.3">
      <c r="A40" s="74">
        <v>130</v>
      </c>
      <c r="B40" s="76">
        <v>0</v>
      </c>
      <c r="C40" s="74">
        <v>0</v>
      </c>
      <c r="D40" s="74">
        <v>0</v>
      </c>
      <c r="E40" s="51">
        <v>0</v>
      </c>
      <c r="F40" s="74">
        <v>0</v>
      </c>
      <c r="G40" s="74">
        <v>0</v>
      </c>
      <c r="H40" s="51">
        <v>0</v>
      </c>
      <c r="I40" s="74">
        <v>0</v>
      </c>
      <c r="J40" s="51">
        <v>0</v>
      </c>
    </row>
    <row r="41" spans="1:10" x14ac:dyDescent="0.3">
      <c r="A41" s="74">
        <v>135</v>
      </c>
      <c r="B41" s="76">
        <v>0</v>
      </c>
      <c r="C41" s="74">
        <v>0</v>
      </c>
      <c r="D41" s="74">
        <v>0</v>
      </c>
      <c r="E41" s="51">
        <v>0</v>
      </c>
      <c r="F41" s="74">
        <v>0</v>
      </c>
      <c r="G41" s="74">
        <v>0</v>
      </c>
      <c r="H41" s="51">
        <v>0</v>
      </c>
      <c r="I41" s="74">
        <v>0</v>
      </c>
      <c r="J41" s="51">
        <v>0</v>
      </c>
    </row>
    <row r="42" spans="1:10" x14ac:dyDescent="0.3">
      <c r="A42" s="74">
        <v>140</v>
      </c>
      <c r="B42" s="76">
        <v>0</v>
      </c>
      <c r="C42" s="74">
        <v>0</v>
      </c>
      <c r="D42" s="74">
        <v>0</v>
      </c>
      <c r="E42" s="51">
        <v>0</v>
      </c>
      <c r="F42" s="74">
        <v>0</v>
      </c>
      <c r="G42" s="74">
        <v>0</v>
      </c>
      <c r="H42" s="51">
        <v>0</v>
      </c>
      <c r="I42" s="74">
        <v>0</v>
      </c>
      <c r="J42" s="51">
        <v>0</v>
      </c>
    </row>
    <row r="43" spans="1:10" x14ac:dyDescent="0.3">
      <c r="A43" s="74">
        <v>145</v>
      </c>
      <c r="B43" s="76">
        <v>0</v>
      </c>
      <c r="C43" s="74">
        <v>0</v>
      </c>
      <c r="D43" s="74">
        <v>0</v>
      </c>
      <c r="E43" s="51">
        <v>0</v>
      </c>
      <c r="F43" s="74">
        <v>0</v>
      </c>
      <c r="G43" s="74">
        <v>0</v>
      </c>
      <c r="H43" s="51">
        <v>0</v>
      </c>
      <c r="I43" s="74">
        <v>0</v>
      </c>
      <c r="J43" s="51">
        <v>0</v>
      </c>
    </row>
    <row r="44" spans="1:10" x14ac:dyDescent="0.3">
      <c r="A44" s="74">
        <v>150</v>
      </c>
      <c r="B44" s="76">
        <v>0</v>
      </c>
      <c r="C44" s="74">
        <v>0</v>
      </c>
      <c r="D44" s="74">
        <v>0</v>
      </c>
      <c r="E44" s="51">
        <v>0</v>
      </c>
      <c r="F44" s="74">
        <v>0</v>
      </c>
      <c r="G44" s="74">
        <v>0</v>
      </c>
      <c r="H44" s="51">
        <v>0</v>
      </c>
      <c r="I44" s="74">
        <v>0</v>
      </c>
      <c r="J44" s="51">
        <v>0</v>
      </c>
    </row>
    <row r="45" spans="1:10" x14ac:dyDescent="0.3">
      <c r="A45" s="74">
        <v>155</v>
      </c>
      <c r="B45" s="76">
        <v>0</v>
      </c>
      <c r="C45" s="74">
        <v>0</v>
      </c>
      <c r="D45" s="74">
        <v>0</v>
      </c>
      <c r="E45" s="51">
        <v>0</v>
      </c>
      <c r="F45" s="74">
        <v>0</v>
      </c>
      <c r="G45" s="74">
        <v>0</v>
      </c>
      <c r="H45" s="51">
        <v>0</v>
      </c>
      <c r="I45" s="74">
        <v>0</v>
      </c>
      <c r="J45" s="51">
        <v>0</v>
      </c>
    </row>
    <row r="46" spans="1:10" x14ac:dyDescent="0.3">
      <c r="A46" s="74">
        <v>160</v>
      </c>
      <c r="B46" s="76">
        <v>0</v>
      </c>
      <c r="C46" s="74">
        <v>0</v>
      </c>
      <c r="D46" s="74">
        <v>0</v>
      </c>
      <c r="E46" s="51">
        <v>0</v>
      </c>
      <c r="F46" s="74">
        <v>0</v>
      </c>
      <c r="G46" s="74">
        <v>0</v>
      </c>
      <c r="H46" s="51">
        <v>0</v>
      </c>
      <c r="I46" s="74">
        <v>0</v>
      </c>
      <c r="J46" s="51">
        <v>0</v>
      </c>
    </row>
    <row r="47" spans="1:10" x14ac:dyDescent="0.3">
      <c r="A47" s="74">
        <v>165</v>
      </c>
      <c r="B47" s="76">
        <v>0</v>
      </c>
      <c r="C47" s="74">
        <v>0</v>
      </c>
      <c r="D47" s="74">
        <v>0</v>
      </c>
      <c r="E47" s="51">
        <v>0</v>
      </c>
      <c r="F47" s="74">
        <v>0</v>
      </c>
      <c r="G47" s="74">
        <v>0</v>
      </c>
      <c r="H47" s="51">
        <v>0</v>
      </c>
      <c r="I47" s="74">
        <v>0</v>
      </c>
      <c r="J47" s="51">
        <v>0</v>
      </c>
    </row>
    <row r="48" spans="1:10" x14ac:dyDescent="0.3">
      <c r="A48" s="74">
        <v>170</v>
      </c>
      <c r="B48" s="76">
        <v>0</v>
      </c>
      <c r="C48" s="74">
        <v>0</v>
      </c>
      <c r="D48" s="74">
        <v>0</v>
      </c>
      <c r="E48" s="51">
        <v>0</v>
      </c>
      <c r="F48" s="74">
        <v>0</v>
      </c>
      <c r="G48" s="74">
        <v>0</v>
      </c>
      <c r="H48" s="51">
        <v>0</v>
      </c>
      <c r="I48" s="74">
        <v>0</v>
      </c>
      <c r="J48" s="51">
        <v>0</v>
      </c>
    </row>
    <row r="49" spans="1:10" x14ac:dyDescent="0.3">
      <c r="A49" s="74">
        <v>175</v>
      </c>
      <c r="B49" s="76">
        <v>0</v>
      </c>
      <c r="C49" s="74">
        <v>0</v>
      </c>
      <c r="D49" s="74">
        <v>0</v>
      </c>
      <c r="E49" s="51">
        <v>0</v>
      </c>
      <c r="F49" s="74">
        <v>0</v>
      </c>
      <c r="G49" s="74">
        <v>0</v>
      </c>
      <c r="H49" s="51">
        <v>0</v>
      </c>
      <c r="I49" s="74">
        <v>0</v>
      </c>
      <c r="J49" s="51">
        <v>0</v>
      </c>
    </row>
    <row r="50" spans="1:10" x14ac:dyDescent="0.3">
      <c r="A50" s="74">
        <v>180</v>
      </c>
      <c r="B50" s="76">
        <v>0</v>
      </c>
      <c r="C50" s="74">
        <v>0</v>
      </c>
      <c r="D50" s="74">
        <v>0</v>
      </c>
      <c r="E50" s="51">
        <v>0</v>
      </c>
      <c r="F50" s="74">
        <v>0</v>
      </c>
      <c r="G50" s="74">
        <v>0</v>
      </c>
      <c r="H50" s="51">
        <v>0</v>
      </c>
      <c r="I50" s="74">
        <v>0</v>
      </c>
      <c r="J50" s="51">
        <v>0</v>
      </c>
    </row>
    <row r="51" spans="1:10" x14ac:dyDescent="0.3">
      <c r="A51" s="74">
        <v>185</v>
      </c>
      <c r="B51" s="76">
        <v>0</v>
      </c>
      <c r="C51" s="74">
        <v>0</v>
      </c>
      <c r="D51" s="74">
        <v>0</v>
      </c>
      <c r="E51" s="51">
        <v>0</v>
      </c>
      <c r="F51" s="74">
        <v>0</v>
      </c>
      <c r="G51" s="74">
        <v>0</v>
      </c>
      <c r="H51" s="51">
        <v>0</v>
      </c>
      <c r="I51" s="74">
        <v>0</v>
      </c>
      <c r="J51" s="51">
        <v>0</v>
      </c>
    </row>
    <row r="52" spans="1:10" x14ac:dyDescent="0.3">
      <c r="A52" s="74">
        <v>190</v>
      </c>
      <c r="B52" s="76">
        <v>0</v>
      </c>
      <c r="C52" s="74">
        <v>0</v>
      </c>
      <c r="D52" s="74">
        <v>0</v>
      </c>
      <c r="E52" s="51">
        <v>0</v>
      </c>
      <c r="F52" s="74">
        <v>0</v>
      </c>
      <c r="G52" s="74">
        <v>0</v>
      </c>
      <c r="H52" s="51">
        <v>0</v>
      </c>
      <c r="I52" s="74">
        <v>0</v>
      </c>
      <c r="J52" s="51">
        <v>0</v>
      </c>
    </row>
    <row r="53" spans="1:10" x14ac:dyDescent="0.3">
      <c r="A53" s="74">
        <v>195</v>
      </c>
      <c r="B53" s="76">
        <v>0</v>
      </c>
      <c r="C53" s="74">
        <v>0</v>
      </c>
      <c r="D53" s="74">
        <v>0</v>
      </c>
      <c r="E53" s="51">
        <v>0</v>
      </c>
      <c r="F53" s="74">
        <v>0</v>
      </c>
      <c r="G53" s="74">
        <v>0</v>
      </c>
      <c r="H53" s="51">
        <v>0</v>
      </c>
      <c r="I53" s="74">
        <v>0</v>
      </c>
      <c r="J53" s="51">
        <v>0</v>
      </c>
    </row>
    <row r="54" spans="1:10" x14ac:dyDescent="0.3">
      <c r="A54" s="74">
        <v>200</v>
      </c>
      <c r="B54" s="76">
        <v>0</v>
      </c>
      <c r="C54" s="74">
        <v>0</v>
      </c>
      <c r="D54" s="74">
        <v>0</v>
      </c>
      <c r="E54" s="51">
        <v>0</v>
      </c>
      <c r="F54" s="74">
        <v>0</v>
      </c>
      <c r="G54" s="74">
        <v>0</v>
      </c>
      <c r="H54" s="51">
        <v>0</v>
      </c>
      <c r="I54" s="74">
        <v>0</v>
      </c>
      <c r="J54" s="51">
        <v>0</v>
      </c>
    </row>
    <row r="55" spans="1:10" x14ac:dyDescent="0.3">
      <c r="A55" s="74">
        <v>205</v>
      </c>
      <c r="B55" s="76">
        <v>0</v>
      </c>
      <c r="C55" s="74">
        <v>0</v>
      </c>
      <c r="D55" s="74">
        <v>0</v>
      </c>
      <c r="E55" s="51">
        <v>0</v>
      </c>
      <c r="F55" s="74">
        <v>0</v>
      </c>
      <c r="G55" s="74">
        <v>0</v>
      </c>
      <c r="H55" s="51">
        <v>0</v>
      </c>
      <c r="I55" s="74">
        <v>0</v>
      </c>
      <c r="J55" s="51">
        <v>0</v>
      </c>
    </row>
    <row r="56" spans="1:10" x14ac:dyDescent="0.3">
      <c r="A56" s="74">
        <v>210</v>
      </c>
      <c r="B56" s="76">
        <v>0</v>
      </c>
      <c r="C56" s="74">
        <v>0</v>
      </c>
      <c r="D56" s="74">
        <v>0</v>
      </c>
      <c r="E56" s="51">
        <v>0</v>
      </c>
      <c r="F56" s="74">
        <v>0</v>
      </c>
      <c r="G56" s="74">
        <v>0</v>
      </c>
      <c r="H56" s="51">
        <v>0</v>
      </c>
      <c r="I56" s="74">
        <v>0</v>
      </c>
      <c r="J56" s="51">
        <v>0</v>
      </c>
    </row>
    <row r="57" spans="1:10" x14ac:dyDescent="0.3">
      <c r="A57" s="74">
        <v>215</v>
      </c>
      <c r="B57" s="76">
        <v>0</v>
      </c>
      <c r="C57" s="74">
        <v>0</v>
      </c>
      <c r="D57" s="74">
        <v>0</v>
      </c>
      <c r="E57" s="51">
        <v>0</v>
      </c>
      <c r="F57" s="74">
        <v>0</v>
      </c>
      <c r="G57" s="74">
        <v>0</v>
      </c>
      <c r="H57" s="51">
        <v>0</v>
      </c>
      <c r="I57" s="74">
        <v>0</v>
      </c>
      <c r="J57" s="51">
        <v>0</v>
      </c>
    </row>
    <row r="58" spans="1:10" x14ac:dyDescent="0.3">
      <c r="A58" s="74">
        <v>220</v>
      </c>
      <c r="B58" s="76">
        <v>0</v>
      </c>
      <c r="C58" s="74">
        <v>0</v>
      </c>
      <c r="D58" s="74">
        <v>0</v>
      </c>
      <c r="E58" s="51">
        <v>0</v>
      </c>
      <c r="F58" s="74">
        <v>0</v>
      </c>
      <c r="G58" s="74">
        <v>0</v>
      </c>
      <c r="H58" s="51">
        <v>0</v>
      </c>
      <c r="I58" s="74">
        <v>0</v>
      </c>
      <c r="J58" s="51">
        <v>0</v>
      </c>
    </row>
    <row r="59" spans="1:10" x14ac:dyDescent="0.3">
      <c r="A59" s="74">
        <v>225</v>
      </c>
      <c r="B59" s="76">
        <v>0</v>
      </c>
      <c r="C59" s="74">
        <v>0</v>
      </c>
      <c r="D59" s="74">
        <v>0</v>
      </c>
      <c r="E59" s="51">
        <v>0</v>
      </c>
      <c r="F59" s="74">
        <v>0</v>
      </c>
      <c r="G59" s="74">
        <v>0</v>
      </c>
      <c r="H59" s="51">
        <v>0</v>
      </c>
      <c r="I59" s="74">
        <v>0</v>
      </c>
      <c r="J59" s="51">
        <v>0</v>
      </c>
    </row>
    <row r="60" spans="1:10" x14ac:dyDescent="0.3">
      <c r="A60" s="74">
        <v>230</v>
      </c>
      <c r="B60" s="76">
        <v>0</v>
      </c>
      <c r="C60" s="74">
        <v>0</v>
      </c>
      <c r="D60" s="74">
        <v>0</v>
      </c>
      <c r="E60" s="51">
        <v>0</v>
      </c>
      <c r="F60" s="74">
        <v>0</v>
      </c>
      <c r="G60" s="74">
        <v>0</v>
      </c>
      <c r="H60" s="51">
        <v>0</v>
      </c>
      <c r="I60" s="74">
        <v>0</v>
      </c>
      <c r="J60" s="51">
        <v>0</v>
      </c>
    </row>
    <row r="61" spans="1:10" x14ac:dyDescent="0.3">
      <c r="A61" s="74">
        <v>235</v>
      </c>
      <c r="B61" s="76">
        <v>0</v>
      </c>
      <c r="C61" s="74">
        <v>0</v>
      </c>
      <c r="D61" s="74">
        <v>0</v>
      </c>
      <c r="E61" s="51">
        <v>0</v>
      </c>
      <c r="F61" s="74">
        <v>0</v>
      </c>
      <c r="G61" s="74">
        <v>0</v>
      </c>
      <c r="H61" s="51">
        <v>0</v>
      </c>
      <c r="I61" s="74">
        <v>0</v>
      </c>
      <c r="J61" s="51">
        <v>0</v>
      </c>
    </row>
    <row r="62" spans="1:10" x14ac:dyDescent="0.3">
      <c r="A62" s="74">
        <v>240</v>
      </c>
      <c r="B62" s="76">
        <v>0</v>
      </c>
      <c r="C62" s="74">
        <v>0</v>
      </c>
      <c r="D62" s="74">
        <v>0</v>
      </c>
      <c r="E62" s="51">
        <v>0</v>
      </c>
      <c r="F62" s="74">
        <v>0</v>
      </c>
      <c r="G62" s="74">
        <v>0</v>
      </c>
      <c r="H62" s="51">
        <v>0</v>
      </c>
      <c r="I62" s="74">
        <v>0</v>
      </c>
      <c r="J62" s="51">
        <v>0</v>
      </c>
    </row>
    <row r="63" spans="1:10" x14ac:dyDescent="0.3">
      <c r="A63" s="74">
        <v>245</v>
      </c>
      <c r="B63" s="76">
        <v>0</v>
      </c>
      <c r="C63" s="74">
        <v>0</v>
      </c>
      <c r="D63" s="74">
        <v>0</v>
      </c>
      <c r="E63" s="51">
        <v>0</v>
      </c>
      <c r="F63" s="74">
        <v>0</v>
      </c>
      <c r="G63" s="74">
        <v>0</v>
      </c>
      <c r="H63" s="51">
        <v>0</v>
      </c>
      <c r="I63" s="74">
        <v>0</v>
      </c>
      <c r="J63" s="51">
        <v>0</v>
      </c>
    </row>
    <row r="64" spans="1:10" x14ac:dyDescent="0.3">
      <c r="A64" s="74">
        <v>250</v>
      </c>
      <c r="B64" s="76">
        <v>0</v>
      </c>
      <c r="C64" s="74">
        <v>0</v>
      </c>
      <c r="D64" s="74">
        <v>0</v>
      </c>
      <c r="E64" s="51">
        <v>0</v>
      </c>
      <c r="F64" s="74">
        <v>0</v>
      </c>
      <c r="G64" s="74">
        <v>0</v>
      </c>
      <c r="H64" s="51">
        <v>0</v>
      </c>
      <c r="I64" s="74">
        <v>0</v>
      </c>
      <c r="J64" s="51">
        <v>0</v>
      </c>
    </row>
    <row r="65" spans="1:10" x14ac:dyDescent="0.3">
      <c r="A65" s="74">
        <v>255</v>
      </c>
      <c r="B65" s="76">
        <v>0</v>
      </c>
      <c r="C65" s="74">
        <v>0</v>
      </c>
      <c r="D65" s="74">
        <v>0</v>
      </c>
      <c r="E65" s="51">
        <v>0</v>
      </c>
      <c r="F65" s="74">
        <v>0</v>
      </c>
      <c r="G65" s="74">
        <v>0</v>
      </c>
      <c r="H65" s="51">
        <v>0</v>
      </c>
      <c r="I65" s="74">
        <v>0</v>
      </c>
      <c r="J65" s="51">
        <v>0</v>
      </c>
    </row>
    <row r="66" spans="1:10" x14ac:dyDescent="0.3">
      <c r="A66" s="74">
        <v>260</v>
      </c>
      <c r="B66" s="76">
        <v>0</v>
      </c>
      <c r="C66" s="74">
        <v>0</v>
      </c>
      <c r="D66" s="74">
        <v>0</v>
      </c>
      <c r="E66" s="51">
        <v>0</v>
      </c>
      <c r="F66" s="74">
        <v>0</v>
      </c>
      <c r="G66" s="74">
        <v>0</v>
      </c>
      <c r="H66" s="51">
        <v>0</v>
      </c>
      <c r="I66" s="74">
        <v>0</v>
      </c>
      <c r="J66" s="51">
        <v>0</v>
      </c>
    </row>
    <row r="67" spans="1:10" x14ac:dyDescent="0.3">
      <c r="A67" s="74">
        <v>265</v>
      </c>
      <c r="B67" s="76">
        <v>0</v>
      </c>
      <c r="C67" s="74">
        <v>0</v>
      </c>
      <c r="D67" s="74">
        <v>0</v>
      </c>
      <c r="E67" s="51">
        <v>0</v>
      </c>
      <c r="F67" s="74">
        <v>0</v>
      </c>
      <c r="G67" s="74">
        <v>0</v>
      </c>
      <c r="H67" s="51">
        <v>0</v>
      </c>
      <c r="I67" s="74">
        <v>0</v>
      </c>
      <c r="J67" s="51">
        <v>0</v>
      </c>
    </row>
    <row r="68" spans="1:10" x14ac:dyDescent="0.3">
      <c r="A68" s="74">
        <v>270</v>
      </c>
      <c r="B68" s="76">
        <v>0</v>
      </c>
      <c r="C68" s="74">
        <v>0</v>
      </c>
      <c r="D68" s="74">
        <v>0</v>
      </c>
      <c r="E68" s="51">
        <v>0</v>
      </c>
      <c r="F68" s="74">
        <v>0</v>
      </c>
      <c r="G68" s="74">
        <v>0</v>
      </c>
      <c r="H68" s="51">
        <v>0</v>
      </c>
      <c r="I68" s="74">
        <v>0</v>
      </c>
      <c r="J68" s="51">
        <v>0</v>
      </c>
    </row>
    <row r="69" spans="1:10" x14ac:dyDescent="0.3">
      <c r="A69" s="74">
        <v>275</v>
      </c>
      <c r="B69" s="76">
        <v>0</v>
      </c>
      <c r="C69" s="74">
        <v>0</v>
      </c>
      <c r="D69" s="74">
        <v>0</v>
      </c>
      <c r="E69" s="51">
        <v>0</v>
      </c>
      <c r="F69" s="74">
        <v>0</v>
      </c>
      <c r="G69" s="74">
        <v>0</v>
      </c>
      <c r="H69" s="51">
        <v>0</v>
      </c>
      <c r="I69" s="74">
        <v>0</v>
      </c>
      <c r="J69" s="51">
        <v>0</v>
      </c>
    </row>
    <row r="70" spans="1:10" x14ac:dyDescent="0.3">
      <c r="A70" s="74">
        <v>280</v>
      </c>
      <c r="B70" s="76">
        <v>0</v>
      </c>
      <c r="C70" s="74">
        <v>0</v>
      </c>
      <c r="D70" s="74">
        <v>0</v>
      </c>
      <c r="E70" s="51">
        <v>0</v>
      </c>
      <c r="F70" s="74">
        <v>0</v>
      </c>
      <c r="G70" s="74">
        <v>0</v>
      </c>
      <c r="H70" s="51">
        <v>0</v>
      </c>
      <c r="I70" s="74">
        <v>0</v>
      </c>
      <c r="J70" s="51">
        <v>0</v>
      </c>
    </row>
    <row r="71" spans="1:10" x14ac:dyDescent="0.3">
      <c r="A71" s="74">
        <v>285</v>
      </c>
      <c r="B71" s="76">
        <v>0</v>
      </c>
      <c r="C71" s="74">
        <v>0</v>
      </c>
      <c r="D71" s="74">
        <v>0</v>
      </c>
      <c r="E71" s="51">
        <v>0</v>
      </c>
      <c r="F71" s="74">
        <v>0</v>
      </c>
      <c r="G71" s="74">
        <v>0</v>
      </c>
      <c r="H71" s="51">
        <v>0</v>
      </c>
      <c r="I71" s="74">
        <v>0</v>
      </c>
      <c r="J71" s="51">
        <v>0</v>
      </c>
    </row>
    <row r="72" spans="1:10" x14ac:dyDescent="0.3">
      <c r="A72" s="74">
        <v>290</v>
      </c>
      <c r="B72" s="76">
        <v>0</v>
      </c>
      <c r="C72" s="74">
        <v>0</v>
      </c>
      <c r="D72" s="74">
        <v>0</v>
      </c>
      <c r="E72" s="51">
        <v>0</v>
      </c>
      <c r="F72" s="74">
        <v>0</v>
      </c>
      <c r="G72" s="74">
        <v>0</v>
      </c>
      <c r="H72" s="51">
        <v>0</v>
      </c>
      <c r="I72" s="74">
        <v>0</v>
      </c>
      <c r="J72" s="51">
        <v>0</v>
      </c>
    </row>
    <row r="73" spans="1:10" x14ac:dyDescent="0.3">
      <c r="A73" s="74">
        <v>295</v>
      </c>
      <c r="B73" s="76">
        <v>0</v>
      </c>
      <c r="C73" s="74">
        <v>0</v>
      </c>
      <c r="D73" s="74">
        <v>0</v>
      </c>
      <c r="E73" s="51">
        <v>0</v>
      </c>
      <c r="F73" s="74">
        <v>0</v>
      </c>
      <c r="G73" s="74">
        <v>0</v>
      </c>
      <c r="H73" s="51">
        <v>0</v>
      </c>
      <c r="I73" s="74">
        <v>0</v>
      </c>
      <c r="J73" s="51">
        <v>0</v>
      </c>
    </row>
    <row r="74" spans="1:10" x14ac:dyDescent="0.3">
      <c r="A74" s="74">
        <v>300</v>
      </c>
      <c r="B74" s="76">
        <v>0</v>
      </c>
      <c r="C74" s="74">
        <v>0</v>
      </c>
      <c r="D74" s="74">
        <v>0</v>
      </c>
      <c r="E74" s="51">
        <v>0</v>
      </c>
      <c r="F74" s="74">
        <v>0</v>
      </c>
      <c r="G74" s="74">
        <v>0</v>
      </c>
      <c r="H74" s="51">
        <v>0</v>
      </c>
      <c r="I74" s="74">
        <v>0</v>
      </c>
      <c r="J74" s="51">
        <v>0</v>
      </c>
    </row>
    <row r="75" spans="1:10" x14ac:dyDescent="0.3">
      <c r="A75" s="74">
        <v>305</v>
      </c>
      <c r="B75" s="76">
        <v>0</v>
      </c>
      <c r="C75" s="74">
        <v>0</v>
      </c>
      <c r="D75" s="74">
        <v>0</v>
      </c>
      <c r="E75" s="51">
        <v>0</v>
      </c>
      <c r="F75" s="74">
        <v>0</v>
      </c>
      <c r="G75" s="74">
        <v>0</v>
      </c>
      <c r="H75" s="51">
        <v>0</v>
      </c>
      <c r="I75" s="74">
        <v>0</v>
      </c>
      <c r="J75" s="51">
        <v>0</v>
      </c>
    </row>
    <row r="76" spans="1:10" x14ac:dyDescent="0.3">
      <c r="A76" s="74">
        <v>310</v>
      </c>
      <c r="B76" s="76">
        <v>0</v>
      </c>
      <c r="C76" s="74">
        <v>0</v>
      </c>
      <c r="D76" s="74">
        <v>0</v>
      </c>
      <c r="E76" s="51">
        <v>0</v>
      </c>
      <c r="F76" s="74">
        <v>0</v>
      </c>
      <c r="G76" s="74">
        <v>0</v>
      </c>
      <c r="H76" s="51">
        <v>0</v>
      </c>
      <c r="I76" s="74">
        <v>0</v>
      </c>
      <c r="J76" s="51">
        <v>0</v>
      </c>
    </row>
    <row r="77" spans="1:10" x14ac:dyDescent="0.3">
      <c r="A77" s="74">
        <v>315</v>
      </c>
      <c r="B77" s="76">
        <v>0</v>
      </c>
      <c r="C77" s="74">
        <v>0</v>
      </c>
      <c r="D77" s="74">
        <v>0</v>
      </c>
      <c r="E77" s="51">
        <v>0</v>
      </c>
      <c r="F77" s="74">
        <v>0</v>
      </c>
      <c r="G77" s="74">
        <v>0</v>
      </c>
      <c r="H77" s="51">
        <v>0</v>
      </c>
      <c r="I77" s="74">
        <v>0</v>
      </c>
      <c r="J77" s="51">
        <v>0</v>
      </c>
    </row>
    <row r="78" spans="1:10" x14ac:dyDescent="0.3">
      <c r="A78" s="74">
        <v>320</v>
      </c>
      <c r="B78" s="76">
        <v>0</v>
      </c>
      <c r="C78" s="74">
        <v>0</v>
      </c>
      <c r="D78" s="74">
        <v>0</v>
      </c>
      <c r="E78" s="51">
        <v>0</v>
      </c>
      <c r="F78" s="74">
        <v>0</v>
      </c>
      <c r="G78" s="74">
        <v>0</v>
      </c>
      <c r="H78" s="51">
        <v>0</v>
      </c>
      <c r="I78" s="74">
        <v>0</v>
      </c>
      <c r="J78" s="51">
        <v>0</v>
      </c>
    </row>
    <row r="79" spans="1:10" x14ac:dyDescent="0.3">
      <c r="A79" s="74">
        <v>325</v>
      </c>
      <c r="B79" s="76">
        <v>0</v>
      </c>
      <c r="C79" s="74">
        <v>0</v>
      </c>
      <c r="D79" s="74">
        <v>0</v>
      </c>
      <c r="E79" s="51">
        <v>0</v>
      </c>
      <c r="F79" s="74">
        <v>0</v>
      </c>
      <c r="G79" s="74">
        <v>0</v>
      </c>
      <c r="H79" s="51">
        <v>0</v>
      </c>
      <c r="I79" s="74">
        <v>0</v>
      </c>
      <c r="J79" s="51">
        <v>0</v>
      </c>
    </row>
    <row r="80" spans="1:10" x14ac:dyDescent="0.3">
      <c r="A80" s="74">
        <v>330</v>
      </c>
      <c r="B80" s="76">
        <v>0</v>
      </c>
      <c r="C80" s="74">
        <v>0</v>
      </c>
      <c r="D80" s="74">
        <v>0</v>
      </c>
      <c r="E80" s="51">
        <v>0</v>
      </c>
      <c r="F80" s="74">
        <v>0</v>
      </c>
      <c r="G80" s="74">
        <v>0</v>
      </c>
      <c r="H80" s="51">
        <v>0</v>
      </c>
      <c r="I80" s="74">
        <v>0</v>
      </c>
      <c r="J80" s="51">
        <v>0</v>
      </c>
    </row>
    <row r="81" spans="1:10" x14ac:dyDescent="0.3">
      <c r="A81" s="74">
        <v>335</v>
      </c>
      <c r="B81" s="76">
        <v>0</v>
      </c>
      <c r="C81" s="74">
        <v>0</v>
      </c>
      <c r="D81" s="74">
        <v>0</v>
      </c>
      <c r="E81" s="51">
        <v>0</v>
      </c>
      <c r="F81" s="74">
        <v>0</v>
      </c>
      <c r="G81" s="74">
        <v>0</v>
      </c>
      <c r="H81" s="51">
        <v>0</v>
      </c>
      <c r="I81" s="74">
        <v>0</v>
      </c>
      <c r="J81" s="51">
        <v>0</v>
      </c>
    </row>
    <row r="82" spans="1:10" x14ac:dyDescent="0.3">
      <c r="A82" s="74">
        <v>340</v>
      </c>
      <c r="B82" s="76">
        <v>0</v>
      </c>
      <c r="C82" s="74">
        <v>0</v>
      </c>
      <c r="D82" s="74">
        <v>0</v>
      </c>
      <c r="E82" s="51">
        <v>0</v>
      </c>
      <c r="F82" s="74">
        <v>0</v>
      </c>
      <c r="G82" s="74">
        <v>0</v>
      </c>
      <c r="H82" s="51">
        <v>0</v>
      </c>
      <c r="I82" s="74">
        <v>0</v>
      </c>
      <c r="J82" s="51">
        <v>0</v>
      </c>
    </row>
    <row r="83" spans="1:10" x14ac:dyDescent="0.3">
      <c r="A83" s="74">
        <v>345</v>
      </c>
      <c r="B83" s="76">
        <v>0</v>
      </c>
      <c r="C83" s="74">
        <v>0</v>
      </c>
      <c r="D83" s="74">
        <v>0</v>
      </c>
      <c r="E83" s="51">
        <v>0</v>
      </c>
      <c r="F83" s="74">
        <v>0</v>
      </c>
      <c r="G83" s="74">
        <v>0</v>
      </c>
      <c r="H83" s="51">
        <v>0</v>
      </c>
      <c r="I83" s="74">
        <v>0</v>
      </c>
      <c r="J83" s="51">
        <v>0</v>
      </c>
    </row>
    <row r="84" spans="1:10" x14ac:dyDescent="0.3">
      <c r="A84" s="74">
        <v>350</v>
      </c>
      <c r="B84" s="76">
        <v>0</v>
      </c>
      <c r="C84" s="74">
        <v>0</v>
      </c>
      <c r="D84" s="74">
        <v>0</v>
      </c>
      <c r="E84" s="51">
        <v>0</v>
      </c>
      <c r="F84" s="74">
        <v>0</v>
      </c>
      <c r="G84" s="74">
        <v>0</v>
      </c>
      <c r="H84" s="51">
        <v>0</v>
      </c>
      <c r="I84" s="74">
        <v>0</v>
      </c>
      <c r="J84" s="51">
        <v>0</v>
      </c>
    </row>
    <row r="85" spans="1:10" x14ac:dyDescent="0.3">
      <c r="A85" s="74">
        <v>355</v>
      </c>
      <c r="B85" s="76">
        <v>0</v>
      </c>
      <c r="C85" s="74">
        <v>0</v>
      </c>
      <c r="D85" s="74">
        <v>0</v>
      </c>
      <c r="E85" s="51">
        <v>0</v>
      </c>
      <c r="F85" s="74">
        <v>0</v>
      </c>
      <c r="G85" s="74">
        <v>0</v>
      </c>
      <c r="H85" s="51">
        <v>0</v>
      </c>
      <c r="I85" s="74">
        <v>0</v>
      </c>
      <c r="J85" s="51">
        <v>0</v>
      </c>
    </row>
    <row r="86" spans="1:10" x14ac:dyDescent="0.3">
      <c r="A86" s="74">
        <v>360</v>
      </c>
      <c r="B86" s="76">
        <v>0</v>
      </c>
      <c r="C86" s="74">
        <v>0</v>
      </c>
      <c r="D86" s="74">
        <v>0</v>
      </c>
      <c r="E86" s="51">
        <v>0</v>
      </c>
      <c r="F86" s="74">
        <v>0</v>
      </c>
      <c r="G86" s="74">
        <v>0</v>
      </c>
      <c r="H86" s="51">
        <v>0</v>
      </c>
      <c r="I86" s="74">
        <v>0</v>
      </c>
      <c r="J86" s="51">
        <v>0</v>
      </c>
    </row>
    <row r="87" spans="1:10" x14ac:dyDescent="0.3">
      <c r="A87" s="74">
        <v>365</v>
      </c>
      <c r="B87" s="76">
        <v>0</v>
      </c>
      <c r="C87" s="74">
        <v>0</v>
      </c>
      <c r="D87" s="74">
        <v>0</v>
      </c>
      <c r="E87" s="51">
        <v>0</v>
      </c>
      <c r="F87" s="74">
        <v>0</v>
      </c>
      <c r="G87" s="74">
        <v>0</v>
      </c>
      <c r="H87" s="51">
        <v>0</v>
      </c>
      <c r="I87" s="74">
        <v>0</v>
      </c>
      <c r="J87" s="51">
        <v>0</v>
      </c>
    </row>
    <row r="88" spans="1:10" x14ac:dyDescent="0.3">
      <c r="A88" s="74">
        <v>370</v>
      </c>
      <c r="B88" s="76">
        <v>0</v>
      </c>
      <c r="C88" s="74">
        <v>0</v>
      </c>
      <c r="D88" s="74">
        <v>0</v>
      </c>
      <c r="E88" s="51">
        <v>0</v>
      </c>
      <c r="F88" s="74">
        <v>0</v>
      </c>
      <c r="G88" s="74">
        <v>0</v>
      </c>
      <c r="H88" s="51">
        <v>0</v>
      </c>
      <c r="I88" s="74">
        <v>0</v>
      </c>
      <c r="J88" s="51">
        <v>0</v>
      </c>
    </row>
    <row r="89" spans="1:10" x14ac:dyDescent="0.3">
      <c r="A89" s="74">
        <v>375</v>
      </c>
      <c r="B89" s="76">
        <v>0</v>
      </c>
      <c r="C89" s="74">
        <v>0</v>
      </c>
      <c r="D89" s="74">
        <v>0</v>
      </c>
      <c r="E89" s="51">
        <v>0</v>
      </c>
      <c r="F89" s="74">
        <v>0</v>
      </c>
      <c r="G89" s="74">
        <v>0</v>
      </c>
      <c r="H89" s="51">
        <v>0</v>
      </c>
      <c r="I89" s="74">
        <v>0</v>
      </c>
      <c r="J89" s="51">
        <v>0</v>
      </c>
    </row>
    <row r="90" spans="1:10" x14ac:dyDescent="0.3">
      <c r="A90" s="74">
        <v>380</v>
      </c>
      <c r="B90" s="76">
        <v>0</v>
      </c>
      <c r="C90" s="74">
        <v>0</v>
      </c>
      <c r="D90" s="74">
        <v>0</v>
      </c>
      <c r="E90" s="51">
        <v>0</v>
      </c>
      <c r="F90" s="74">
        <v>0</v>
      </c>
      <c r="G90" s="74">
        <v>0</v>
      </c>
      <c r="H90" s="51">
        <v>0</v>
      </c>
      <c r="I90" s="74">
        <v>0</v>
      </c>
      <c r="J90" s="51">
        <v>0</v>
      </c>
    </row>
    <row r="91" spans="1:10" x14ac:dyDescent="0.3">
      <c r="A91" s="74">
        <v>385</v>
      </c>
      <c r="B91" s="76">
        <v>0</v>
      </c>
      <c r="C91" s="74">
        <v>0</v>
      </c>
      <c r="D91" s="74">
        <v>0</v>
      </c>
      <c r="E91" s="51">
        <v>0</v>
      </c>
      <c r="F91" s="74">
        <v>0</v>
      </c>
      <c r="G91" s="74">
        <v>0</v>
      </c>
      <c r="H91" s="51">
        <v>0</v>
      </c>
      <c r="I91" s="74">
        <v>0</v>
      </c>
      <c r="J91" s="51">
        <v>0</v>
      </c>
    </row>
    <row r="92" spans="1:10" x14ac:dyDescent="0.3">
      <c r="A92" s="74">
        <v>390</v>
      </c>
      <c r="B92" s="76">
        <v>0</v>
      </c>
      <c r="C92" s="74">
        <v>0</v>
      </c>
      <c r="D92" s="74">
        <v>0</v>
      </c>
      <c r="E92" s="51">
        <v>0</v>
      </c>
      <c r="F92" s="74">
        <v>0</v>
      </c>
      <c r="G92" s="74">
        <v>0</v>
      </c>
      <c r="H92" s="51">
        <v>0</v>
      </c>
      <c r="I92" s="74">
        <v>0</v>
      </c>
      <c r="J92" s="51">
        <v>0</v>
      </c>
    </row>
    <row r="93" spans="1:10" x14ac:dyDescent="0.3">
      <c r="A93" s="74">
        <v>395</v>
      </c>
      <c r="B93" s="76">
        <v>0</v>
      </c>
      <c r="C93" s="74">
        <v>0</v>
      </c>
      <c r="D93" s="74">
        <v>0</v>
      </c>
      <c r="E93" s="51">
        <v>0</v>
      </c>
      <c r="F93" s="74">
        <v>0</v>
      </c>
      <c r="G93" s="74">
        <v>0</v>
      </c>
      <c r="H93" s="51">
        <v>0</v>
      </c>
      <c r="I93" s="74">
        <v>0</v>
      </c>
      <c r="J93" s="51">
        <v>0</v>
      </c>
    </row>
    <row r="94" spans="1:10" x14ac:dyDescent="0.3">
      <c r="A94" s="74">
        <v>400</v>
      </c>
      <c r="B94" s="76">
        <v>0</v>
      </c>
      <c r="C94" s="74">
        <v>0</v>
      </c>
      <c r="D94" s="74">
        <v>0</v>
      </c>
      <c r="E94" s="51">
        <v>0</v>
      </c>
      <c r="F94" s="74">
        <v>0</v>
      </c>
      <c r="G94" s="74">
        <v>0</v>
      </c>
      <c r="H94" s="51">
        <v>0</v>
      </c>
      <c r="I94" s="74">
        <v>0</v>
      </c>
      <c r="J94" s="51">
        <v>0</v>
      </c>
    </row>
    <row r="95" spans="1:10" x14ac:dyDescent="0.3">
      <c r="A95" s="74">
        <v>405</v>
      </c>
      <c r="B95" s="76">
        <v>0</v>
      </c>
      <c r="C95" s="74">
        <v>0</v>
      </c>
      <c r="D95" s="74">
        <v>0</v>
      </c>
      <c r="E95" s="51">
        <v>0</v>
      </c>
      <c r="F95" s="74">
        <v>0</v>
      </c>
      <c r="G95" s="74">
        <v>0</v>
      </c>
      <c r="H95" s="51">
        <v>0</v>
      </c>
      <c r="I95" s="74">
        <v>0</v>
      </c>
      <c r="J95" s="51">
        <v>0</v>
      </c>
    </row>
    <row r="96" spans="1:10" x14ac:dyDescent="0.3">
      <c r="A96" s="74">
        <v>410</v>
      </c>
      <c r="B96" s="76">
        <v>0</v>
      </c>
      <c r="C96" s="74">
        <v>0</v>
      </c>
      <c r="D96" s="74">
        <v>0</v>
      </c>
      <c r="E96" s="51">
        <v>0</v>
      </c>
      <c r="F96" s="74">
        <v>0</v>
      </c>
      <c r="G96" s="74">
        <v>0</v>
      </c>
      <c r="H96" s="51">
        <v>0</v>
      </c>
      <c r="I96" s="74">
        <v>0</v>
      </c>
      <c r="J96" s="51">
        <v>0</v>
      </c>
    </row>
    <row r="97" spans="1:10" x14ac:dyDescent="0.3">
      <c r="A97" s="74">
        <v>415</v>
      </c>
      <c r="B97" s="76">
        <v>0</v>
      </c>
      <c r="C97" s="74">
        <v>0</v>
      </c>
      <c r="D97" s="74">
        <v>0</v>
      </c>
      <c r="E97" s="51">
        <v>0</v>
      </c>
      <c r="F97" s="74">
        <v>0</v>
      </c>
      <c r="G97" s="74">
        <v>0</v>
      </c>
      <c r="H97" s="51">
        <v>0</v>
      </c>
      <c r="I97" s="74">
        <v>0</v>
      </c>
      <c r="J97" s="51">
        <v>0</v>
      </c>
    </row>
    <row r="98" spans="1:10" x14ac:dyDescent="0.3">
      <c r="A98" s="74">
        <v>420</v>
      </c>
      <c r="B98" s="76">
        <v>0</v>
      </c>
      <c r="C98" s="74">
        <v>0</v>
      </c>
      <c r="D98" s="74">
        <v>0</v>
      </c>
      <c r="E98" s="51">
        <v>0</v>
      </c>
      <c r="F98" s="74">
        <v>0</v>
      </c>
      <c r="G98" s="74">
        <v>0</v>
      </c>
      <c r="H98" s="51">
        <v>0</v>
      </c>
      <c r="I98" s="74">
        <v>0</v>
      </c>
      <c r="J98" s="51">
        <v>0</v>
      </c>
    </row>
    <row r="99" spans="1:10" x14ac:dyDescent="0.3">
      <c r="A99" s="74">
        <v>425</v>
      </c>
      <c r="B99" s="76">
        <v>0</v>
      </c>
      <c r="C99" s="74">
        <v>0</v>
      </c>
      <c r="D99" s="74">
        <v>0</v>
      </c>
      <c r="E99" s="51">
        <v>0</v>
      </c>
      <c r="F99" s="74">
        <v>0</v>
      </c>
      <c r="G99" s="74">
        <v>0</v>
      </c>
      <c r="H99" s="51">
        <v>0</v>
      </c>
      <c r="I99" s="74">
        <v>0</v>
      </c>
      <c r="J99" s="51">
        <v>0</v>
      </c>
    </row>
    <row r="100" spans="1:10" x14ac:dyDescent="0.3">
      <c r="A100" s="74">
        <v>430</v>
      </c>
      <c r="B100" s="76">
        <v>0</v>
      </c>
      <c r="C100" s="74">
        <v>0</v>
      </c>
      <c r="D100" s="74">
        <v>0</v>
      </c>
      <c r="E100" s="51">
        <v>0</v>
      </c>
      <c r="F100" s="74">
        <v>0</v>
      </c>
      <c r="G100" s="74">
        <v>0</v>
      </c>
      <c r="H100" s="51">
        <v>0</v>
      </c>
      <c r="I100" s="74">
        <v>0</v>
      </c>
      <c r="J100" s="51">
        <v>0</v>
      </c>
    </row>
    <row r="101" spans="1:10" x14ac:dyDescent="0.3">
      <c r="A101" s="74">
        <v>435</v>
      </c>
      <c r="B101" s="76">
        <v>0</v>
      </c>
      <c r="C101" s="74">
        <v>0</v>
      </c>
      <c r="D101" s="74">
        <v>0</v>
      </c>
      <c r="E101" s="51">
        <v>0</v>
      </c>
      <c r="F101" s="74">
        <v>0</v>
      </c>
      <c r="G101" s="74">
        <v>0</v>
      </c>
      <c r="H101" s="51">
        <v>0</v>
      </c>
      <c r="I101" s="74">
        <v>0</v>
      </c>
      <c r="J101" s="51">
        <v>0</v>
      </c>
    </row>
    <row r="102" spans="1:10" x14ac:dyDescent="0.3">
      <c r="A102" s="74">
        <v>436.46100000000001</v>
      </c>
      <c r="B102" s="76">
        <v>0</v>
      </c>
      <c r="C102" s="74">
        <v>0</v>
      </c>
      <c r="D102" s="74">
        <v>0</v>
      </c>
      <c r="E102" s="51">
        <v>0</v>
      </c>
      <c r="F102" s="74">
        <v>0</v>
      </c>
      <c r="G102" s="74">
        <v>0</v>
      </c>
      <c r="H102" s="51">
        <v>0</v>
      </c>
      <c r="I102" s="74">
        <v>0</v>
      </c>
      <c r="J102" s="51">
        <v>0</v>
      </c>
    </row>
  </sheetData>
  <conditionalFormatting sqref="A3">
    <cfRule type="cellIs" dxfId="14" priority="1" stopIfTrue="1" operator="equal">
      <formula>0</formula>
    </cfRule>
  </conditionalFormatting>
  <pageMargins left="0.75" right="0.75" top="1" bottom="1" header="0" footer="0"/>
  <pageSetup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02"/>
  <sheetViews>
    <sheetView workbookViewId="0">
      <selection activeCell="A2" sqref="A2"/>
    </sheetView>
  </sheetViews>
  <sheetFormatPr baseColWidth="10" defaultColWidth="11.5546875" defaultRowHeight="12" x14ac:dyDescent="0.25"/>
  <cols>
    <col min="1" max="1" width="15.77734375" style="126" customWidth="1"/>
    <col min="2" max="2" width="12.109375" style="127" customWidth="1"/>
    <col min="3" max="3" width="13.21875" style="126" customWidth="1"/>
    <col min="4" max="4" width="12.5546875" style="137" customWidth="1"/>
    <col min="5" max="5" width="13.109375" style="106" customWidth="1"/>
    <col min="6" max="6" width="14.21875" style="106" customWidth="1"/>
    <col min="7" max="7" width="12.44140625" style="106" customWidth="1"/>
    <col min="8" max="11" width="11.5546875" style="106" customWidth="1"/>
    <col min="12" max="12" width="15.88671875" style="106" customWidth="1"/>
    <col min="13" max="13" width="15.21875" style="106" customWidth="1"/>
    <col min="14" max="14" width="14.5546875" style="106" customWidth="1"/>
    <col min="15" max="15" width="13.77734375" style="106" customWidth="1"/>
    <col min="16" max="16" width="11.5546875" style="106" customWidth="1"/>
    <col min="17" max="17" width="16" style="106" customWidth="1"/>
    <col min="18" max="18" width="11.5546875" style="106" customWidth="1"/>
    <col min="19" max="16384" width="11.5546875" style="106"/>
  </cols>
  <sheetData>
    <row r="1" spans="1:17" ht="45" customHeight="1" x14ac:dyDescent="0.5">
      <c r="A1" s="104"/>
      <c r="B1" s="104"/>
      <c r="C1" s="105"/>
      <c r="D1" s="104"/>
      <c r="E1" s="104"/>
      <c r="F1" s="104"/>
      <c r="G1" s="104"/>
      <c r="H1" s="104"/>
      <c r="I1" s="104"/>
    </row>
    <row r="2" spans="1:17" ht="16.95" customHeight="1" x14ac:dyDescent="0.35">
      <c r="A2" s="107" t="s">
        <v>6</v>
      </c>
      <c r="B2" s="108"/>
      <c r="C2" s="109"/>
      <c r="D2" s="109"/>
      <c r="E2" s="109"/>
      <c r="F2" s="109"/>
      <c r="G2" s="109"/>
      <c r="H2" s="109"/>
      <c r="I2" s="109"/>
    </row>
    <row r="3" spans="1:17" ht="16.2" customHeight="1" x14ac:dyDescent="0.3">
      <c r="A3" s="153" t="s">
        <v>37</v>
      </c>
      <c r="B3" s="110"/>
      <c r="C3" s="111"/>
      <c r="D3" s="111"/>
      <c r="E3" s="111"/>
      <c r="F3" s="111"/>
      <c r="G3" s="111"/>
      <c r="H3" s="111"/>
      <c r="I3" s="109"/>
    </row>
    <row r="4" spans="1:17" ht="16.2" customHeight="1" x14ac:dyDescent="0.3">
      <c r="A4" s="110" t="s">
        <v>8</v>
      </c>
      <c r="B4" s="110" t="str">
        <f>Sammendrag!B4</f>
        <v>Granlien_andre</v>
      </c>
      <c r="C4" s="110"/>
      <c r="D4" s="111"/>
      <c r="E4" s="111"/>
      <c r="F4" s="111"/>
      <c r="G4" s="111"/>
      <c r="H4" s="111"/>
      <c r="I4" s="109"/>
    </row>
    <row r="5" spans="1:17" ht="15" customHeight="1" x14ac:dyDescent="0.25">
      <c r="A5" s="111"/>
      <c r="B5" s="111" t="str">
        <f>IF(Sammendrag!B5="","",Sammendrag!B5)</f>
        <v/>
      </c>
      <c r="C5" s="111"/>
      <c r="D5" s="111"/>
      <c r="E5" s="111"/>
      <c r="F5" s="111" t="str">
        <f>Sammendrag!F5</f>
        <v>Start profil:</v>
      </c>
      <c r="G5" s="111"/>
      <c r="H5" s="112">
        <f>Sammendrag!H5</f>
        <v>3.5</v>
      </c>
      <c r="I5" s="109"/>
    </row>
    <row r="6" spans="1:17" ht="15" customHeight="1" x14ac:dyDescent="0.25">
      <c r="A6" s="111"/>
      <c r="B6" s="111"/>
      <c r="C6" s="111"/>
      <c r="D6" s="111"/>
      <c r="E6" s="111"/>
      <c r="F6" s="111" t="str">
        <f>Sammendrag!F6</f>
        <v>Slutt profil:</v>
      </c>
      <c r="G6" s="111"/>
      <c r="H6" s="112">
        <f>Sammendrag!H6</f>
        <v>436.46100000000001</v>
      </c>
      <c r="I6" s="109"/>
    </row>
    <row r="7" spans="1:17" ht="15" customHeight="1" x14ac:dyDescent="0.25">
      <c r="A7" s="111"/>
      <c r="B7" s="111"/>
      <c r="C7" s="111"/>
      <c r="D7" s="111"/>
      <c r="E7" s="111"/>
      <c r="F7" s="111" t="str">
        <f>Sammendrag!F7</f>
        <v>Dato sist endret:</v>
      </c>
      <c r="G7" s="111"/>
      <c r="H7" s="113" t="str">
        <f>Sammendrag!H7</f>
        <v>5/19/2020 9:27:49 AM</v>
      </c>
      <c r="I7" s="109"/>
    </row>
    <row r="8" spans="1:17" ht="15" customHeight="1" x14ac:dyDescent="0.25">
      <c r="A8" s="111"/>
      <c r="B8" s="111"/>
      <c r="C8" s="111"/>
      <c r="D8" s="111"/>
      <c r="E8" s="111"/>
      <c r="F8" s="111"/>
      <c r="G8" s="111"/>
      <c r="H8" s="111"/>
      <c r="I8" s="109"/>
    </row>
    <row r="9" spans="1:17" ht="15" customHeight="1" x14ac:dyDescent="0.25">
      <c r="A9" s="114"/>
      <c r="B9" s="114"/>
      <c r="C9" s="114"/>
      <c r="D9" s="115"/>
      <c r="E9" s="114"/>
      <c r="F9" s="114"/>
      <c r="G9" s="115"/>
      <c r="H9" s="115"/>
    </row>
    <row r="10" spans="1:17" ht="15" customHeight="1" x14ac:dyDescent="0.25">
      <c r="A10" s="115"/>
      <c r="B10" s="115"/>
      <c r="C10" s="115"/>
      <c r="D10" s="115"/>
      <c r="E10" s="115"/>
      <c r="F10" s="115"/>
      <c r="G10" s="115"/>
      <c r="H10" s="115"/>
    </row>
    <row r="11" spans="1:17" x14ac:dyDescent="0.25">
      <c r="A11" s="116"/>
      <c r="B11" s="117"/>
      <c r="C11" s="117"/>
      <c r="D11" s="138"/>
      <c r="E11" s="114"/>
      <c r="F11" s="115"/>
      <c r="G11" s="115"/>
      <c r="H11" s="115"/>
      <c r="K11" s="118"/>
    </row>
    <row r="12" spans="1:17" ht="36.6" customHeight="1" thickBot="1" x14ac:dyDescent="0.3">
      <c r="A12" s="119" t="s">
        <v>25</v>
      </c>
      <c r="B12" s="148" t="s">
        <v>81</v>
      </c>
      <c r="C12" s="148" t="s">
        <v>82</v>
      </c>
      <c r="D12" s="149" t="s">
        <v>83</v>
      </c>
      <c r="E12" s="135"/>
      <c r="F12" s="135"/>
      <c r="G12" s="135"/>
      <c r="H12" s="120"/>
      <c r="I12" s="121"/>
      <c r="J12" s="121"/>
      <c r="K12" s="121"/>
      <c r="L12" s="121"/>
      <c r="M12" s="121"/>
      <c r="N12" s="121"/>
      <c r="O12" s="121"/>
      <c r="P12" s="121"/>
      <c r="Q12" s="121"/>
    </row>
    <row r="13" spans="1:17" ht="16.2" customHeight="1" thickTop="1" x14ac:dyDescent="0.3">
      <c r="A13" s="122" t="s">
        <v>26</v>
      </c>
      <c r="B13" s="123">
        <f ca="1">SUM([0]!IncLev_CD_SoilCut)</f>
        <v>0</v>
      </c>
      <c r="C13" s="123">
        <f ca="1">SUM([0]!IncLev_CD_RockCut)</f>
        <v>0</v>
      </c>
      <c r="D13" s="136">
        <f ca="1">SUM([0]!IncLev_CD_Fill)</f>
        <v>0</v>
      </c>
      <c r="E13" s="115"/>
      <c r="F13" s="115"/>
      <c r="G13" s="115"/>
      <c r="H13" s="121"/>
      <c r="I13" s="121"/>
      <c r="J13" s="124"/>
      <c r="K13" s="125"/>
      <c r="M13" s="121"/>
    </row>
    <row r="14" spans="1:17" ht="13.8" x14ac:dyDescent="0.3">
      <c r="A14" s="126">
        <v>3.5</v>
      </c>
      <c r="B14" s="127">
        <v>0</v>
      </c>
      <c r="C14" s="126">
        <v>0</v>
      </c>
      <c r="D14" s="137">
        <v>0</v>
      </c>
      <c r="J14" s="124"/>
      <c r="K14" s="125"/>
    </row>
    <row r="15" spans="1:17" ht="13.8" x14ac:dyDescent="0.3">
      <c r="A15" s="126">
        <v>5</v>
      </c>
      <c r="B15" s="127">
        <v>0</v>
      </c>
      <c r="C15" s="126">
        <v>0</v>
      </c>
      <c r="D15" s="137">
        <v>0</v>
      </c>
      <c r="J15" s="124"/>
      <c r="K15" s="125"/>
    </row>
    <row r="16" spans="1:17" ht="13.8" x14ac:dyDescent="0.3">
      <c r="A16" s="126">
        <v>10</v>
      </c>
      <c r="B16" s="127">
        <v>0</v>
      </c>
      <c r="C16" s="126">
        <v>0</v>
      </c>
      <c r="D16" s="137">
        <v>0</v>
      </c>
      <c r="J16" s="124"/>
      <c r="K16" s="125"/>
    </row>
    <row r="17" spans="1:11" ht="13.8" x14ac:dyDescent="0.3">
      <c r="A17" s="126">
        <v>15</v>
      </c>
      <c r="B17" s="127">
        <v>0</v>
      </c>
      <c r="C17" s="126">
        <v>0</v>
      </c>
      <c r="D17" s="137">
        <v>0</v>
      </c>
      <c r="J17" s="124"/>
      <c r="K17" s="125"/>
    </row>
    <row r="18" spans="1:11" ht="13.8" x14ac:dyDescent="0.3">
      <c r="A18" s="126">
        <v>20</v>
      </c>
      <c r="B18" s="127">
        <v>0</v>
      </c>
      <c r="C18" s="126">
        <v>0</v>
      </c>
      <c r="D18" s="137">
        <v>0</v>
      </c>
      <c r="J18" s="124"/>
      <c r="K18" s="125"/>
    </row>
    <row r="19" spans="1:11" x14ac:dyDescent="0.25">
      <c r="A19" s="126">
        <v>25</v>
      </c>
      <c r="B19" s="127">
        <v>0</v>
      </c>
      <c r="C19" s="126">
        <v>0</v>
      </c>
      <c r="D19" s="137">
        <v>0</v>
      </c>
    </row>
    <row r="20" spans="1:11" x14ac:dyDescent="0.25">
      <c r="A20" s="126">
        <v>30</v>
      </c>
      <c r="B20" s="127">
        <v>0</v>
      </c>
      <c r="C20" s="126">
        <v>0</v>
      </c>
      <c r="D20" s="137">
        <v>0</v>
      </c>
    </row>
    <row r="21" spans="1:11" x14ac:dyDescent="0.25">
      <c r="A21" s="126">
        <v>35</v>
      </c>
      <c r="B21" s="127">
        <v>0</v>
      </c>
      <c r="C21" s="126">
        <v>0</v>
      </c>
      <c r="D21" s="137">
        <v>0</v>
      </c>
    </row>
    <row r="22" spans="1:11" x14ac:dyDescent="0.25">
      <c r="A22" s="126">
        <v>40</v>
      </c>
      <c r="B22" s="127">
        <v>0</v>
      </c>
      <c r="C22" s="126">
        <v>0</v>
      </c>
      <c r="D22" s="137">
        <v>0</v>
      </c>
    </row>
    <row r="23" spans="1:11" x14ac:dyDescent="0.25">
      <c r="A23" s="126">
        <v>45</v>
      </c>
      <c r="B23" s="127">
        <v>0</v>
      </c>
      <c r="C23" s="126">
        <v>0</v>
      </c>
      <c r="D23" s="137">
        <v>0</v>
      </c>
    </row>
    <row r="24" spans="1:11" x14ac:dyDescent="0.25">
      <c r="A24" s="126">
        <v>50</v>
      </c>
      <c r="B24" s="127">
        <v>0</v>
      </c>
      <c r="C24" s="126">
        <v>0</v>
      </c>
      <c r="D24" s="137">
        <v>0</v>
      </c>
    </row>
    <row r="25" spans="1:11" x14ac:dyDescent="0.25">
      <c r="A25" s="126">
        <v>55</v>
      </c>
      <c r="B25" s="127">
        <v>0</v>
      </c>
      <c r="C25" s="126">
        <v>0</v>
      </c>
      <c r="D25" s="137">
        <v>0</v>
      </c>
    </row>
    <row r="26" spans="1:11" x14ac:dyDescent="0.25">
      <c r="A26" s="126">
        <v>60</v>
      </c>
      <c r="B26" s="127">
        <v>0</v>
      </c>
      <c r="C26" s="126">
        <v>0</v>
      </c>
      <c r="D26" s="137">
        <v>0</v>
      </c>
    </row>
    <row r="27" spans="1:11" x14ac:dyDescent="0.25">
      <c r="A27" s="126">
        <v>65</v>
      </c>
      <c r="B27" s="127">
        <v>0</v>
      </c>
      <c r="C27" s="126">
        <v>0</v>
      </c>
      <c r="D27" s="137">
        <v>0</v>
      </c>
    </row>
    <row r="28" spans="1:11" x14ac:dyDescent="0.25">
      <c r="A28" s="126">
        <v>70</v>
      </c>
      <c r="B28" s="127">
        <v>0</v>
      </c>
      <c r="C28" s="126">
        <v>0</v>
      </c>
      <c r="D28" s="137">
        <v>0</v>
      </c>
    </row>
    <row r="29" spans="1:11" x14ac:dyDescent="0.25">
      <c r="A29" s="126">
        <v>75</v>
      </c>
      <c r="B29" s="127">
        <v>0</v>
      </c>
      <c r="C29" s="126">
        <v>0</v>
      </c>
      <c r="D29" s="137">
        <v>0</v>
      </c>
    </row>
    <row r="30" spans="1:11" x14ac:dyDescent="0.25">
      <c r="A30" s="126">
        <v>80</v>
      </c>
      <c r="B30" s="127">
        <v>0</v>
      </c>
      <c r="C30" s="126">
        <v>0</v>
      </c>
      <c r="D30" s="137">
        <v>0</v>
      </c>
    </row>
    <row r="31" spans="1:11" x14ac:dyDescent="0.25">
      <c r="A31" s="126">
        <v>85</v>
      </c>
      <c r="B31" s="127">
        <v>0</v>
      </c>
      <c r="C31" s="126">
        <v>0</v>
      </c>
      <c r="D31" s="137">
        <v>0</v>
      </c>
    </row>
    <row r="32" spans="1:11" x14ac:dyDescent="0.25">
      <c r="A32" s="126">
        <v>90</v>
      </c>
      <c r="B32" s="127">
        <v>0</v>
      </c>
      <c r="C32" s="126">
        <v>0</v>
      </c>
      <c r="D32" s="137">
        <v>0</v>
      </c>
    </row>
    <row r="33" spans="1:4" x14ac:dyDescent="0.25">
      <c r="A33" s="126">
        <v>95</v>
      </c>
      <c r="B33" s="127">
        <v>0</v>
      </c>
      <c r="C33" s="126">
        <v>0</v>
      </c>
      <c r="D33" s="137">
        <v>0</v>
      </c>
    </row>
    <row r="34" spans="1:4" x14ac:dyDescent="0.25">
      <c r="A34" s="126">
        <v>100</v>
      </c>
      <c r="B34" s="127">
        <v>0</v>
      </c>
      <c r="C34" s="126">
        <v>0</v>
      </c>
      <c r="D34" s="137">
        <v>0</v>
      </c>
    </row>
    <row r="35" spans="1:4" x14ac:dyDescent="0.25">
      <c r="A35" s="126">
        <v>105</v>
      </c>
      <c r="B35" s="127">
        <v>0</v>
      </c>
      <c r="C35" s="126">
        <v>0</v>
      </c>
      <c r="D35" s="137">
        <v>0</v>
      </c>
    </row>
    <row r="36" spans="1:4" x14ac:dyDescent="0.25">
      <c r="A36" s="126">
        <v>110</v>
      </c>
      <c r="B36" s="127">
        <v>0</v>
      </c>
      <c r="C36" s="126">
        <v>0</v>
      </c>
      <c r="D36" s="137">
        <v>0</v>
      </c>
    </row>
    <row r="37" spans="1:4" x14ac:dyDescent="0.25">
      <c r="A37" s="126">
        <v>115</v>
      </c>
      <c r="B37" s="127">
        <v>0</v>
      </c>
      <c r="C37" s="126">
        <v>0</v>
      </c>
      <c r="D37" s="137">
        <v>0</v>
      </c>
    </row>
    <row r="38" spans="1:4" x14ac:dyDescent="0.25">
      <c r="A38" s="126">
        <v>120</v>
      </c>
      <c r="B38" s="127">
        <v>0</v>
      </c>
      <c r="C38" s="126">
        <v>0</v>
      </c>
      <c r="D38" s="137">
        <v>0</v>
      </c>
    </row>
    <row r="39" spans="1:4" x14ac:dyDescent="0.25">
      <c r="A39" s="126">
        <v>125</v>
      </c>
      <c r="B39" s="127">
        <v>0</v>
      </c>
      <c r="C39" s="126">
        <v>0</v>
      </c>
      <c r="D39" s="137">
        <v>0</v>
      </c>
    </row>
    <row r="40" spans="1:4" x14ac:dyDescent="0.25">
      <c r="A40" s="126">
        <v>130</v>
      </c>
      <c r="B40" s="127">
        <v>0</v>
      </c>
      <c r="C40" s="126">
        <v>0</v>
      </c>
      <c r="D40" s="137">
        <v>0</v>
      </c>
    </row>
    <row r="41" spans="1:4" x14ac:dyDescent="0.25">
      <c r="A41" s="126">
        <v>135</v>
      </c>
      <c r="B41" s="127">
        <v>0</v>
      </c>
      <c r="C41" s="126">
        <v>0</v>
      </c>
      <c r="D41" s="137">
        <v>0</v>
      </c>
    </row>
    <row r="42" spans="1:4" x14ac:dyDescent="0.25">
      <c r="A42" s="126">
        <v>140</v>
      </c>
      <c r="B42" s="127">
        <v>0</v>
      </c>
      <c r="C42" s="126">
        <v>0</v>
      </c>
      <c r="D42" s="137">
        <v>0</v>
      </c>
    </row>
    <row r="43" spans="1:4" x14ac:dyDescent="0.25">
      <c r="A43" s="126">
        <v>145</v>
      </c>
      <c r="B43" s="127">
        <v>0</v>
      </c>
      <c r="C43" s="126">
        <v>0</v>
      </c>
      <c r="D43" s="137">
        <v>0</v>
      </c>
    </row>
    <row r="44" spans="1:4" x14ac:dyDescent="0.25">
      <c r="A44" s="126">
        <v>150</v>
      </c>
      <c r="B44" s="127">
        <v>0</v>
      </c>
      <c r="C44" s="126">
        <v>0</v>
      </c>
      <c r="D44" s="137">
        <v>0</v>
      </c>
    </row>
    <row r="45" spans="1:4" x14ac:dyDescent="0.25">
      <c r="A45" s="126">
        <v>155</v>
      </c>
      <c r="B45" s="127">
        <v>0</v>
      </c>
      <c r="C45" s="126">
        <v>0</v>
      </c>
      <c r="D45" s="137">
        <v>0</v>
      </c>
    </row>
    <row r="46" spans="1:4" x14ac:dyDescent="0.25">
      <c r="A46" s="126">
        <v>160</v>
      </c>
      <c r="B46" s="127">
        <v>0</v>
      </c>
      <c r="C46" s="126">
        <v>0</v>
      </c>
      <c r="D46" s="137">
        <v>0</v>
      </c>
    </row>
    <row r="47" spans="1:4" x14ac:dyDescent="0.25">
      <c r="A47" s="126">
        <v>165</v>
      </c>
      <c r="B47" s="127">
        <v>0</v>
      </c>
      <c r="C47" s="126">
        <v>0</v>
      </c>
      <c r="D47" s="137">
        <v>0</v>
      </c>
    </row>
    <row r="48" spans="1:4" x14ac:dyDescent="0.25">
      <c r="A48" s="126">
        <v>170</v>
      </c>
      <c r="B48" s="127">
        <v>0</v>
      </c>
      <c r="C48" s="126">
        <v>0</v>
      </c>
      <c r="D48" s="137">
        <v>0</v>
      </c>
    </row>
    <row r="49" spans="1:4" x14ac:dyDescent="0.25">
      <c r="A49" s="126">
        <v>175</v>
      </c>
      <c r="B49" s="127">
        <v>0</v>
      </c>
      <c r="C49" s="126">
        <v>0</v>
      </c>
      <c r="D49" s="137">
        <v>0</v>
      </c>
    </row>
    <row r="50" spans="1:4" x14ac:dyDescent="0.25">
      <c r="A50" s="126">
        <v>180</v>
      </c>
      <c r="B50" s="127">
        <v>0</v>
      </c>
      <c r="C50" s="126">
        <v>0</v>
      </c>
      <c r="D50" s="137">
        <v>0</v>
      </c>
    </row>
    <row r="51" spans="1:4" x14ac:dyDescent="0.25">
      <c r="A51" s="126">
        <v>185</v>
      </c>
      <c r="B51" s="127">
        <v>0</v>
      </c>
      <c r="C51" s="126">
        <v>0</v>
      </c>
      <c r="D51" s="137">
        <v>0</v>
      </c>
    </row>
    <row r="52" spans="1:4" x14ac:dyDescent="0.25">
      <c r="A52" s="126">
        <v>190</v>
      </c>
      <c r="B52" s="127">
        <v>0</v>
      </c>
      <c r="C52" s="126">
        <v>0</v>
      </c>
      <c r="D52" s="137">
        <v>0</v>
      </c>
    </row>
    <row r="53" spans="1:4" x14ac:dyDescent="0.25">
      <c r="A53" s="126">
        <v>195</v>
      </c>
      <c r="B53" s="127">
        <v>0</v>
      </c>
      <c r="C53" s="126">
        <v>0</v>
      </c>
      <c r="D53" s="137">
        <v>0</v>
      </c>
    </row>
    <row r="54" spans="1:4" x14ac:dyDescent="0.25">
      <c r="A54" s="126">
        <v>200</v>
      </c>
      <c r="B54" s="127">
        <v>0</v>
      </c>
      <c r="C54" s="126">
        <v>0</v>
      </c>
      <c r="D54" s="137">
        <v>0</v>
      </c>
    </row>
    <row r="55" spans="1:4" x14ac:dyDescent="0.25">
      <c r="A55" s="126">
        <v>205</v>
      </c>
      <c r="B55" s="127">
        <v>0</v>
      </c>
      <c r="C55" s="126">
        <v>0</v>
      </c>
      <c r="D55" s="137">
        <v>0</v>
      </c>
    </row>
    <row r="56" spans="1:4" x14ac:dyDescent="0.25">
      <c r="A56" s="126">
        <v>210</v>
      </c>
      <c r="B56" s="127">
        <v>0</v>
      </c>
      <c r="C56" s="126">
        <v>0</v>
      </c>
      <c r="D56" s="137">
        <v>0</v>
      </c>
    </row>
    <row r="57" spans="1:4" x14ac:dyDescent="0.25">
      <c r="A57" s="126">
        <v>215</v>
      </c>
      <c r="B57" s="127">
        <v>0</v>
      </c>
      <c r="C57" s="126">
        <v>0</v>
      </c>
      <c r="D57" s="137">
        <v>0</v>
      </c>
    </row>
    <row r="58" spans="1:4" x14ac:dyDescent="0.25">
      <c r="A58" s="126">
        <v>220</v>
      </c>
      <c r="B58" s="127">
        <v>0</v>
      </c>
      <c r="C58" s="126">
        <v>0</v>
      </c>
      <c r="D58" s="137">
        <v>0</v>
      </c>
    </row>
    <row r="59" spans="1:4" x14ac:dyDescent="0.25">
      <c r="A59" s="126">
        <v>225</v>
      </c>
      <c r="B59" s="127">
        <v>0</v>
      </c>
      <c r="C59" s="126">
        <v>0</v>
      </c>
      <c r="D59" s="137">
        <v>0</v>
      </c>
    </row>
    <row r="60" spans="1:4" x14ac:dyDescent="0.25">
      <c r="A60" s="126">
        <v>230</v>
      </c>
      <c r="B60" s="127">
        <v>0</v>
      </c>
      <c r="C60" s="126">
        <v>0</v>
      </c>
      <c r="D60" s="137">
        <v>0</v>
      </c>
    </row>
    <row r="61" spans="1:4" x14ac:dyDescent="0.25">
      <c r="A61" s="126">
        <v>235</v>
      </c>
      <c r="B61" s="127">
        <v>0</v>
      </c>
      <c r="C61" s="126">
        <v>0</v>
      </c>
      <c r="D61" s="137">
        <v>0</v>
      </c>
    </row>
    <row r="62" spans="1:4" x14ac:dyDescent="0.25">
      <c r="A62" s="126">
        <v>240</v>
      </c>
      <c r="B62" s="127">
        <v>0</v>
      </c>
      <c r="C62" s="126">
        <v>0</v>
      </c>
      <c r="D62" s="137">
        <v>0</v>
      </c>
    </row>
    <row r="63" spans="1:4" x14ac:dyDescent="0.25">
      <c r="A63" s="126">
        <v>245</v>
      </c>
      <c r="B63" s="127">
        <v>0</v>
      </c>
      <c r="C63" s="126">
        <v>0</v>
      </c>
      <c r="D63" s="137">
        <v>0</v>
      </c>
    </row>
    <row r="64" spans="1:4" x14ac:dyDescent="0.25">
      <c r="A64" s="126">
        <v>250</v>
      </c>
      <c r="B64" s="127">
        <v>0</v>
      </c>
      <c r="C64" s="126">
        <v>0</v>
      </c>
      <c r="D64" s="137">
        <v>0</v>
      </c>
    </row>
    <row r="65" spans="1:4" x14ac:dyDescent="0.25">
      <c r="A65" s="126">
        <v>255</v>
      </c>
      <c r="B65" s="127">
        <v>0</v>
      </c>
      <c r="C65" s="126">
        <v>0</v>
      </c>
      <c r="D65" s="137">
        <v>0</v>
      </c>
    </row>
    <row r="66" spans="1:4" x14ac:dyDescent="0.25">
      <c r="A66" s="126">
        <v>260</v>
      </c>
      <c r="B66" s="127">
        <v>0</v>
      </c>
      <c r="C66" s="126">
        <v>0</v>
      </c>
      <c r="D66" s="137">
        <v>0</v>
      </c>
    </row>
    <row r="67" spans="1:4" x14ac:dyDescent="0.25">
      <c r="A67" s="126">
        <v>265</v>
      </c>
      <c r="B67" s="127">
        <v>0</v>
      </c>
      <c r="C67" s="126">
        <v>0</v>
      </c>
      <c r="D67" s="137">
        <v>0</v>
      </c>
    </row>
    <row r="68" spans="1:4" x14ac:dyDescent="0.25">
      <c r="A68" s="126">
        <v>270</v>
      </c>
      <c r="B68" s="127">
        <v>0</v>
      </c>
      <c r="C68" s="126">
        <v>0</v>
      </c>
      <c r="D68" s="137">
        <v>0</v>
      </c>
    </row>
    <row r="69" spans="1:4" x14ac:dyDescent="0.25">
      <c r="A69" s="126">
        <v>275</v>
      </c>
      <c r="B69" s="127">
        <v>0</v>
      </c>
      <c r="C69" s="126">
        <v>0</v>
      </c>
      <c r="D69" s="137">
        <v>0</v>
      </c>
    </row>
    <row r="70" spans="1:4" x14ac:dyDescent="0.25">
      <c r="A70" s="126">
        <v>280</v>
      </c>
      <c r="B70" s="127">
        <v>0</v>
      </c>
      <c r="C70" s="126">
        <v>0</v>
      </c>
      <c r="D70" s="137">
        <v>0</v>
      </c>
    </row>
    <row r="71" spans="1:4" x14ac:dyDescent="0.25">
      <c r="A71" s="126">
        <v>285</v>
      </c>
      <c r="B71" s="127">
        <v>0</v>
      </c>
      <c r="C71" s="126">
        <v>0</v>
      </c>
      <c r="D71" s="137">
        <v>0</v>
      </c>
    </row>
    <row r="72" spans="1:4" x14ac:dyDescent="0.25">
      <c r="A72" s="126">
        <v>290</v>
      </c>
      <c r="B72" s="127">
        <v>0</v>
      </c>
      <c r="C72" s="126">
        <v>0</v>
      </c>
      <c r="D72" s="137">
        <v>0</v>
      </c>
    </row>
    <row r="73" spans="1:4" x14ac:dyDescent="0.25">
      <c r="A73" s="126">
        <v>295</v>
      </c>
      <c r="B73" s="127">
        <v>0</v>
      </c>
      <c r="C73" s="126">
        <v>0</v>
      </c>
      <c r="D73" s="137">
        <v>0</v>
      </c>
    </row>
    <row r="74" spans="1:4" x14ac:dyDescent="0.25">
      <c r="A74" s="126">
        <v>300</v>
      </c>
      <c r="B74" s="127">
        <v>0</v>
      </c>
      <c r="C74" s="126">
        <v>0</v>
      </c>
      <c r="D74" s="137">
        <v>0</v>
      </c>
    </row>
    <row r="75" spans="1:4" x14ac:dyDescent="0.25">
      <c r="A75" s="126">
        <v>305</v>
      </c>
      <c r="B75" s="127">
        <v>0</v>
      </c>
      <c r="C75" s="126">
        <v>0</v>
      </c>
      <c r="D75" s="137">
        <v>0</v>
      </c>
    </row>
    <row r="76" spans="1:4" x14ac:dyDescent="0.25">
      <c r="A76" s="126">
        <v>310</v>
      </c>
      <c r="B76" s="127">
        <v>0</v>
      </c>
      <c r="C76" s="126">
        <v>0</v>
      </c>
      <c r="D76" s="137">
        <v>0</v>
      </c>
    </row>
    <row r="77" spans="1:4" x14ac:dyDescent="0.25">
      <c r="A77" s="126">
        <v>315</v>
      </c>
      <c r="B77" s="127">
        <v>0</v>
      </c>
      <c r="C77" s="126">
        <v>0</v>
      </c>
      <c r="D77" s="137">
        <v>0</v>
      </c>
    </row>
    <row r="78" spans="1:4" x14ac:dyDescent="0.25">
      <c r="A78" s="126">
        <v>320</v>
      </c>
      <c r="B78" s="127">
        <v>0</v>
      </c>
      <c r="C78" s="126">
        <v>0</v>
      </c>
      <c r="D78" s="137">
        <v>0</v>
      </c>
    </row>
    <row r="79" spans="1:4" x14ac:dyDescent="0.25">
      <c r="A79" s="126">
        <v>325</v>
      </c>
      <c r="B79" s="127">
        <v>0</v>
      </c>
      <c r="C79" s="126">
        <v>0</v>
      </c>
      <c r="D79" s="137">
        <v>0</v>
      </c>
    </row>
    <row r="80" spans="1:4" x14ac:dyDescent="0.25">
      <c r="A80" s="126">
        <v>330</v>
      </c>
      <c r="B80" s="127">
        <v>0</v>
      </c>
      <c r="C80" s="126">
        <v>0</v>
      </c>
      <c r="D80" s="137">
        <v>0</v>
      </c>
    </row>
    <row r="81" spans="1:4" x14ac:dyDescent="0.25">
      <c r="A81" s="126">
        <v>335</v>
      </c>
      <c r="B81" s="127">
        <v>0</v>
      </c>
      <c r="C81" s="126">
        <v>0</v>
      </c>
      <c r="D81" s="137">
        <v>0</v>
      </c>
    </row>
    <row r="82" spans="1:4" x14ac:dyDescent="0.25">
      <c r="A82" s="126">
        <v>340</v>
      </c>
      <c r="B82" s="127">
        <v>0</v>
      </c>
      <c r="C82" s="126">
        <v>0</v>
      </c>
      <c r="D82" s="137">
        <v>0</v>
      </c>
    </row>
    <row r="83" spans="1:4" x14ac:dyDescent="0.25">
      <c r="A83" s="126">
        <v>345</v>
      </c>
      <c r="B83" s="127">
        <v>0</v>
      </c>
      <c r="C83" s="126">
        <v>0</v>
      </c>
      <c r="D83" s="137">
        <v>0</v>
      </c>
    </row>
    <row r="84" spans="1:4" x14ac:dyDescent="0.25">
      <c r="A84" s="126">
        <v>350</v>
      </c>
      <c r="B84" s="127">
        <v>0</v>
      </c>
      <c r="C84" s="126">
        <v>0</v>
      </c>
      <c r="D84" s="137">
        <v>0</v>
      </c>
    </row>
    <row r="85" spans="1:4" x14ac:dyDescent="0.25">
      <c r="A85" s="126">
        <v>355</v>
      </c>
      <c r="B85" s="127">
        <v>0</v>
      </c>
      <c r="C85" s="126">
        <v>0</v>
      </c>
      <c r="D85" s="137">
        <v>0</v>
      </c>
    </row>
    <row r="86" spans="1:4" x14ac:dyDescent="0.25">
      <c r="A86" s="126">
        <v>360</v>
      </c>
      <c r="B86" s="127">
        <v>0</v>
      </c>
      <c r="C86" s="126">
        <v>0</v>
      </c>
      <c r="D86" s="137">
        <v>0</v>
      </c>
    </row>
    <row r="87" spans="1:4" x14ac:dyDescent="0.25">
      <c r="A87" s="126">
        <v>365</v>
      </c>
      <c r="B87" s="127">
        <v>0</v>
      </c>
      <c r="C87" s="126">
        <v>0</v>
      </c>
      <c r="D87" s="137">
        <v>0</v>
      </c>
    </row>
    <row r="88" spans="1:4" x14ac:dyDescent="0.25">
      <c r="A88" s="126">
        <v>370</v>
      </c>
      <c r="B88" s="127">
        <v>0</v>
      </c>
      <c r="C88" s="126">
        <v>0</v>
      </c>
      <c r="D88" s="137">
        <v>0</v>
      </c>
    </row>
    <row r="89" spans="1:4" x14ac:dyDescent="0.25">
      <c r="A89" s="126">
        <v>375</v>
      </c>
      <c r="B89" s="127">
        <v>0</v>
      </c>
      <c r="C89" s="126">
        <v>0</v>
      </c>
      <c r="D89" s="137">
        <v>0</v>
      </c>
    </row>
    <row r="90" spans="1:4" x14ac:dyDescent="0.25">
      <c r="A90" s="126">
        <v>380</v>
      </c>
      <c r="B90" s="127">
        <v>0</v>
      </c>
      <c r="C90" s="126">
        <v>0</v>
      </c>
      <c r="D90" s="137">
        <v>0</v>
      </c>
    </row>
    <row r="91" spans="1:4" x14ac:dyDescent="0.25">
      <c r="A91" s="126">
        <v>385</v>
      </c>
      <c r="B91" s="127">
        <v>0</v>
      </c>
      <c r="C91" s="126">
        <v>0</v>
      </c>
      <c r="D91" s="137">
        <v>0</v>
      </c>
    </row>
    <row r="92" spans="1:4" x14ac:dyDescent="0.25">
      <c r="A92" s="126">
        <v>390</v>
      </c>
      <c r="B92" s="127">
        <v>0</v>
      </c>
      <c r="C92" s="126">
        <v>0</v>
      </c>
      <c r="D92" s="137">
        <v>0</v>
      </c>
    </row>
    <row r="93" spans="1:4" x14ac:dyDescent="0.25">
      <c r="A93" s="126">
        <v>395</v>
      </c>
      <c r="B93" s="127">
        <v>0</v>
      </c>
      <c r="C93" s="126">
        <v>0</v>
      </c>
      <c r="D93" s="137">
        <v>0</v>
      </c>
    </row>
    <row r="94" spans="1:4" x14ac:dyDescent="0.25">
      <c r="A94" s="126">
        <v>400</v>
      </c>
      <c r="B94" s="127">
        <v>0</v>
      </c>
      <c r="C94" s="126">
        <v>0</v>
      </c>
      <c r="D94" s="137">
        <v>0</v>
      </c>
    </row>
    <row r="95" spans="1:4" x14ac:dyDescent="0.25">
      <c r="A95" s="126">
        <v>405</v>
      </c>
      <c r="B95" s="127">
        <v>0</v>
      </c>
      <c r="C95" s="126">
        <v>0</v>
      </c>
      <c r="D95" s="137">
        <v>0</v>
      </c>
    </row>
    <row r="96" spans="1:4" x14ac:dyDescent="0.25">
      <c r="A96" s="126">
        <v>410</v>
      </c>
      <c r="B96" s="127">
        <v>0</v>
      </c>
      <c r="C96" s="126">
        <v>0</v>
      </c>
      <c r="D96" s="137">
        <v>0</v>
      </c>
    </row>
    <row r="97" spans="1:4" x14ac:dyDescent="0.25">
      <c r="A97" s="126">
        <v>415</v>
      </c>
      <c r="B97" s="127">
        <v>0</v>
      </c>
      <c r="C97" s="126">
        <v>0</v>
      </c>
      <c r="D97" s="137">
        <v>0</v>
      </c>
    </row>
    <row r="98" spans="1:4" x14ac:dyDescent="0.25">
      <c r="A98" s="126">
        <v>420</v>
      </c>
      <c r="B98" s="127">
        <v>0</v>
      </c>
      <c r="C98" s="126">
        <v>0</v>
      </c>
      <c r="D98" s="137">
        <v>0</v>
      </c>
    </row>
    <row r="99" spans="1:4" x14ac:dyDescent="0.25">
      <c r="A99" s="126">
        <v>425</v>
      </c>
      <c r="B99" s="127">
        <v>0</v>
      </c>
      <c r="C99" s="126">
        <v>0</v>
      </c>
      <c r="D99" s="137">
        <v>0</v>
      </c>
    </row>
    <row r="100" spans="1:4" x14ac:dyDescent="0.25">
      <c r="A100" s="126">
        <v>430</v>
      </c>
      <c r="B100" s="127">
        <v>0</v>
      </c>
      <c r="C100" s="126">
        <v>0</v>
      </c>
      <c r="D100" s="137">
        <v>0</v>
      </c>
    </row>
    <row r="101" spans="1:4" x14ac:dyDescent="0.25">
      <c r="A101" s="126">
        <v>435</v>
      </c>
      <c r="B101" s="127">
        <v>0</v>
      </c>
      <c r="C101" s="126">
        <v>0</v>
      </c>
      <c r="D101" s="137">
        <v>0</v>
      </c>
    </row>
    <row r="102" spans="1:4" x14ac:dyDescent="0.25">
      <c r="A102" s="126">
        <v>436.46100000000001</v>
      </c>
      <c r="B102" s="127">
        <v>0</v>
      </c>
      <c r="C102" s="126">
        <v>0</v>
      </c>
      <c r="D102" s="137">
        <v>0</v>
      </c>
    </row>
  </sheetData>
  <conditionalFormatting sqref="B12:D12">
    <cfRule type="cellIs" dxfId="13" priority="1" stopIfTrue="1" operator="equal">
      <formula>0</formula>
    </cfRule>
  </conditionalFormatting>
  <pageMargins left="0.75" right="0.75" top="1" bottom="1" header="0" footer="0"/>
  <pageSetup fitToHeight="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102"/>
  <sheetViews>
    <sheetView topLeftCell="D1" zoomScaleNormal="100" workbookViewId="0">
      <selection activeCell="O13" sqref="O13"/>
    </sheetView>
  </sheetViews>
  <sheetFormatPr baseColWidth="10" defaultColWidth="11.5546875" defaultRowHeight="13.8" x14ac:dyDescent="0.3"/>
  <cols>
    <col min="1" max="1" width="15.77734375" style="74" customWidth="1"/>
    <col min="2" max="2" width="12.77734375" style="76" customWidth="1"/>
    <col min="3" max="3" width="12.88671875" style="95" customWidth="1"/>
    <col min="4" max="4" width="11.5546875" style="76" customWidth="1"/>
    <col min="5" max="5" width="11.5546875" style="95" customWidth="1"/>
    <col min="6" max="6" width="11.5546875" style="76" customWidth="1"/>
    <col min="7" max="7" width="11.5546875" style="95" customWidth="1"/>
    <col min="8" max="8" width="11.5546875" style="76" customWidth="1"/>
    <col min="9" max="9" width="11.5546875" style="95" customWidth="1"/>
    <col min="10" max="10" width="11.5546875" style="76" customWidth="1"/>
    <col min="11" max="11" width="11.5546875" style="134" customWidth="1"/>
    <col min="12" max="13" width="11.5546875" style="51" customWidth="1"/>
    <col min="14" max="14" width="11.5546875" style="76" customWidth="1"/>
    <col min="15" max="15" width="11.5546875" style="51" customWidth="1"/>
    <col min="16" max="16" width="11.5546875" style="76" customWidth="1"/>
    <col min="17" max="17" width="11.5546875" style="134" customWidth="1"/>
    <col min="18" max="19" width="11.5546875" style="51" customWidth="1"/>
    <col min="20" max="20" width="13" style="76" customWidth="1"/>
    <col min="21" max="21" width="11.21875" style="95" customWidth="1"/>
    <col min="22" max="22" width="14.5546875" style="51" customWidth="1"/>
    <col min="23" max="31" width="11.5546875" style="80" customWidth="1"/>
    <col min="32" max="32" width="11.5546875" style="51" customWidth="1"/>
    <col min="33" max="16384" width="11.5546875" style="51"/>
  </cols>
  <sheetData>
    <row r="1" spans="1:31" ht="45" customHeight="1" x14ac:dyDescent="0.5">
      <c r="A1" s="48"/>
      <c r="B1" s="48"/>
      <c r="C1" s="49"/>
      <c r="D1" s="48"/>
      <c r="E1" s="48"/>
      <c r="F1" s="48"/>
      <c r="G1" s="48"/>
      <c r="H1" s="48"/>
      <c r="I1" s="48"/>
      <c r="J1" s="84"/>
      <c r="K1" s="84"/>
      <c r="L1" s="84"/>
      <c r="M1" s="84"/>
      <c r="N1" s="48"/>
      <c r="O1" s="85"/>
      <c r="P1" s="84"/>
      <c r="Q1" s="85"/>
      <c r="R1" s="85"/>
      <c r="S1" s="85"/>
      <c r="T1" s="48"/>
      <c r="U1" s="48"/>
    </row>
    <row r="2" spans="1:31" ht="16.95" customHeight="1" x14ac:dyDescent="0.35">
      <c r="A2" s="8" t="s">
        <v>6</v>
      </c>
      <c r="B2" s="52"/>
      <c r="C2" s="53"/>
      <c r="D2" s="53"/>
      <c r="E2" s="53"/>
      <c r="F2" s="53"/>
      <c r="G2" s="53"/>
      <c r="H2" s="53"/>
      <c r="I2" s="53"/>
      <c r="J2" s="86"/>
      <c r="K2" s="86"/>
      <c r="L2" s="86"/>
      <c r="M2" s="86"/>
      <c r="N2" s="53"/>
      <c r="O2" s="87"/>
      <c r="P2" s="86"/>
      <c r="Q2" s="87"/>
      <c r="R2" s="87"/>
      <c r="S2" s="87"/>
      <c r="T2" s="53"/>
      <c r="U2" s="53"/>
    </row>
    <row r="3" spans="1:31" ht="16.2" customHeight="1" x14ac:dyDescent="0.3">
      <c r="A3" s="153" t="s">
        <v>41</v>
      </c>
      <c r="B3" s="55"/>
      <c r="C3" s="56"/>
      <c r="D3" s="56"/>
      <c r="E3" s="56"/>
      <c r="F3" s="56"/>
      <c r="G3" s="56"/>
      <c r="H3" s="56"/>
      <c r="I3" s="56"/>
      <c r="J3" s="9"/>
      <c r="K3" s="9"/>
      <c r="L3" s="9"/>
      <c r="M3" s="9"/>
      <c r="N3" s="56"/>
      <c r="O3" s="10"/>
      <c r="P3" s="9"/>
      <c r="Q3" s="10"/>
      <c r="R3" s="10"/>
      <c r="S3" s="10"/>
      <c r="T3" s="56"/>
      <c r="U3" s="56"/>
      <c r="V3" s="19"/>
    </row>
    <row r="4" spans="1:31" ht="16.2" customHeight="1" x14ac:dyDescent="0.3">
      <c r="A4" s="55" t="s">
        <v>8</v>
      </c>
      <c r="B4" s="55" t="str">
        <f>Sammendrag!B4</f>
        <v>Granlien_andre</v>
      </c>
      <c r="C4" s="55"/>
      <c r="D4" s="56"/>
      <c r="E4" s="56"/>
      <c r="F4" s="56"/>
      <c r="G4" s="56"/>
      <c r="H4" s="56"/>
      <c r="I4" s="56"/>
      <c r="J4" s="9"/>
      <c r="K4" s="9"/>
      <c r="L4" s="9"/>
      <c r="M4" s="9"/>
      <c r="N4" s="56"/>
      <c r="O4" s="10"/>
      <c r="P4" s="9"/>
      <c r="Q4" s="10"/>
      <c r="R4" s="10"/>
      <c r="S4" s="10"/>
      <c r="T4" s="56"/>
      <c r="U4" s="56"/>
      <c r="V4" s="19"/>
    </row>
    <row r="5" spans="1:31" ht="15" customHeight="1" x14ac:dyDescent="0.3">
      <c r="A5" s="56"/>
      <c r="B5" s="56" t="str">
        <f>IF(Sammendrag!B5="","",Sammendrag!B5)</f>
        <v/>
      </c>
      <c r="C5" s="56"/>
      <c r="D5" s="56"/>
      <c r="E5" s="56"/>
      <c r="F5" s="56" t="str">
        <f>Sammendrag!F5</f>
        <v>Start profil:</v>
      </c>
      <c r="G5" s="56"/>
      <c r="H5" s="15">
        <f>Sammendrag!H5</f>
        <v>3.5</v>
      </c>
      <c r="I5" s="56"/>
      <c r="J5" s="9"/>
      <c r="K5" s="9"/>
      <c r="L5" s="9"/>
      <c r="M5" s="9"/>
      <c r="N5" s="56"/>
      <c r="O5" s="10"/>
      <c r="P5" s="9"/>
      <c r="Q5" s="10"/>
      <c r="R5" s="10"/>
      <c r="S5" s="10"/>
      <c r="T5" s="56"/>
      <c r="U5" s="56"/>
      <c r="V5" s="19"/>
    </row>
    <row r="6" spans="1:31" ht="15" customHeight="1" x14ac:dyDescent="0.3">
      <c r="A6" s="56"/>
      <c r="B6" s="56"/>
      <c r="C6" s="56"/>
      <c r="D6" s="56"/>
      <c r="E6" s="56"/>
      <c r="F6" s="56" t="str">
        <f>Sammendrag!F6</f>
        <v>Slutt profil:</v>
      </c>
      <c r="G6" s="56"/>
      <c r="H6" s="15">
        <f>Sammendrag!H6</f>
        <v>436.46100000000001</v>
      </c>
      <c r="I6" s="56"/>
      <c r="J6" s="9"/>
      <c r="K6" s="9"/>
      <c r="L6" s="9"/>
      <c r="M6" s="9"/>
      <c r="N6" s="56"/>
      <c r="O6" s="10"/>
      <c r="P6" s="9"/>
      <c r="Q6" s="10"/>
      <c r="R6" s="10"/>
      <c r="S6" s="10"/>
      <c r="T6" s="56"/>
      <c r="U6" s="56"/>
      <c r="V6" s="19"/>
    </row>
    <row r="7" spans="1:31" ht="15" customHeight="1" x14ac:dyDescent="0.3">
      <c r="A7" s="56"/>
      <c r="B7" s="56"/>
      <c r="C7" s="56"/>
      <c r="D7" s="56"/>
      <c r="E7" s="56"/>
      <c r="F7" s="56" t="str">
        <f>Sammendrag!F7</f>
        <v>Dato sist endret:</v>
      </c>
      <c r="G7" s="56"/>
      <c r="H7" s="58" t="str">
        <f>Sammendrag!H7</f>
        <v>5/19/2020 9:27:49 AM</v>
      </c>
      <c r="I7" s="56"/>
      <c r="J7" s="9"/>
      <c r="K7" s="9"/>
      <c r="L7" s="9"/>
      <c r="M7" s="9"/>
      <c r="N7" s="56"/>
      <c r="O7" s="10"/>
      <c r="P7" s="9"/>
      <c r="Q7" s="10"/>
      <c r="R7" s="10"/>
      <c r="S7" s="10"/>
      <c r="T7" s="56"/>
      <c r="U7" s="56"/>
      <c r="V7" s="19"/>
    </row>
    <row r="8" spans="1:31" ht="15" customHeight="1" x14ac:dyDescent="0.3">
      <c r="A8" s="56"/>
      <c r="B8" s="56"/>
      <c r="C8" s="56"/>
      <c r="D8" s="56"/>
      <c r="E8" s="56"/>
      <c r="F8" s="56"/>
      <c r="G8" s="56"/>
      <c r="H8" s="15"/>
      <c r="I8" s="56"/>
      <c r="J8" s="9"/>
      <c r="K8" s="9"/>
      <c r="L8" s="9"/>
      <c r="M8" s="9"/>
      <c r="N8" s="56"/>
      <c r="O8" s="10"/>
      <c r="P8" s="9"/>
      <c r="Q8" s="10"/>
      <c r="R8" s="10"/>
      <c r="S8" s="10"/>
      <c r="T8" s="56"/>
      <c r="U8" s="56"/>
      <c r="V8" s="19"/>
    </row>
    <row r="9" spans="1:31" ht="15" customHeight="1" x14ac:dyDescent="0.3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spans="1:31" ht="15" customHeight="1" x14ac:dyDescent="0.3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pans="1:31" s="91" customFormat="1" ht="17.399999999999999" customHeight="1" x14ac:dyDescent="0.25">
      <c r="A11" s="88"/>
      <c r="B11" s="158" t="s">
        <v>42</v>
      </c>
      <c r="C11" s="159"/>
      <c r="D11" s="158" t="s">
        <v>43</v>
      </c>
      <c r="E11" s="159"/>
      <c r="F11" s="158" t="s">
        <v>44</v>
      </c>
      <c r="G11" s="159"/>
      <c r="H11" s="158" t="s">
        <v>45</v>
      </c>
      <c r="I11" s="159"/>
      <c r="J11" s="158" t="s">
        <v>46</v>
      </c>
      <c r="K11" s="159"/>
      <c r="L11" s="158" t="s">
        <v>47</v>
      </c>
      <c r="M11" s="159"/>
      <c r="N11" s="158" t="s">
        <v>48</v>
      </c>
      <c r="O11" s="159"/>
      <c r="P11" s="158" t="s">
        <v>49</v>
      </c>
      <c r="Q11" s="159"/>
      <c r="R11" s="158" t="s">
        <v>50</v>
      </c>
      <c r="S11" s="159"/>
      <c r="T11" s="158" t="s">
        <v>51</v>
      </c>
      <c r="U11" s="159"/>
      <c r="V11" s="89"/>
      <c r="W11" s="90"/>
      <c r="X11" s="90"/>
      <c r="Y11" s="90"/>
      <c r="Z11" s="90"/>
      <c r="AA11" s="90"/>
      <c r="AB11" s="90"/>
      <c r="AC11" s="90"/>
      <c r="AD11" s="90"/>
      <c r="AE11" s="90"/>
    </row>
    <row r="12" spans="1:31" s="91" customFormat="1" ht="21.6" customHeight="1" thickBot="1" x14ac:dyDescent="0.3">
      <c r="A12" s="92" t="s">
        <v>25</v>
      </c>
      <c r="B12" s="150" t="s">
        <v>84</v>
      </c>
      <c r="C12" s="151" t="s">
        <v>85</v>
      </c>
      <c r="D12" s="150" t="s">
        <v>84</v>
      </c>
      <c r="E12" s="151" t="s">
        <v>85</v>
      </c>
      <c r="F12" s="150" t="s">
        <v>84</v>
      </c>
      <c r="G12" s="151" t="s">
        <v>85</v>
      </c>
      <c r="H12" s="150" t="s">
        <v>84</v>
      </c>
      <c r="I12" s="151" t="s">
        <v>85</v>
      </c>
      <c r="J12" s="150" t="s">
        <v>84</v>
      </c>
      <c r="K12" s="151" t="s">
        <v>85</v>
      </c>
      <c r="L12" s="150" t="s">
        <v>84</v>
      </c>
      <c r="M12" s="151" t="s">
        <v>85</v>
      </c>
      <c r="N12" s="150" t="s">
        <v>84</v>
      </c>
      <c r="O12" s="151" t="s">
        <v>85</v>
      </c>
      <c r="P12" s="150" t="s">
        <v>84</v>
      </c>
      <c r="Q12" s="151" t="s">
        <v>85</v>
      </c>
      <c r="R12" s="150" t="s">
        <v>84</v>
      </c>
      <c r="S12" s="151" t="s">
        <v>85</v>
      </c>
      <c r="T12" s="150" t="s">
        <v>84</v>
      </c>
      <c r="U12" s="151" t="s">
        <v>85</v>
      </c>
      <c r="V12" s="93"/>
      <c r="W12" s="90"/>
      <c r="X12" s="90"/>
      <c r="Y12" s="90"/>
      <c r="Z12" s="90"/>
      <c r="AA12" s="90"/>
      <c r="AB12" s="90"/>
      <c r="AC12" s="90"/>
      <c r="AD12" s="90"/>
      <c r="AE12" s="90"/>
    </row>
    <row r="13" spans="1:31" ht="16.2" customHeight="1" thickTop="1" x14ac:dyDescent="0.3">
      <c r="A13" s="69" t="s">
        <v>26</v>
      </c>
      <c r="B13" s="70">
        <f ca="1">SUM([0]!ST_Surface_Vol)</f>
        <v>174.87341890205738</v>
      </c>
      <c r="C13" s="94">
        <f ca="1">SUM([0]!ST_Surface_Area)</f>
        <v>4918.652753194774</v>
      </c>
      <c r="D13" s="70">
        <f ca="1">SUM([0]!ST_Binder1_Vol)</f>
        <v>106.2299437022011</v>
      </c>
      <c r="E13" s="94">
        <f ca="1">SUM([0]!ST_Binder1_Area)</f>
        <v>3565.8727449886546</v>
      </c>
      <c r="F13" s="70">
        <f ca="1">SUM([0]!ST_Binder2_Vol)</f>
        <v>0</v>
      </c>
      <c r="G13" s="94">
        <f ca="1">SUM([0]!ST_Binder2_Area)</f>
        <v>0</v>
      </c>
      <c r="H13" s="70">
        <f ca="1">SUM([0]!ST_Base1_Vol)</f>
        <v>837.96361136114842</v>
      </c>
      <c r="I13" s="94">
        <f ca="1">SUM([0]!ST_Base1_Area)</f>
        <v>4962.9575111241629</v>
      </c>
      <c r="J13" s="70">
        <f ca="1">SUM([0]!ST_Base2_Vol)</f>
        <v>0</v>
      </c>
      <c r="K13" s="133">
        <f ca="1">SUM([0]!ST_Base2_Area)</f>
        <v>0</v>
      </c>
      <c r="L13" s="59">
        <f ca="1">SUM([0]!ST_Base3_Vol)</f>
        <v>0</v>
      </c>
      <c r="M13" s="94">
        <f ca="1">SUM([0]!ST_Base3_Area)</f>
        <v>0</v>
      </c>
      <c r="N13" s="70">
        <f ca="1">SUM([0]!ST_Subbase1_Vol)</f>
        <v>1454.6561038757018</v>
      </c>
      <c r="O13" s="94">
        <f ca="1">SUM([0]!ST_Subbase1_Area)</f>
        <v>5021.7211354100546</v>
      </c>
      <c r="P13" s="70">
        <f ca="1">SUM([0]!ST_Subbase2_Vol)</f>
        <v>0</v>
      </c>
      <c r="Q13" s="133">
        <f ca="1">SUM([0]!ST_Subbase2_Area)</f>
        <v>0</v>
      </c>
      <c r="R13" s="59">
        <f ca="1">SUM([0]!ST_Subbase3_Vol)</f>
        <v>0</v>
      </c>
      <c r="S13" s="94">
        <f ca="1">SUM([0]!ST_Subbase3_Area)</f>
        <v>0</v>
      </c>
      <c r="T13" s="70">
        <f ca="1">SUM([0]!ST_Filter_Vol)</f>
        <v>0</v>
      </c>
      <c r="U13" s="94">
        <f ca="1">SUM([0]!ST_Filter_Area)</f>
        <v>0</v>
      </c>
    </row>
    <row r="14" spans="1:31" x14ac:dyDescent="0.3">
      <c r="A14" s="74">
        <v>3.5</v>
      </c>
      <c r="B14" s="76">
        <v>0.244060128685504</v>
      </c>
      <c r="C14" s="95">
        <v>10.981121215784199</v>
      </c>
      <c r="D14" s="76">
        <v>0.210085441193542</v>
      </c>
      <c r="E14" s="95">
        <v>10.9901168610076</v>
      </c>
      <c r="F14" s="76">
        <v>0</v>
      </c>
      <c r="G14" s="95">
        <v>0</v>
      </c>
      <c r="H14" s="76">
        <v>1.42155231590989</v>
      </c>
      <c r="I14" s="95">
        <v>11.3351548111289</v>
      </c>
      <c r="J14" s="76">
        <v>0</v>
      </c>
      <c r="K14" s="134">
        <v>0</v>
      </c>
      <c r="L14" s="51">
        <v>0</v>
      </c>
      <c r="M14" s="95">
        <v>0</v>
      </c>
      <c r="N14" s="76">
        <v>2.1979498537526201</v>
      </c>
      <c r="O14" s="95">
        <v>11.6588639387346</v>
      </c>
      <c r="P14" s="76">
        <v>0</v>
      </c>
      <c r="Q14" s="134">
        <v>0</v>
      </c>
      <c r="R14" s="51">
        <v>0</v>
      </c>
      <c r="S14" s="51">
        <v>0</v>
      </c>
      <c r="T14" s="76">
        <v>0</v>
      </c>
      <c r="U14" s="95">
        <v>0</v>
      </c>
    </row>
    <row r="15" spans="1:31" x14ac:dyDescent="0.3">
      <c r="A15" s="74">
        <v>5</v>
      </c>
      <c r="B15" s="76">
        <v>1.4850083455315799</v>
      </c>
      <c r="C15" s="95">
        <v>45.636091375908599</v>
      </c>
      <c r="D15" s="76">
        <v>1.1419434975220499</v>
      </c>
      <c r="E15" s="95">
        <v>41.024461098111502</v>
      </c>
      <c r="F15" s="76">
        <v>0</v>
      </c>
      <c r="G15" s="95">
        <v>0</v>
      </c>
      <c r="H15" s="76">
        <v>8.0806033688845709</v>
      </c>
      <c r="I15" s="95">
        <v>46.811883166229698</v>
      </c>
      <c r="J15" s="76">
        <v>0</v>
      </c>
      <c r="K15" s="134">
        <v>0</v>
      </c>
      <c r="L15" s="51">
        <v>0</v>
      </c>
      <c r="M15" s="95">
        <v>0</v>
      </c>
      <c r="N15" s="76">
        <v>12.904620929897</v>
      </c>
      <c r="O15" s="95">
        <v>48.135596755303901</v>
      </c>
      <c r="P15" s="76">
        <v>0</v>
      </c>
      <c r="Q15" s="134">
        <v>0</v>
      </c>
      <c r="R15" s="51">
        <v>0</v>
      </c>
      <c r="S15" s="51">
        <v>0</v>
      </c>
      <c r="T15" s="76">
        <v>0</v>
      </c>
      <c r="U15" s="95">
        <v>0</v>
      </c>
    </row>
    <row r="16" spans="1:31" x14ac:dyDescent="0.3">
      <c r="A16" s="74">
        <v>10</v>
      </c>
      <c r="B16" s="76">
        <v>2.0999706003940402</v>
      </c>
      <c r="C16" s="95">
        <v>59.752159867093198</v>
      </c>
      <c r="D16" s="76">
        <v>1.40997998859052</v>
      </c>
      <c r="E16" s="95">
        <v>47.3442832045152</v>
      </c>
      <c r="F16" s="76">
        <v>0</v>
      </c>
      <c r="G16" s="95">
        <v>0</v>
      </c>
      <c r="H16" s="76">
        <v>10.687646602672199</v>
      </c>
      <c r="I16" s="95">
        <v>61.697394230090502</v>
      </c>
      <c r="J16" s="76">
        <v>0</v>
      </c>
      <c r="K16" s="134">
        <v>0</v>
      </c>
      <c r="L16" s="51">
        <v>0</v>
      </c>
      <c r="M16" s="95">
        <v>0</v>
      </c>
      <c r="N16" s="76">
        <v>18.165199476258302</v>
      </c>
      <c r="O16" s="95">
        <v>63.766850700587298</v>
      </c>
      <c r="P16" s="76">
        <v>0</v>
      </c>
      <c r="Q16" s="134">
        <v>0</v>
      </c>
      <c r="R16" s="51">
        <v>0</v>
      </c>
      <c r="S16" s="51">
        <v>0</v>
      </c>
      <c r="T16" s="76">
        <v>0</v>
      </c>
      <c r="U16" s="95">
        <v>0</v>
      </c>
    </row>
    <row r="17" spans="1:21" x14ac:dyDescent="0.3">
      <c r="A17" s="74">
        <v>15</v>
      </c>
      <c r="B17" s="76">
        <v>2.0013902392685199</v>
      </c>
      <c r="C17" s="95">
        <v>56.660057613914503</v>
      </c>
      <c r="D17" s="76">
        <v>1.2851530403515301</v>
      </c>
      <c r="E17" s="95">
        <v>43.166654034127603</v>
      </c>
      <c r="F17" s="76">
        <v>0</v>
      </c>
      <c r="G17" s="95">
        <v>0</v>
      </c>
      <c r="H17" s="76">
        <v>9.9697890685964694</v>
      </c>
      <c r="I17" s="95">
        <v>58.543619208258697</v>
      </c>
      <c r="J17" s="76">
        <v>0</v>
      </c>
      <c r="K17" s="134">
        <v>0</v>
      </c>
      <c r="L17" s="51">
        <v>0</v>
      </c>
      <c r="M17" s="95">
        <v>0</v>
      </c>
      <c r="N17" s="76">
        <v>17.2835208437637</v>
      </c>
      <c r="O17" s="95">
        <v>61.186627871065397</v>
      </c>
      <c r="P17" s="76">
        <v>0</v>
      </c>
      <c r="Q17" s="134">
        <v>0</v>
      </c>
      <c r="R17" s="51">
        <v>0</v>
      </c>
      <c r="S17" s="51">
        <v>0</v>
      </c>
      <c r="T17" s="76">
        <v>0</v>
      </c>
      <c r="U17" s="95">
        <v>0</v>
      </c>
    </row>
    <row r="18" spans="1:21" x14ac:dyDescent="0.3">
      <c r="A18" s="74">
        <v>20</v>
      </c>
      <c r="B18" s="76">
        <v>2.0249595028840299</v>
      </c>
      <c r="C18" s="95">
        <v>57.2639390444619</v>
      </c>
      <c r="D18" s="76">
        <v>1.27840075223037</v>
      </c>
      <c r="E18" s="95">
        <v>42.940553037749901</v>
      </c>
      <c r="F18" s="76">
        <v>0</v>
      </c>
      <c r="G18" s="95">
        <v>0</v>
      </c>
      <c r="H18" s="76">
        <v>10.0010657899546</v>
      </c>
      <c r="I18" s="95">
        <v>59.135061031874599</v>
      </c>
      <c r="J18" s="76">
        <v>0</v>
      </c>
      <c r="K18" s="134">
        <v>0</v>
      </c>
      <c r="L18" s="51">
        <v>0</v>
      </c>
      <c r="M18" s="95">
        <v>0</v>
      </c>
      <c r="N18" s="76">
        <v>17.443680618604699</v>
      </c>
      <c r="O18" s="95">
        <v>61.824211413494702</v>
      </c>
      <c r="P18" s="76">
        <v>0</v>
      </c>
      <c r="Q18" s="134">
        <v>0</v>
      </c>
      <c r="R18" s="51">
        <v>0</v>
      </c>
      <c r="S18" s="51">
        <v>0</v>
      </c>
      <c r="T18" s="76">
        <v>0</v>
      </c>
      <c r="U18" s="95">
        <v>0</v>
      </c>
    </row>
    <row r="19" spans="1:21" x14ac:dyDescent="0.3">
      <c r="A19" s="74">
        <v>25</v>
      </c>
      <c r="B19" s="76">
        <v>2.0522700164179901</v>
      </c>
      <c r="C19" s="95">
        <v>57.960318091394399</v>
      </c>
      <c r="D19" s="76">
        <v>1.27574734150306</v>
      </c>
      <c r="E19" s="95">
        <v>42.838713259199899</v>
      </c>
      <c r="F19" s="76">
        <v>0</v>
      </c>
      <c r="G19" s="95">
        <v>0</v>
      </c>
      <c r="H19" s="76">
        <v>10.057013436943899</v>
      </c>
      <c r="I19" s="95">
        <v>59.818809815117397</v>
      </c>
      <c r="J19" s="76">
        <v>0</v>
      </c>
      <c r="K19" s="134">
        <v>0</v>
      </c>
      <c r="L19" s="51">
        <v>0</v>
      </c>
      <c r="M19" s="95">
        <v>0</v>
      </c>
      <c r="N19" s="76">
        <v>17.635721272871098</v>
      </c>
      <c r="O19" s="95">
        <v>62.531693041428703</v>
      </c>
      <c r="P19" s="76">
        <v>0</v>
      </c>
      <c r="Q19" s="134">
        <v>0</v>
      </c>
      <c r="R19" s="51">
        <v>0</v>
      </c>
      <c r="S19" s="51">
        <v>0</v>
      </c>
      <c r="T19" s="76">
        <v>0</v>
      </c>
      <c r="U19" s="95">
        <v>0</v>
      </c>
    </row>
    <row r="20" spans="1:21" x14ac:dyDescent="0.3">
      <c r="A20" s="74">
        <v>30</v>
      </c>
      <c r="B20" s="76">
        <v>2.1206580586818999</v>
      </c>
      <c r="C20" s="95">
        <v>59.6875998531468</v>
      </c>
      <c r="D20" s="76">
        <v>1.27299520020421</v>
      </c>
      <c r="E20" s="95">
        <v>42.731932989268898</v>
      </c>
      <c r="F20" s="76">
        <v>0</v>
      </c>
      <c r="G20" s="95">
        <v>0</v>
      </c>
      <c r="H20" s="76">
        <v>10.2152302299487</v>
      </c>
      <c r="I20" s="95">
        <v>61.537205155738398</v>
      </c>
      <c r="J20" s="76">
        <v>0</v>
      </c>
      <c r="K20" s="134">
        <v>0</v>
      </c>
      <c r="L20" s="51">
        <v>0</v>
      </c>
      <c r="M20" s="95">
        <v>0</v>
      </c>
      <c r="N20" s="76">
        <v>18.133898991861201</v>
      </c>
      <c r="O20" s="95">
        <v>64.281996720569197</v>
      </c>
      <c r="P20" s="76">
        <v>0</v>
      </c>
      <c r="Q20" s="134">
        <v>0</v>
      </c>
      <c r="R20" s="51">
        <v>0</v>
      </c>
      <c r="S20" s="51">
        <v>0</v>
      </c>
      <c r="T20" s="76">
        <v>0</v>
      </c>
      <c r="U20" s="95">
        <v>0</v>
      </c>
    </row>
    <row r="21" spans="1:21" x14ac:dyDescent="0.3">
      <c r="A21" s="74">
        <v>35</v>
      </c>
      <c r="B21" s="76">
        <v>2.1789109717001298</v>
      </c>
      <c r="C21" s="95">
        <v>61.155621813016602</v>
      </c>
      <c r="D21" s="76">
        <v>1.27021710991329</v>
      </c>
      <c r="E21" s="95">
        <v>42.627266120299801</v>
      </c>
      <c r="F21" s="76">
        <v>0</v>
      </c>
      <c r="G21" s="95">
        <v>0</v>
      </c>
      <c r="H21" s="76">
        <v>10.347998427263001</v>
      </c>
      <c r="I21" s="95">
        <v>62.985854780658599</v>
      </c>
      <c r="J21" s="76">
        <v>0</v>
      </c>
      <c r="K21" s="134">
        <v>0</v>
      </c>
      <c r="L21" s="51">
        <v>0</v>
      </c>
      <c r="M21" s="95">
        <v>0</v>
      </c>
      <c r="N21" s="76">
        <v>18.551681216509099</v>
      </c>
      <c r="O21" s="95">
        <v>65.615010323885301</v>
      </c>
      <c r="P21" s="76">
        <v>0</v>
      </c>
      <c r="Q21" s="134">
        <v>0</v>
      </c>
      <c r="R21" s="51">
        <v>0</v>
      </c>
      <c r="S21" s="51">
        <v>0</v>
      </c>
      <c r="T21" s="76">
        <v>0</v>
      </c>
      <c r="U21" s="95">
        <v>0</v>
      </c>
    </row>
    <row r="22" spans="1:21" x14ac:dyDescent="0.3">
      <c r="A22" s="74">
        <v>40</v>
      </c>
      <c r="B22" s="76">
        <v>2.2108877645977101</v>
      </c>
      <c r="C22" s="95">
        <v>61.972139114916402</v>
      </c>
      <c r="D22" s="76">
        <v>1.2677541391867599</v>
      </c>
      <c r="E22" s="95">
        <v>42.536049906284703</v>
      </c>
      <c r="F22" s="76">
        <v>0</v>
      </c>
      <c r="G22" s="95">
        <v>0</v>
      </c>
      <c r="H22" s="76">
        <v>10.4162434211693</v>
      </c>
      <c r="I22" s="95">
        <v>63.789469753219301</v>
      </c>
      <c r="J22" s="76">
        <v>0</v>
      </c>
      <c r="K22" s="134">
        <v>0</v>
      </c>
      <c r="L22" s="51">
        <v>0</v>
      </c>
      <c r="M22" s="95">
        <v>0</v>
      </c>
      <c r="N22" s="76">
        <v>18.783871022445702</v>
      </c>
      <c r="O22" s="95">
        <v>66.567641567565303</v>
      </c>
      <c r="P22" s="76">
        <v>0</v>
      </c>
      <c r="Q22" s="134">
        <v>0</v>
      </c>
      <c r="R22" s="51">
        <v>0</v>
      </c>
      <c r="S22" s="51">
        <v>0</v>
      </c>
      <c r="T22" s="76">
        <v>0</v>
      </c>
      <c r="U22" s="95">
        <v>0</v>
      </c>
    </row>
    <row r="23" spans="1:21" x14ac:dyDescent="0.3">
      <c r="A23" s="74">
        <v>45</v>
      </c>
      <c r="B23" s="76">
        <v>2.2315788350433601</v>
      </c>
      <c r="C23" s="95">
        <v>62.505970453322703</v>
      </c>
      <c r="D23" s="76">
        <v>1.2673635135457699</v>
      </c>
      <c r="E23" s="95">
        <v>42.518792206938002</v>
      </c>
      <c r="F23" s="76">
        <v>0</v>
      </c>
      <c r="G23" s="95">
        <v>0</v>
      </c>
      <c r="H23" s="76">
        <v>10.465440386189499</v>
      </c>
      <c r="I23" s="95">
        <v>64.320427075326506</v>
      </c>
      <c r="J23" s="76">
        <v>0</v>
      </c>
      <c r="K23" s="134">
        <v>0</v>
      </c>
      <c r="L23" s="51">
        <v>0</v>
      </c>
      <c r="M23" s="95">
        <v>0</v>
      </c>
      <c r="N23" s="76">
        <v>18.934496388065</v>
      </c>
      <c r="O23" s="95">
        <v>67.119477367783304</v>
      </c>
      <c r="P23" s="76">
        <v>0</v>
      </c>
      <c r="Q23" s="134">
        <v>0</v>
      </c>
      <c r="R23" s="51">
        <v>0</v>
      </c>
      <c r="S23" s="51">
        <v>0</v>
      </c>
      <c r="T23" s="76">
        <v>0</v>
      </c>
      <c r="U23" s="95">
        <v>0</v>
      </c>
    </row>
    <row r="24" spans="1:21" x14ac:dyDescent="0.3">
      <c r="A24" s="74">
        <v>50</v>
      </c>
      <c r="B24" s="76">
        <v>2.23183625346815</v>
      </c>
      <c r="C24" s="95">
        <v>62.513978622457699</v>
      </c>
      <c r="D24" s="76">
        <v>1.2674294804044699</v>
      </c>
      <c r="E24" s="95">
        <v>42.522027379699402</v>
      </c>
      <c r="F24" s="76">
        <v>0</v>
      </c>
      <c r="G24" s="95">
        <v>0</v>
      </c>
      <c r="H24" s="76">
        <v>10.4674693410711</v>
      </c>
      <c r="I24" s="95">
        <v>64.341669717387205</v>
      </c>
      <c r="J24" s="76">
        <v>0</v>
      </c>
      <c r="K24" s="134">
        <v>0</v>
      </c>
      <c r="L24" s="51">
        <v>0</v>
      </c>
      <c r="M24" s="95">
        <v>0</v>
      </c>
      <c r="N24" s="76">
        <v>18.9266659632573</v>
      </c>
      <c r="O24" s="95">
        <v>66.827647104804399</v>
      </c>
      <c r="P24" s="76">
        <v>0</v>
      </c>
      <c r="Q24" s="134">
        <v>0</v>
      </c>
      <c r="R24" s="51">
        <v>0</v>
      </c>
      <c r="S24" s="51">
        <v>0</v>
      </c>
      <c r="T24" s="76">
        <v>0</v>
      </c>
      <c r="U24" s="95">
        <v>0</v>
      </c>
    </row>
    <row r="25" spans="1:21" x14ac:dyDescent="0.3">
      <c r="A25" s="74">
        <v>55</v>
      </c>
      <c r="B25" s="76">
        <v>2.2319679699114698</v>
      </c>
      <c r="C25" s="95">
        <v>62.495138939277297</v>
      </c>
      <c r="D25" s="76">
        <v>1.26749825288312</v>
      </c>
      <c r="E25" s="95">
        <v>42.527912049691302</v>
      </c>
      <c r="F25" s="76">
        <v>0</v>
      </c>
      <c r="G25" s="95">
        <v>0</v>
      </c>
      <c r="H25" s="76">
        <v>10.466892081725099</v>
      </c>
      <c r="I25" s="95">
        <v>64.1952610144251</v>
      </c>
      <c r="J25" s="76">
        <v>0</v>
      </c>
      <c r="K25" s="134">
        <v>0</v>
      </c>
      <c r="L25" s="51">
        <v>0</v>
      </c>
      <c r="M25" s="95">
        <v>0</v>
      </c>
      <c r="N25" s="76">
        <v>18.874766840662001</v>
      </c>
      <c r="O25" s="95">
        <v>65.717967166369803</v>
      </c>
      <c r="P25" s="76">
        <v>0</v>
      </c>
      <c r="Q25" s="134">
        <v>0</v>
      </c>
      <c r="R25" s="51">
        <v>0</v>
      </c>
      <c r="S25" s="51">
        <v>0</v>
      </c>
      <c r="T25" s="76">
        <v>0</v>
      </c>
      <c r="U25" s="95">
        <v>0</v>
      </c>
    </row>
    <row r="26" spans="1:21" x14ac:dyDescent="0.3">
      <c r="A26" s="74">
        <v>60</v>
      </c>
      <c r="B26" s="76">
        <v>2.23189893901929</v>
      </c>
      <c r="C26" s="95">
        <v>62.522369657976299</v>
      </c>
      <c r="D26" s="76">
        <v>1.2675682867334801</v>
      </c>
      <c r="E26" s="95">
        <v>42.536376288990503</v>
      </c>
      <c r="F26" s="76">
        <v>0</v>
      </c>
      <c r="G26" s="95">
        <v>0</v>
      </c>
      <c r="H26" s="76">
        <v>10.468526042056601</v>
      </c>
      <c r="I26" s="95">
        <v>64.123627205479394</v>
      </c>
      <c r="J26" s="76">
        <v>0</v>
      </c>
      <c r="K26" s="134">
        <v>0</v>
      </c>
      <c r="L26" s="51">
        <v>0</v>
      </c>
      <c r="M26" s="95">
        <v>0</v>
      </c>
      <c r="N26" s="76">
        <v>18.878055583584999</v>
      </c>
      <c r="O26" s="95">
        <v>65.634112264663401</v>
      </c>
      <c r="P26" s="76">
        <v>0</v>
      </c>
      <c r="Q26" s="134">
        <v>0</v>
      </c>
      <c r="R26" s="51">
        <v>0</v>
      </c>
      <c r="S26" s="51">
        <v>0</v>
      </c>
      <c r="T26" s="76">
        <v>0</v>
      </c>
      <c r="U26" s="95">
        <v>0</v>
      </c>
    </row>
    <row r="27" spans="1:21" x14ac:dyDescent="0.3">
      <c r="A27" s="74">
        <v>65</v>
      </c>
      <c r="B27" s="76">
        <v>2.23205944986353</v>
      </c>
      <c r="C27" s="95">
        <v>62.5389097226942</v>
      </c>
      <c r="D27" s="76">
        <v>1.26763876528366</v>
      </c>
      <c r="E27" s="95">
        <v>42.547366736367501</v>
      </c>
      <c r="F27" s="76">
        <v>0</v>
      </c>
      <c r="G27" s="95">
        <v>0</v>
      </c>
      <c r="H27" s="76">
        <v>10.472384757097499</v>
      </c>
      <c r="I27" s="95">
        <v>64.393513830697202</v>
      </c>
      <c r="J27" s="76">
        <v>0</v>
      </c>
      <c r="K27" s="134">
        <v>0</v>
      </c>
      <c r="L27" s="51">
        <v>0</v>
      </c>
      <c r="M27" s="95">
        <v>0</v>
      </c>
      <c r="N27" s="76">
        <v>18.9142693850509</v>
      </c>
      <c r="O27" s="95">
        <v>66.2023088455677</v>
      </c>
      <c r="P27" s="76">
        <v>0</v>
      </c>
      <c r="Q27" s="134">
        <v>0</v>
      </c>
      <c r="R27" s="51">
        <v>0</v>
      </c>
      <c r="S27" s="51">
        <v>0</v>
      </c>
      <c r="T27" s="76">
        <v>0</v>
      </c>
      <c r="U27" s="95">
        <v>0</v>
      </c>
    </row>
    <row r="28" spans="1:21" x14ac:dyDescent="0.3">
      <c r="A28" s="74">
        <v>70</v>
      </c>
      <c r="B28" s="76">
        <v>2.4399500485607701</v>
      </c>
      <c r="C28" s="95">
        <v>68.8512181446239</v>
      </c>
      <c r="D28" s="76">
        <v>1.43328539758517</v>
      </c>
      <c r="E28" s="95">
        <v>48.548728796523903</v>
      </c>
      <c r="F28" s="76">
        <v>0</v>
      </c>
      <c r="G28" s="95">
        <v>0</v>
      </c>
      <c r="H28" s="76">
        <v>11.418505448525501</v>
      </c>
      <c r="I28" s="95">
        <v>69.364158333862804</v>
      </c>
      <c r="J28" s="76">
        <v>0</v>
      </c>
      <c r="K28" s="134">
        <v>0</v>
      </c>
      <c r="L28" s="51">
        <v>0</v>
      </c>
      <c r="M28" s="95">
        <v>0</v>
      </c>
      <c r="N28" s="76">
        <v>20.319425426354002</v>
      </c>
      <c r="O28" s="95">
        <v>69.271362657777303</v>
      </c>
      <c r="P28" s="76">
        <v>0</v>
      </c>
      <c r="Q28" s="134">
        <v>0</v>
      </c>
      <c r="R28" s="51">
        <v>0</v>
      </c>
      <c r="S28" s="51">
        <v>0</v>
      </c>
      <c r="T28" s="76">
        <v>0</v>
      </c>
      <c r="U28" s="95">
        <v>0</v>
      </c>
    </row>
    <row r="29" spans="1:21" x14ac:dyDescent="0.3">
      <c r="A29" s="74">
        <v>75</v>
      </c>
      <c r="B29" s="76">
        <v>2.6469081076904799</v>
      </c>
      <c r="C29" s="95">
        <v>75.007559917148797</v>
      </c>
      <c r="D29" s="76">
        <v>1.5994743647596601</v>
      </c>
      <c r="E29" s="95">
        <v>54.556605713848001</v>
      </c>
      <c r="F29" s="76">
        <v>0</v>
      </c>
      <c r="G29" s="95">
        <v>0</v>
      </c>
      <c r="H29" s="76">
        <v>12.3800902186752</v>
      </c>
      <c r="I29" s="95">
        <v>74.621283340400595</v>
      </c>
      <c r="J29" s="76">
        <v>0</v>
      </c>
      <c r="K29" s="134">
        <v>0</v>
      </c>
      <c r="L29" s="51">
        <v>0</v>
      </c>
      <c r="M29" s="95">
        <v>0</v>
      </c>
      <c r="N29" s="76">
        <v>21.814749724542001</v>
      </c>
      <c r="O29" s="95">
        <v>72.680625808395703</v>
      </c>
      <c r="P29" s="76">
        <v>0</v>
      </c>
      <c r="Q29" s="134">
        <v>0</v>
      </c>
      <c r="R29" s="51">
        <v>0</v>
      </c>
      <c r="S29" s="51">
        <v>0</v>
      </c>
      <c r="T29" s="76">
        <v>0</v>
      </c>
      <c r="U29" s="95">
        <v>0</v>
      </c>
    </row>
    <row r="30" spans="1:21" x14ac:dyDescent="0.3">
      <c r="A30" s="74">
        <v>80</v>
      </c>
      <c r="B30" s="76">
        <v>2.6154562516443298</v>
      </c>
      <c r="C30" s="95">
        <v>73.993454444507194</v>
      </c>
      <c r="D30" s="76">
        <v>1.56695302338159</v>
      </c>
      <c r="E30" s="95">
        <v>53.3913975489751</v>
      </c>
      <c r="F30" s="76">
        <v>0</v>
      </c>
      <c r="G30" s="95">
        <v>0</v>
      </c>
      <c r="H30" s="76">
        <v>12.2214578509692</v>
      </c>
      <c r="I30" s="95">
        <v>73.860201603261899</v>
      </c>
      <c r="J30" s="76">
        <v>0</v>
      </c>
      <c r="K30" s="134">
        <v>0</v>
      </c>
      <c r="L30" s="51">
        <v>0</v>
      </c>
      <c r="M30" s="95">
        <v>0</v>
      </c>
      <c r="N30" s="76">
        <v>21.647208495596299</v>
      </c>
      <c r="O30" s="95">
        <v>72.323855502961706</v>
      </c>
      <c r="P30" s="76">
        <v>0</v>
      </c>
      <c r="Q30" s="134">
        <v>0</v>
      </c>
      <c r="R30" s="51">
        <v>0</v>
      </c>
      <c r="S30" s="51">
        <v>0</v>
      </c>
      <c r="T30" s="76">
        <v>0</v>
      </c>
      <c r="U30" s="95">
        <v>0</v>
      </c>
    </row>
    <row r="31" spans="1:21" x14ac:dyDescent="0.3">
      <c r="A31" s="74">
        <v>85</v>
      </c>
      <c r="B31" s="76">
        <v>2.2656380701383201</v>
      </c>
      <c r="C31" s="95">
        <v>63.308190230967703</v>
      </c>
      <c r="D31" s="76">
        <v>1.2676893494441399</v>
      </c>
      <c r="E31" s="95">
        <v>42.604683847070703</v>
      </c>
      <c r="F31" s="76">
        <v>0</v>
      </c>
      <c r="G31" s="95">
        <v>0</v>
      </c>
      <c r="H31" s="76">
        <v>10.5475107343352</v>
      </c>
      <c r="I31" s="95">
        <v>64.803511369916293</v>
      </c>
      <c r="J31" s="76">
        <v>0</v>
      </c>
      <c r="K31" s="134">
        <v>0</v>
      </c>
      <c r="L31" s="51">
        <v>0</v>
      </c>
      <c r="M31" s="95">
        <v>0</v>
      </c>
      <c r="N31" s="76">
        <v>19.0934315454152</v>
      </c>
      <c r="O31" s="95">
        <v>66.502640373248695</v>
      </c>
      <c r="P31" s="76">
        <v>0</v>
      </c>
      <c r="Q31" s="134">
        <v>0</v>
      </c>
      <c r="R31" s="51">
        <v>0</v>
      </c>
      <c r="S31" s="51">
        <v>0</v>
      </c>
      <c r="T31" s="76">
        <v>0</v>
      </c>
      <c r="U31" s="95">
        <v>0</v>
      </c>
    </row>
    <row r="32" spans="1:21" x14ac:dyDescent="0.3">
      <c r="A32" s="74">
        <v>90</v>
      </c>
      <c r="B32" s="76">
        <v>2.2746055798137399</v>
      </c>
      <c r="C32" s="95">
        <v>63.559551522344798</v>
      </c>
      <c r="D32" s="76">
        <v>1.2676932532368701</v>
      </c>
      <c r="E32" s="95">
        <v>42.624850082366102</v>
      </c>
      <c r="F32" s="76">
        <v>0</v>
      </c>
      <c r="G32" s="95">
        <v>0</v>
      </c>
      <c r="H32" s="76">
        <v>10.570054449367101</v>
      </c>
      <c r="I32" s="95">
        <v>65.056163078691995</v>
      </c>
      <c r="J32" s="76">
        <v>0</v>
      </c>
      <c r="K32" s="134">
        <v>0</v>
      </c>
      <c r="L32" s="51">
        <v>0</v>
      </c>
      <c r="M32" s="95">
        <v>0</v>
      </c>
      <c r="N32" s="76">
        <v>19.160347158195101</v>
      </c>
      <c r="O32" s="95">
        <v>66.755730345946802</v>
      </c>
      <c r="P32" s="76">
        <v>0</v>
      </c>
      <c r="Q32" s="134">
        <v>0</v>
      </c>
      <c r="R32" s="51">
        <v>0</v>
      </c>
      <c r="S32" s="51">
        <v>0</v>
      </c>
      <c r="T32" s="76">
        <v>0</v>
      </c>
      <c r="U32" s="95">
        <v>0</v>
      </c>
    </row>
    <row r="33" spans="1:21" x14ac:dyDescent="0.3">
      <c r="A33" s="74">
        <v>95</v>
      </c>
      <c r="B33" s="76">
        <v>2.2835293221326101</v>
      </c>
      <c r="C33" s="95">
        <v>63.801007384993198</v>
      </c>
      <c r="D33" s="76">
        <v>1.26769992702413</v>
      </c>
      <c r="E33" s="95">
        <v>42.639778744509599</v>
      </c>
      <c r="F33" s="76">
        <v>0</v>
      </c>
      <c r="G33" s="95">
        <v>0</v>
      </c>
      <c r="H33" s="76">
        <v>10.59251125185</v>
      </c>
      <c r="I33" s="95">
        <v>65.298863884441502</v>
      </c>
      <c r="J33" s="76">
        <v>0</v>
      </c>
      <c r="K33" s="134">
        <v>0</v>
      </c>
      <c r="L33" s="51">
        <v>0</v>
      </c>
      <c r="M33" s="95">
        <v>0</v>
      </c>
      <c r="N33" s="76">
        <v>19.2269857777504</v>
      </c>
      <c r="O33" s="95">
        <v>66.998780980652498</v>
      </c>
      <c r="P33" s="76">
        <v>0</v>
      </c>
      <c r="Q33" s="134">
        <v>0</v>
      </c>
      <c r="R33" s="51">
        <v>0</v>
      </c>
      <c r="S33" s="51">
        <v>0</v>
      </c>
      <c r="T33" s="76">
        <v>0</v>
      </c>
      <c r="U33" s="95">
        <v>0</v>
      </c>
    </row>
    <row r="34" spans="1:21" x14ac:dyDescent="0.3">
      <c r="A34" s="74">
        <v>100</v>
      </c>
      <c r="B34" s="76">
        <v>2.2494817100351301</v>
      </c>
      <c r="C34" s="95">
        <v>62.910485693245697</v>
      </c>
      <c r="D34" s="76">
        <v>1.2671543407872401</v>
      </c>
      <c r="E34" s="95">
        <v>42.6077076389357</v>
      </c>
      <c r="F34" s="76">
        <v>0</v>
      </c>
      <c r="G34" s="95">
        <v>0</v>
      </c>
      <c r="H34" s="76">
        <v>10.5033322936643</v>
      </c>
      <c r="I34" s="95">
        <v>64.409592168666904</v>
      </c>
      <c r="J34" s="76">
        <v>0</v>
      </c>
      <c r="K34" s="134">
        <v>0</v>
      </c>
      <c r="L34" s="51">
        <v>0</v>
      </c>
      <c r="M34" s="95">
        <v>0</v>
      </c>
      <c r="N34" s="76">
        <v>18.952424739360001</v>
      </c>
      <c r="O34" s="95">
        <v>66.111559540694202</v>
      </c>
      <c r="P34" s="76">
        <v>0</v>
      </c>
      <c r="Q34" s="134">
        <v>0</v>
      </c>
      <c r="R34" s="51">
        <v>0</v>
      </c>
      <c r="S34" s="51">
        <v>0</v>
      </c>
      <c r="T34" s="76">
        <v>0</v>
      </c>
      <c r="U34" s="95">
        <v>0</v>
      </c>
    </row>
    <row r="35" spans="1:21" x14ac:dyDescent="0.3">
      <c r="A35" s="74">
        <v>105</v>
      </c>
      <c r="B35" s="76">
        <v>2.1871831084088198</v>
      </c>
      <c r="C35" s="95">
        <v>61.268440108873101</v>
      </c>
      <c r="D35" s="76">
        <v>1.26499997079827</v>
      </c>
      <c r="E35" s="95">
        <v>42.481293078598</v>
      </c>
      <c r="F35" s="76">
        <v>0</v>
      </c>
      <c r="G35" s="95">
        <v>0</v>
      </c>
      <c r="H35" s="76">
        <v>10.3412061797983</v>
      </c>
      <c r="I35" s="95">
        <v>62.762068487206903</v>
      </c>
      <c r="J35" s="76">
        <v>0</v>
      </c>
      <c r="K35" s="134">
        <v>0</v>
      </c>
      <c r="L35" s="51">
        <v>0</v>
      </c>
      <c r="M35" s="95">
        <v>0</v>
      </c>
      <c r="N35" s="76">
        <v>18.5024276427689</v>
      </c>
      <c r="O35" s="95">
        <v>64.457309191723894</v>
      </c>
      <c r="P35" s="76">
        <v>0</v>
      </c>
      <c r="Q35" s="134">
        <v>0</v>
      </c>
      <c r="R35" s="51">
        <v>0</v>
      </c>
      <c r="S35" s="51">
        <v>0</v>
      </c>
      <c r="T35" s="76">
        <v>0</v>
      </c>
      <c r="U35" s="95">
        <v>0</v>
      </c>
    </row>
    <row r="36" spans="1:21" x14ac:dyDescent="0.3">
      <c r="A36" s="74">
        <v>110</v>
      </c>
      <c r="B36" s="76">
        <v>2.1767949602773302</v>
      </c>
      <c r="C36" s="95">
        <v>60.938038630890802</v>
      </c>
      <c r="D36" s="76">
        <v>1.26275202862303</v>
      </c>
      <c r="E36" s="95">
        <v>42.358220791817601</v>
      </c>
      <c r="F36" s="76">
        <v>0</v>
      </c>
      <c r="G36" s="95">
        <v>0</v>
      </c>
      <c r="H36" s="76">
        <v>10.3063537732399</v>
      </c>
      <c r="I36" s="95">
        <v>62.425903090338899</v>
      </c>
      <c r="J36" s="76">
        <v>0</v>
      </c>
      <c r="K36" s="134">
        <v>0</v>
      </c>
      <c r="L36" s="51">
        <v>0</v>
      </c>
      <c r="M36" s="95">
        <v>0</v>
      </c>
      <c r="N36" s="76">
        <v>18.420489782474899</v>
      </c>
      <c r="O36" s="95">
        <v>64.116135131588607</v>
      </c>
      <c r="P36" s="76">
        <v>0</v>
      </c>
      <c r="Q36" s="134">
        <v>0</v>
      </c>
      <c r="R36" s="51">
        <v>0</v>
      </c>
      <c r="S36" s="51">
        <v>0</v>
      </c>
      <c r="T36" s="76">
        <v>0</v>
      </c>
      <c r="U36" s="95">
        <v>0</v>
      </c>
    </row>
    <row r="37" spans="1:21" x14ac:dyDescent="0.3">
      <c r="A37" s="74">
        <v>115</v>
      </c>
      <c r="B37" s="76">
        <v>2.1662386501446602</v>
      </c>
      <c r="C37" s="95">
        <v>60.639567324345201</v>
      </c>
      <c r="D37" s="76">
        <v>1.26050299629986</v>
      </c>
      <c r="E37" s="95">
        <v>42.2432931722701</v>
      </c>
      <c r="F37" s="76">
        <v>0</v>
      </c>
      <c r="G37" s="95">
        <v>0</v>
      </c>
      <c r="H37" s="76">
        <v>10.272059700424901</v>
      </c>
      <c r="I37" s="95">
        <v>62.107097474166302</v>
      </c>
      <c r="J37" s="76">
        <v>0</v>
      </c>
      <c r="K37" s="134">
        <v>0</v>
      </c>
      <c r="L37" s="51">
        <v>0</v>
      </c>
      <c r="M37" s="95">
        <v>0</v>
      </c>
      <c r="N37" s="76">
        <v>18.3461004808741</v>
      </c>
      <c r="O37" s="95">
        <v>63.794116359076298</v>
      </c>
      <c r="P37" s="76">
        <v>0</v>
      </c>
      <c r="Q37" s="134">
        <v>0</v>
      </c>
      <c r="R37" s="51">
        <v>0</v>
      </c>
      <c r="S37" s="51">
        <v>0</v>
      </c>
      <c r="T37" s="76">
        <v>0</v>
      </c>
      <c r="U37" s="95">
        <v>0</v>
      </c>
    </row>
    <row r="38" spans="1:21" x14ac:dyDescent="0.3">
      <c r="A38" s="74">
        <v>120</v>
      </c>
      <c r="B38" s="76">
        <v>2.1537727604714099</v>
      </c>
      <c r="C38" s="95">
        <v>60.316615588662103</v>
      </c>
      <c r="D38" s="76">
        <v>1.25445136542777</v>
      </c>
      <c r="E38" s="95">
        <v>41.940063348371197</v>
      </c>
      <c r="F38" s="76">
        <v>0</v>
      </c>
      <c r="G38" s="95">
        <v>0</v>
      </c>
      <c r="H38" s="76">
        <v>10.1611258902605</v>
      </c>
      <c r="I38" s="95">
        <v>61.380477204118399</v>
      </c>
      <c r="J38" s="76">
        <v>0</v>
      </c>
      <c r="K38" s="134">
        <v>0</v>
      </c>
      <c r="L38" s="51">
        <v>0</v>
      </c>
      <c r="M38" s="95">
        <v>0</v>
      </c>
      <c r="N38" s="76">
        <v>18.0058021471724</v>
      </c>
      <c r="O38" s="95">
        <v>62.2463726813221</v>
      </c>
      <c r="P38" s="76">
        <v>0</v>
      </c>
      <c r="Q38" s="134">
        <v>0</v>
      </c>
      <c r="R38" s="51">
        <v>0</v>
      </c>
      <c r="S38" s="51">
        <v>0</v>
      </c>
      <c r="T38" s="76">
        <v>0</v>
      </c>
      <c r="U38" s="95">
        <v>0</v>
      </c>
    </row>
    <row r="39" spans="1:21" x14ac:dyDescent="0.3">
      <c r="A39" s="74">
        <v>125</v>
      </c>
      <c r="B39" s="76">
        <v>2.1419029101731999</v>
      </c>
      <c r="C39" s="95">
        <v>59.888167217177198</v>
      </c>
      <c r="D39" s="76">
        <v>1.24842211991765</v>
      </c>
      <c r="E39" s="95">
        <v>41.646237765563001</v>
      </c>
      <c r="F39" s="76">
        <v>0</v>
      </c>
      <c r="G39" s="95">
        <v>0</v>
      </c>
      <c r="H39" s="76">
        <v>10.043456656476801</v>
      </c>
      <c r="I39" s="95">
        <v>60.239891516022603</v>
      </c>
      <c r="J39" s="76">
        <v>0</v>
      </c>
      <c r="K39" s="134">
        <v>0</v>
      </c>
      <c r="L39" s="51">
        <v>0</v>
      </c>
      <c r="M39" s="95">
        <v>0</v>
      </c>
      <c r="N39" s="76">
        <v>17.622892952380901</v>
      </c>
      <c r="O39" s="95">
        <v>60.456473816835</v>
      </c>
      <c r="P39" s="76">
        <v>0</v>
      </c>
      <c r="Q39" s="134">
        <v>0</v>
      </c>
      <c r="R39" s="51">
        <v>0</v>
      </c>
      <c r="S39" s="51">
        <v>0</v>
      </c>
      <c r="T39" s="76">
        <v>0</v>
      </c>
      <c r="U39" s="95">
        <v>0</v>
      </c>
    </row>
    <row r="40" spans="1:21" x14ac:dyDescent="0.3">
      <c r="A40" s="74">
        <v>130</v>
      </c>
      <c r="B40" s="76">
        <v>2.1331929401488301</v>
      </c>
      <c r="C40" s="95">
        <v>59.635681528239203</v>
      </c>
      <c r="D40" s="76">
        <v>1.2461981540969</v>
      </c>
      <c r="E40" s="95">
        <v>41.557080258525602</v>
      </c>
      <c r="F40" s="76">
        <v>0</v>
      </c>
      <c r="G40" s="95">
        <v>0</v>
      </c>
      <c r="H40" s="76">
        <v>10.013260116986499</v>
      </c>
      <c r="I40" s="95">
        <v>59.983352239943002</v>
      </c>
      <c r="J40" s="76">
        <v>0</v>
      </c>
      <c r="K40" s="134">
        <v>0</v>
      </c>
      <c r="L40" s="51">
        <v>0</v>
      </c>
      <c r="M40" s="95">
        <v>0</v>
      </c>
      <c r="N40" s="76">
        <v>17.592390059793399</v>
      </c>
      <c r="O40" s="95">
        <v>61.0848235570963</v>
      </c>
      <c r="P40" s="76">
        <v>0</v>
      </c>
      <c r="Q40" s="134">
        <v>0</v>
      </c>
      <c r="R40" s="51">
        <v>0</v>
      </c>
      <c r="S40" s="51">
        <v>0</v>
      </c>
      <c r="T40" s="76">
        <v>0</v>
      </c>
      <c r="U40" s="95">
        <v>0</v>
      </c>
    </row>
    <row r="41" spans="1:21" x14ac:dyDescent="0.3">
      <c r="A41" s="74">
        <v>135</v>
      </c>
      <c r="B41" s="76">
        <v>2.1613983554957801</v>
      </c>
      <c r="C41" s="95">
        <v>60.435014685175901</v>
      </c>
      <c r="D41" s="76">
        <v>1.27102564929621</v>
      </c>
      <c r="E41" s="95">
        <v>42.378027658601503</v>
      </c>
      <c r="F41" s="76">
        <v>0</v>
      </c>
      <c r="G41" s="95">
        <v>0</v>
      </c>
      <c r="H41" s="76">
        <v>10.176866599668701</v>
      </c>
      <c r="I41" s="95">
        <v>60.782177886323602</v>
      </c>
      <c r="J41" s="76">
        <v>0</v>
      </c>
      <c r="K41" s="134">
        <v>0</v>
      </c>
      <c r="L41" s="51">
        <v>0</v>
      </c>
      <c r="M41" s="95">
        <v>0</v>
      </c>
      <c r="N41" s="76">
        <v>17.8355636469317</v>
      </c>
      <c r="O41" s="95">
        <v>61.900809458580198</v>
      </c>
      <c r="P41" s="76">
        <v>0</v>
      </c>
      <c r="Q41" s="134">
        <v>0</v>
      </c>
      <c r="R41" s="51">
        <v>0</v>
      </c>
      <c r="S41" s="51">
        <v>0</v>
      </c>
      <c r="T41" s="76">
        <v>0</v>
      </c>
      <c r="U41" s="95">
        <v>0</v>
      </c>
    </row>
    <row r="42" spans="1:21" x14ac:dyDescent="0.3">
      <c r="A42" s="74">
        <v>140</v>
      </c>
      <c r="B42" s="76">
        <v>2.4749175480667698</v>
      </c>
      <c r="C42" s="95">
        <v>69.407382099157601</v>
      </c>
      <c r="D42" s="76">
        <v>1.5435962081096799</v>
      </c>
      <c r="E42" s="95">
        <v>51.469018279783803</v>
      </c>
      <c r="F42" s="76">
        <v>0</v>
      </c>
      <c r="G42" s="95">
        <v>0</v>
      </c>
      <c r="H42" s="76">
        <v>11.982744240913499</v>
      </c>
      <c r="I42" s="95">
        <v>69.751576498519597</v>
      </c>
      <c r="J42" s="76">
        <v>0</v>
      </c>
      <c r="K42" s="134">
        <v>0</v>
      </c>
      <c r="L42" s="51">
        <v>0</v>
      </c>
      <c r="M42" s="95">
        <v>0</v>
      </c>
      <c r="N42" s="76">
        <v>20.527169215680601</v>
      </c>
      <c r="O42" s="95">
        <v>70.860582377552902</v>
      </c>
      <c r="P42" s="76">
        <v>0</v>
      </c>
      <c r="Q42" s="134">
        <v>0</v>
      </c>
      <c r="R42" s="51">
        <v>0</v>
      </c>
      <c r="S42" s="51">
        <v>0</v>
      </c>
      <c r="T42" s="76">
        <v>0</v>
      </c>
      <c r="U42" s="95">
        <v>0</v>
      </c>
    </row>
    <row r="43" spans="1:21" x14ac:dyDescent="0.3">
      <c r="A43" s="74">
        <v>145</v>
      </c>
      <c r="B43" s="76">
        <v>2.46908809079574</v>
      </c>
      <c r="C43" s="95">
        <v>69.264403848343093</v>
      </c>
      <c r="D43" s="76">
        <v>1.5436723991243999</v>
      </c>
      <c r="E43" s="95">
        <v>51.481641779993303</v>
      </c>
      <c r="F43" s="76">
        <v>0</v>
      </c>
      <c r="G43" s="95">
        <v>0</v>
      </c>
      <c r="H43" s="76">
        <v>11.968377095185801</v>
      </c>
      <c r="I43" s="95">
        <v>69.604677649398198</v>
      </c>
      <c r="J43" s="76">
        <v>0</v>
      </c>
      <c r="K43" s="134">
        <v>0</v>
      </c>
      <c r="L43" s="51">
        <v>0</v>
      </c>
      <c r="M43" s="95">
        <v>0</v>
      </c>
      <c r="N43" s="76">
        <v>20.4828683008542</v>
      </c>
      <c r="O43" s="95">
        <v>70.700969802623703</v>
      </c>
      <c r="P43" s="76">
        <v>0</v>
      </c>
      <c r="Q43" s="134">
        <v>0</v>
      </c>
      <c r="R43" s="51">
        <v>0</v>
      </c>
      <c r="S43" s="51">
        <v>0</v>
      </c>
      <c r="T43" s="76">
        <v>0</v>
      </c>
      <c r="U43" s="95">
        <v>0</v>
      </c>
    </row>
    <row r="44" spans="1:21" x14ac:dyDescent="0.3">
      <c r="A44" s="74">
        <v>150</v>
      </c>
      <c r="B44" s="76">
        <v>2.46326410656255</v>
      </c>
      <c r="C44" s="95">
        <v>69.1322086694137</v>
      </c>
      <c r="D44" s="76">
        <v>1.54374077591459</v>
      </c>
      <c r="E44" s="95">
        <v>51.503785030794901</v>
      </c>
      <c r="F44" s="76">
        <v>0</v>
      </c>
      <c r="G44" s="95">
        <v>0</v>
      </c>
      <c r="H44" s="76">
        <v>11.9539944798344</v>
      </c>
      <c r="I44" s="95">
        <v>69.468572222836599</v>
      </c>
      <c r="J44" s="76">
        <v>0</v>
      </c>
      <c r="K44" s="134">
        <v>0</v>
      </c>
      <c r="L44" s="51">
        <v>0</v>
      </c>
      <c r="M44" s="95">
        <v>0</v>
      </c>
      <c r="N44" s="76">
        <v>20.4384665565203</v>
      </c>
      <c r="O44" s="95">
        <v>70.549095293376595</v>
      </c>
      <c r="P44" s="76">
        <v>0</v>
      </c>
      <c r="Q44" s="134">
        <v>0</v>
      </c>
      <c r="R44" s="51">
        <v>0</v>
      </c>
      <c r="S44" s="51">
        <v>0</v>
      </c>
      <c r="T44" s="76">
        <v>0</v>
      </c>
      <c r="U44" s="95">
        <v>0</v>
      </c>
    </row>
    <row r="45" spans="1:21" x14ac:dyDescent="0.3">
      <c r="A45" s="74">
        <v>155</v>
      </c>
      <c r="B45" s="76">
        <v>2.45744623809767</v>
      </c>
      <c r="C45" s="95">
        <v>69.008490323557993</v>
      </c>
      <c r="D45" s="76">
        <v>1.54380173280828</v>
      </c>
      <c r="E45" s="95">
        <v>51.534361113191899</v>
      </c>
      <c r="F45" s="76">
        <v>0</v>
      </c>
      <c r="G45" s="95">
        <v>0</v>
      </c>
      <c r="H45" s="76">
        <v>11.9395994824977</v>
      </c>
      <c r="I45" s="95">
        <v>69.340949927146198</v>
      </c>
      <c r="J45" s="76">
        <v>0</v>
      </c>
      <c r="K45" s="134">
        <v>0</v>
      </c>
      <c r="L45" s="51">
        <v>0</v>
      </c>
      <c r="M45" s="95">
        <v>0</v>
      </c>
      <c r="N45" s="76">
        <v>20.391359683512</v>
      </c>
      <c r="O45" s="95">
        <v>70.3481556224108</v>
      </c>
      <c r="P45" s="76">
        <v>0</v>
      </c>
      <c r="Q45" s="134">
        <v>0</v>
      </c>
      <c r="R45" s="51">
        <v>0</v>
      </c>
      <c r="S45" s="51">
        <v>0</v>
      </c>
      <c r="T45" s="76">
        <v>0</v>
      </c>
      <c r="U45" s="95">
        <v>0</v>
      </c>
    </row>
    <row r="46" spans="1:21" x14ac:dyDescent="0.3">
      <c r="A46" s="74">
        <v>160</v>
      </c>
      <c r="B46" s="76">
        <v>2.4516326048527901</v>
      </c>
      <c r="C46" s="95">
        <v>68.890627558817698</v>
      </c>
      <c r="D46" s="76">
        <v>1.5438540844028801</v>
      </c>
      <c r="E46" s="95">
        <v>51.571788926380499</v>
      </c>
      <c r="F46" s="76">
        <v>0</v>
      </c>
      <c r="G46" s="95">
        <v>0</v>
      </c>
      <c r="H46" s="76">
        <v>11.9251829510152</v>
      </c>
      <c r="I46" s="95">
        <v>69.219185853500605</v>
      </c>
      <c r="J46" s="76">
        <v>0</v>
      </c>
      <c r="K46" s="134">
        <v>0</v>
      </c>
      <c r="L46" s="51">
        <v>0</v>
      </c>
      <c r="M46" s="95">
        <v>0</v>
      </c>
      <c r="N46" s="76">
        <v>20.338807693167599</v>
      </c>
      <c r="O46" s="95">
        <v>70.022131182692704</v>
      </c>
      <c r="P46" s="76">
        <v>0</v>
      </c>
      <c r="Q46" s="134">
        <v>0</v>
      </c>
      <c r="R46" s="51">
        <v>0</v>
      </c>
      <c r="S46" s="51">
        <v>0</v>
      </c>
      <c r="T46" s="76">
        <v>0</v>
      </c>
      <c r="U46" s="95">
        <v>0</v>
      </c>
    </row>
    <row r="47" spans="1:21" x14ac:dyDescent="0.3">
      <c r="A47" s="74">
        <v>165</v>
      </c>
      <c r="B47" s="76">
        <v>2.4459738430549298</v>
      </c>
      <c r="C47" s="95">
        <v>68.780631635524102</v>
      </c>
      <c r="D47" s="76">
        <v>1.5438961906256701</v>
      </c>
      <c r="E47" s="95">
        <v>51.614985858488701</v>
      </c>
      <c r="F47" s="76">
        <v>0</v>
      </c>
      <c r="G47" s="95">
        <v>0</v>
      </c>
      <c r="H47" s="76">
        <v>11.909278479932601</v>
      </c>
      <c r="I47" s="95">
        <v>68.897801820304593</v>
      </c>
      <c r="J47" s="76">
        <v>0</v>
      </c>
      <c r="K47" s="134">
        <v>0</v>
      </c>
      <c r="L47" s="51">
        <v>0</v>
      </c>
      <c r="M47" s="95">
        <v>0</v>
      </c>
      <c r="N47" s="76">
        <v>20.2417587327982</v>
      </c>
      <c r="O47" s="95">
        <v>68.789880622318805</v>
      </c>
      <c r="P47" s="76">
        <v>0</v>
      </c>
      <c r="Q47" s="134">
        <v>0</v>
      </c>
      <c r="R47" s="51">
        <v>0</v>
      </c>
      <c r="S47" s="51">
        <v>0</v>
      </c>
      <c r="T47" s="76">
        <v>0</v>
      </c>
      <c r="U47" s="95">
        <v>0</v>
      </c>
    </row>
    <row r="48" spans="1:21" x14ac:dyDescent="0.3">
      <c r="A48" s="74">
        <v>170</v>
      </c>
      <c r="B48" s="76">
        <v>2.44472134812673</v>
      </c>
      <c r="C48" s="95">
        <v>68.625845278844395</v>
      </c>
      <c r="D48" s="76">
        <v>1.54388782502841</v>
      </c>
      <c r="E48" s="95">
        <v>51.621487654544801</v>
      </c>
      <c r="F48" s="76">
        <v>0</v>
      </c>
      <c r="G48" s="95">
        <v>0</v>
      </c>
      <c r="H48" s="76">
        <v>11.8993742143841</v>
      </c>
      <c r="I48" s="95">
        <v>68.584996795172202</v>
      </c>
      <c r="J48" s="76">
        <v>0</v>
      </c>
      <c r="K48" s="134">
        <v>0</v>
      </c>
      <c r="L48" s="51">
        <v>0</v>
      </c>
      <c r="M48" s="95">
        <v>0</v>
      </c>
      <c r="N48" s="76">
        <v>20.193802190598198</v>
      </c>
      <c r="O48" s="95">
        <v>68.545865784211102</v>
      </c>
      <c r="P48" s="76">
        <v>0</v>
      </c>
      <c r="Q48" s="134">
        <v>0</v>
      </c>
      <c r="R48" s="51">
        <v>0</v>
      </c>
      <c r="S48" s="51">
        <v>0</v>
      </c>
      <c r="T48" s="76">
        <v>0</v>
      </c>
      <c r="U48" s="95">
        <v>0</v>
      </c>
    </row>
    <row r="49" spans="1:21" x14ac:dyDescent="0.3">
      <c r="A49" s="74">
        <v>175</v>
      </c>
      <c r="B49" s="76">
        <v>2.1189307006584399</v>
      </c>
      <c r="C49" s="95">
        <v>59.269374992085801</v>
      </c>
      <c r="D49" s="76">
        <v>1.26448626728933</v>
      </c>
      <c r="E49" s="95">
        <v>42.269798317547199</v>
      </c>
      <c r="F49" s="76">
        <v>0</v>
      </c>
      <c r="G49" s="95">
        <v>0</v>
      </c>
      <c r="H49" s="76">
        <v>10.036521852971401</v>
      </c>
      <c r="I49" s="95">
        <v>59.236039413846598</v>
      </c>
      <c r="J49" s="76">
        <v>0</v>
      </c>
      <c r="K49" s="134">
        <v>0</v>
      </c>
      <c r="L49" s="51">
        <v>0</v>
      </c>
      <c r="M49" s="95">
        <v>0</v>
      </c>
      <c r="N49" s="76">
        <v>17.393776138652498</v>
      </c>
      <c r="O49" s="95">
        <v>59.189521715643799</v>
      </c>
      <c r="P49" s="76">
        <v>0</v>
      </c>
      <c r="Q49" s="134">
        <v>0</v>
      </c>
      <c r="R49" s="51">
        <v>0</v>
      </c>
      <c r="S49" s="51">
        <v>0</v>
      </c>
      <c r="T49" s="76">
        <v>0</v>
      </c>
      <c r="U49" s="95">
        <v>0</v>
      </c>
    </row>
    <row r="50" spans="1:21" x14ac:dyDescent="0.3">
      <c r="A50" s="74">
        <v>180</v>
      </c>
      <c r="B50" s="76">
        <v>2.0784977892980101</v>
      </c>
      <c r="C50" s="95">
        <v>58.125875823961401</v>
      </c>
      <c r="D50" s="76">
        <v>1.2299830579063999</v>
      </c>
      <c r="E50" s="95">
        <v>41.109209925437099</v>
      </c>
      <c r="F50" s="76">
        <v>0</v>
      </c>
      <c r="G50" s="95">
        <v>0</v>
      </c>
      <c r="H50" s="76">
        <v>9.8067879616551998</v>
      </c>
      <c r="I50" s="95">
        <v>58.077451771523101</v>
      </c>
      <c r="J50" s="76">
        <v>0</v>
      </c>
      <c r="K50" s="134">
        <v>0</v>
      </c>
      <c r="L50" s="51">
        <v>0</v>
      </c>
      <c r="M50" s="95">
        <v>0</v>
      </c>
      <c r="N50" s="76">
        <v>17.055057841753101</v>
      </c>
      <c r="O50" s="95">
        <v>58.037440342371703</v>
      </c>
      <c r="P50" s="76">
        <v>0</v>
      </c>
      <c r="Q50" s="134">
        <v>0</v>
      </c>
      <c r="R50" s="51">
        <v>0</v>
      </c>
      <c r="S50" s="51">
        <v>0</v>
      </c>
      <c r="T50" s="76">
        <v>0</v>
      </c>
      <c r="U50" s="95">
        <v>0</v>
      </c>
    </row>
    <row r="51" spans="1:21" x14ac:dyDescent="0.3">
      <c r="A51" s="74">
        <v>185</v>
      </c>
      <c r="B51" s="76">
        <v>2.0780008263717802</v>
      </c>
      <c r="C51" s="95">
        <v>58.230016158893001</v>
      </c>
      <c r="D51" s="76">
        <v>1.22998305794883</v>
      </c>
      <c r="E51" s="95">
        <v>41.104020758867797</v>
      </c>
      <c r="F51" s="76">
        <v>0</v>
      </c>
      <c r="G51" s="95">
        <v>0</v>
      </c>
      <c r="H51" s="76">
        <v>9.8102879398258303</v>
      </c>
      <c r="I51" s="95">
        <v>58.160930856778101</v>
      </c>
      <c r="J51" s="76">
        <v>0</v>
      </c>
      <c r="K51" s="134">
        <v>0</v>
      </c>
      <c r="L51" s="51">
        <v>0</v>
      </c>
      <c r="M51" s="95">
        <v>0</v>
      </c>
      <c r="N51" s="76">
        <v>17.0800660760844</v>
      </c>
      <c r="O51" s="95">
        <v>58.082616230708602</v>
      </c>
      <c r="P51" s="76">
        <v>0</v>
      </c>
      <c r="Q51" s="134">
        <v>0</v>
      </c>
      <c r="R51" s="51">
        <v>0</v>
      </c>
      <c r="S51" s="51">
        <v>0</v>
      </c>
      <c r="T51" s="76">
        <v>0</v>
      </c>
      <c r="U51" s="95">
        <v>0</v>
      </c>
    </row>
    <row r="52" spans="1:21" x14ac:dyDescent="0.3">
      <c r="A52" s="74">
        <v>190</v>
      </c>
      <c r="B52" s="76">
        <v>2.0783710770013499</v>
      </c>
      <c r="C52" s="95">
        <v>58.136315348614403</v>
      </c>
      <c r="D52" s="76">
        <v>1.22998305792606</v>
      </c>
      <c r="E52" s="95">
        <v>41.100410328307497</v>
      </c>
      <c r="F52" s="76">
        <v>0</v>
      </c>
      <c r="G52" s="95">
        <v>0</v>
      </c>
      <c r="H52" s="76">
        <v>9.8071293269985294</v>
      </c>
      <c r="I52" s="95">
        <v>58.070018224729601</v>
      </c>
      <c r="J52" s="76">
        <v>0</v>
      </c>
      <c r="K52" s="134">
        <v>0</v>
      </c>
      <c r="L52" s="51">
        <v>0</v>
      </c>
      <c r="M52" s="95">
        <v>0</v>
      </c>
      <c r="N52" s="76">
        <v>17.060564256449702</v>
      </c>
      <c r="O52" s="95">
        <v>58.038779946682702</v>
      </c>
      <c r="P52" s="76">
        <v>0</v>
      </c>
      <c r="Q52" s="134">
        <v>0</v>
      </c>
      <c r="R52" s="51">
        <v>0</v>
      </c>
      <c r="S52" s="51">
        <v>0</v>
      </c>
      <c r="T52" s="76">
        <v>0</v>
      </c>
      <c r="U52" s="95">
        <v>0</v>
      </c>
    </row>
    <row r="53" spans="1:21" x14ac:dyDescent="0.3">
      <c r="A53" s="74">
        <v>195</v>
      </c>
      <c r="B53" s="76">
        <v>2.07813847385572</v>
      </c>
      <c r="C53" s="95">
        <v>58.138374936502103</v>
      </c>
      <c r="D53" s="76">
        <v>1.22998305792686</v>
      </c>
      <c r="E53" s="95">
        <v>41.098380147116899</v>
      </c>
      <c r="F53" s="76">
        <v>0</v>
      </c>
      <c r="G53" s="95">
        <v>0</v>
      </c>
      <c r="H53" s="76">
        <v>9.8071419035560705</v>
      </c>
      <c r="I53" s="95">
        <v>58.065804296040099</v>
      </c>
      <c r="J53" s="76">
        <v>0</v>
      </c>
      <c r="K53" s="134">
        <v>0</v>
      </c>
      <c r="L53" s="51">
        <v>0</v>
      </c>
      <c r="M53" s="95">
        <v>0</v>
      </c>
      <c r="N53" s="76">
        <v>17.066073939696501</v>
      </c>
      <c r="O53" s="95">
        <v>58.043675165989299</v>
      </c>
      <c r="P53" s="76">
        <v>0</v>
      </c>
      <c r="Q53" s="134">
        <v>0</v>
      </c>
      <c r="R53" s="51">
        <v>0</v>
      </c>
      <c r="S53" s="51">
        <v>0</v>
      </c>
      <c r="T53" s="76">
        <v>0</v>
      </c>
      <c r="U53" s="95">
        <v>0</v>
      </c>
    </row>
    <row r="54" spans="1:21" x14ac:dyDescent="0.3">
      <c r="A54" s="74">
        <v>200</v>
      </c>
      <c r="B54" s="76">
        <v>2.0781467613850002</v>
      </c>
      <c r="C54" s="95">
        <v>58.104546294858402</v>
      </c>
      <c r="D54" s="76">
        <v>1.22837342513944</v>
      </c>
      <c r="E54" s="95">
        <v>41.038646026968799</v>
      </c>
      <c r="F54" s="76">
        <v>0</v>
      </c>
      <c r="G54" s="95">
        <v>0</v>
      </c>
      <c r="H54" s="76">
        <v>9.7998280921682106</v>
      </c>
      <c r="I54" s="95">
        <v>58.052339025471902</v>
      </c>
      <c r="J54" s="76">
        <v>0</v>
      </c>
      <c r="K54" s="134">
        <v>0</v>
      </c>
      <c r="L54" s="51">
        <v>0</v>
      </c>
      <c r="M54" s="95">
        <v>0</v>
      </c>
      <c r="N54" s="76">
        <v>17.049787154609799</v>
      </c>
      <c r="O54" s="95">
        <v>58.013192314498497</v>
      </c>
      <c r="P54" s="76">
        <v>0</v>
      </c>
      <c r="Q54" s="134">
        <v>0</v>
      </c>
      <c r="R54" s="51">
        <v>0</v>
      </c>
      <c r="S54" s="51">
        <v>0</v>
      </c>
      <c r="T54" s="76">
        <v>0</v>
      </c>
      <c r="U54" s="95">
        <v>0</v>
      </c>
    </row>
    <row r="55" spans="1:21" x14ac:dyDescent="0.3">
      <c r="A55" s="74">
        <v>205</v>
      </c>
      <c r="B55" s="76">
        <v>2.0766110014847601</v>
      </c>
      <c r="C55" s="95">
        <v>58.070255368583297</v>
      </c>
      <c r="D55" s="76">
        <v>1.2222681726461699</v>
      </c>
      <c r="E55" s="95">
        <v>40.820719516623498</v>
      </c>
      <c r="F55" s="76">
        <v>0</v>
      </c>
      <c r="G55" s="95">
        <v>0</v>
      </c>
      <c r="H55" s="76">
        <v>9.7742771277145799</v>
      </c>
      <c r="I55" s="95">
        <v>58.007099671238599</v>
      </c>
      <c r="J55" s="76">
        <v>0</v>
      </c>
      <c r="K55" s="134">
        <v>0</v>
      </c>
      <c r="L55" s="51">
        <v>0</v>
      </c>
      <c r="M55" s="95">
        <v>0</v>
      </c>
      <c r="N55" s="76">
        <v>17.038085778922198</v>
      </c>
      <c r="O55" s="95">
        <v>57.959105255586003</v>
      </c>
      <c r="P55" s="76">
        <v>0</v>
      </c>
      <c r="Q55" s="134">
        <v>0</v>
      </c>
      <c r="R55" s="51">
        <v>0</v>
      </c>
      <c r="S55" s="51">
        <v>0</v>
      </c>
      <c r="T55" s="76">
        <v>0</v>
      </c>
      <c r="U55" s="95">
        <v>0</v>
      </c>
    </row>
    <row r="56" spans="1:21" x14ac:dyDescent="0.3">
      <c r="A56" s="74">
        <v>210</v>
      </c>
      <c r="B56" s="76">
        <v>2.0747367397387402</v>
      </c>
      <c r="C56" s="95">
        <v>58.082116197546398</v>
      </c>
      <c r="D56" s="76">
        <v>1.2158965061856599</v>
      </c>
      <c r="E56" s="95">
        <v>40.597535349725902</v>
      </c>
      <c r="F56" s="76">
        <v>0</v>
      </c>
      <c r="G56" s="95">
        <v>0</v>
      </c>
      <c r="H56" s="76">
        <v>9.7503590988346502</v>
      </c>
      <c r="I56" s="95">
        <v>58.138297412823</v>
      </c>
      <c r="J56" s="76">
        <v>0</v>
      </c>
      <c r="K56" s="134">
        <v>0</v>
      </c>
      <c r="L56" s="51">
        <v>0</v>
      </c>
      <c r="M56" s="95">
        <v>0</v>
      </c>
      <c r="N56" s="76">
        <v>17.0425673345473</v>
      </c>
      <c r="O56" s="95">
        <v>57.9588471240315</v>
      </c>
      <c r="P56" s="76">
        <v>0</v>
      </c>
      <c r="Q56" s="134">
        <v>0</v>
      </c>
      <c r="R56" s="51">
        <v>0</v>
      </c>
      <c r="S56" s="51">
        <v>0</v>
      </c>
      <c r="T56" s="76">
        <v>0</v>
      </c>
      <c r="U56" s="95">
        <v>0</v>
      </c>
    </row>
    <row r="57" spans="1:21" x14ac:dyDescent="0.3">
      <c r="A57" s="74">
        <v>215</v>
      </c>
      <c r="B57" s="76">
        <v>2.0732109728161601</v>
      </c>
      <c r="C57" s="95">
        <v>58.021214185847903</v>
      </c>
      <c r="D57" s="76">
        <v>1.20952389427389</v>
      </c>
      <c r="E57" s="95">
        <v>40.377961724756801</v>
      </c>
      <c r="F57" s="76">
        <v>0</v>
      </c>
      <c r="G57" s="95">
        <v>0</v>
      </c>
      <c r="H57" s="76">
        <v>9.7254548545607502</v>
      </c>
      <c r="I57" s="95">
        <v>58.3394268108283</v>
      </c>
      <c r="J57" s="76">
        <v>0</v>
      </c>
      <c r="K57" s="134">
        <v>0</v>
      </c>
      <c r="L57" s="51">
        <v>0</v>
      </c>
      <c r="M57" s="95">
        <v>0</v>
      </c>
      <c r="N57" s="76">
        <v>17.0342264781425</v>
      </c>
      <c r="O57" s="95">
        <v>58.025146925301399</v>
      </c>
      <c r="P57" s="76">
        <v>0</v>
      </c>
      <c r="Q57" s="134">
        <v>0</v>
      </c>
      <c r="R57" s="51">
        <v>0</v>
      </c>
      <c r="S57" s="51">
        <v>0</v>
      </c>
      <c r="T57" s="76">
        <v>0</v>
      </c>
      <c r="U57" s="95">
        <v>0</v>
      </c>
    </row>
    <row r="58" spans="1:21" x14ac:dyDescent="0.3">
      <c r="A58" s="74">
        <v>220</v>
      </c>
      <c r="B58" s="76">
        <v>2.07215669409368</v>
      </c>
      <c r="C58" s="95">
        <v>57.8589203223287</v>
      </c>
      <c r="D58" s="76">
        <v>1.2031503513202499</v>
      </c>
      <c r="E58" s="95">
        <v>40.161937911746698</v>
      </c>
      <c r="F58" s="76">
        <v>0</v>
      </c>
      <c r="G58" s="95">
        <v>0</v>
      </c>
      <c r="H58" s="76">
        <v>9.6909158595690492</v>
      </c>
      <c r="I58" s="95">
        <v>57.834568921732398</v>
      </c>
      <c r="J58" s="76">
        <v>0</v>
      </c>
      <c r="K58" s="134">
        <v>0</v>
      </c>
      <c r="L58" s="51">
        <v>0</v>
      </c>
      <c r="M58" s="95">
        <v>0</v>
      </c>
      <c r="N58" s="76">
        <v>16.974019170063201</v>
      </c>
      <c r="O58" s="95">
        <v>57.765807971938699</v>
      </c>
      <c r="P58" s="76">
        <v>0</v>
      </c>
      <c r="Q58" s="134">
        <v>0</v>
      </c>
      <c r="R58" s="51">
        <v>0</v>
      </c>
      <c r="S58" s="51">
        <v>0</v>
      </c>
      <c r="T58" s="76">
        <v>0</v>
      </c>
      <c r="U58" s="95">
        <v>0</v>
      </c>
    </row>
    <row r="59" spans="1:21" x14ac:dyDescent="0.3">
      <c r="A59" s="74">
        <v>225</v>
      </c>
      <c r="B59" s="76">
        <v>2.0700070498634102</v>
      </c>
      <c r="C59" s="95">
        <v>57.890987315238299</v>
      </c>
      <c r="D59" s="76">
        <v>1.1967758916456399</v>
      </c>
      <c r="E59" s="95">
        <v>39.949402689223298</v>
      </c>
      <c r="F59" s="76">
        <v>0</v>
      </c>
      <c r="G59" s="95">
        <v>0</v>
      </c>
      <c r="H59" s="76">
        <v>9.6679595670237397</v>
      </c>
      <c r="I59" s="95">
        <v>58.0517293094751</v>
      </c>
      <c r="J59" s="76">
        <v>0</v>
      </c>
      <c r="K59" s="134">
        <v>0</v>
      </c>
      <c r="L59" s="51">
        <v>0</v>
      </c>
      <c r="M59" s="95">
        <v>0</v>
      </c>
      <c r="N59" s="76">
        <v>16.989983301613002</v>
      </c>
      <c r="O59" s="95">
        <v>57.891775006715498</v>
      </c>
      <c r="P59" s="76">
        <v>0</v>
      </c>
      <c r="Q59" s="134">
        <v>0</v>
      </c>
      <c r="R59" s="51">
        <v>0</v>
      </c>
      <c r="S59" s="51">
        <v>0</v>
      </c>
      <c r="T59" s="76">
        <v>0</v>
      </c>
      <c r="U59" s="95">
        <v>0</v>
      </c>
    </row>
    <row r="60" spans="1:21" x14ac:dyDescent="0.3">
      <c r="A60" s="74">
        <v>230</v>
      </c>
      <c r="B60" s="76">
        <v>2.0672128293980698</v>
      </c>
      <c r="C60" s="95">
        <v>57.822268739211999</v>
      </c>
      <c r="D60" s="76">
        <v>1.19040056761942</v>
      </c>
      <c r="E60" s="95">
        <v>39.740301227458403</v>
      </c>
      <c r="F60" s="76">
        <v>0</v>
      </c>
      <c r="G60" s="95">
        <v>0</v>
      </c>
      <c r="H60" s="76">
        <v>9.6390570486198008</v>
      </c>
      <c r="I60" s="95">
        <v>58.169424188353901</v>
      </c>
      <c r="J60" s="76">
        <v>0</v>
      </c>
      <c r="K60" s="134">
        <v>0</v>
      </c>
      <c r="L60" s="51">
        <v>0</v>
      </c>
      <c r="M60" s="95">
        <v>0</v>
      </c>
      <c r="N60" s="76">
        <v>17.007603071934302</v>
      </c>
      <c r="O60" s="95">
        <v>58.773155221763602</v>
      </c>
      <c r="P60" s="76">
        <v>0</v>
      </c>
      <c r="Q60" s="134">
        <v>0</v>
      </c>
      <c r="R60" s="51">
        <v>0</v>
      </c>
      <c r="S60" s="51">
        <v>0</v>
      </c>
      <c r="T60" s="76">
        <v>0</v>
      </c>
      <c r="U60" s="95">
        <v>0</v>
      </c>
    </row>
    <row r="61" spans="1:21" x14ac:dyDescent="0.3">
      <c r="A61" s="74">
        <v>235</v>
      </c>
      <c r="B61" s="76">
        <v>2.06016557691082</v>
      </c>
      <c r="C61" s="95">
        <v>57.630724222666998</v>
      </c>
      <c r="D61" s="76">
        <v>1.1840248834489</v>
      </c>
      <c r="E61" s="95">
        <v>39.534606132267101</v>
      </c>
      <c r="F61" s="76">
        <v>0</v>
      </c>
      <c r="G61" s="95">
        <v>0</v>
      </c>
      <c r="H61" s="76">
        <v>9.5975353676552793</v>
      </c>
      <c r="I61" s="95">
        <v>57.978151323006898</v>
      </c>
      <c r="J61" s="76">
        <v>0</v>
      </c>
      <c r="K61" s="134">
        <v>0</v>
      </c>
      <c r="L61" s="51">
        <v>0</v>
      </c>
      <c r="M61" s="95">
        <v>0</v>
      </c>
      <c r="N61" s="76">
        <v>16.9673021896348</v>
      </c>
      <c r="O61" s="95">
        <v>59.064396921872401</v>
      </c>
      <c r="P61" s="76">
        <v>0</v>
      </c>
      <c r="Q61" s="134">
        <v>0</v>
      </c>
      <c r="R61" s="51">
        <v>0</v>
      </c>
      <c r="S61" s="51">
        <v>0</v>
      </c>
      <c r="T61" s="76">
        <v>0</v>
      </c>
      <c r="U61" s="95">
        <v>0</v>
      </c>
    </row>
    <row r="62" spans="1:21" x14ac:dyDescent="0.3">
      <c r="A62" s="74">
        <v>240</v>
      </c>
      <c r="B62" s="76">
        <v>2.0527272691887899</v>
      </c>
      <c r="C62" s="95">
        <v>57.432474718526997</v>
      </c>
      <c r="D62" s="76">
        <v>1.1776491911656899</v>
      </c>
      <c r="E62" s="95">
        <v>39.332226882575199</v>
      </c>
      <c r="F62" s="76">
        <v>0</v>
      </c>
      <c r="G62" s="95">
        <v>0</v>
      </c>
      <c r="H62" s="76">
        <v>9.5550307523093601</v>
      </c>
      <c r="I62" s="95">
        <v>57.779913593159698</v>
      </c>
      <c r="J62" s="76">
        <v>0</v>
      </c>
      <c r="K62" s="134">
        <v>0</v>
      </c>
      <c r="L62" s="51">
        <v>0</v>
      </c>
      <c r="M62" s="95">
        <v>0</v>
      </c>
      <c r="N62" s="76">
        <v>16.904947557542599</v>
      </c>
      <c r="O62" s="95">
        <v>58.899376016732901</v>
      </c>
      <c r="P62" s="76">
        <v>0</v>
      </c>
      <c r="Q62" s="134">
        <v>0</v>
      </c>
      <c r="R62" s="51">
        <v>0</v>
      </c>
      <c r="S62" s="51">
        <v>0</v>
      </c>
      <c r="T62" s="76">
        <v>0</v>
      </c>
      <c r="U62" s="95">
        <v>0</v>
      </c>
    </row>
    <row r="63" spans="1:21" x14ac:dyDescent="0.3">
      <c r="A63" s="74">
        <v>245</v>
      </c>
      <c r="B63" s="76">
        <v>2.0452889617244798</v>
      </c>
      <c r="C63" s="95">
        <v>57.237729027152902</v>
      </c>
      <c r="D63" s="76">
        <v>1.17127349901838</v>
      </c>
      <c r="E63" s="95">
        <v>39.133105594032102</v>
      </c>
      <c r="F63" s="76">
        <v>0</v>
      </c>
      <c r="G63" s="95">
        <v>0</v>
      </c>
      <c r="H63" s="76">
        <v>9.5125261380723707</v>
      </c>
      <c r="I63" s="95">
        <v>57.585181692326998</v>
      </c>
      <c r="J63" s="76">
        <v>0</v>
      </c>
      <c r="K63" s="134">
        <v>0</v>
      </c>
      <c r="L63" s="51">
        <v>0</v>
      </c>
      <c r="M63" s="95">
        <v>0</v>
      </c>
      <c r="N63" s="76">
        <v>16.841296897848899</v>
      </c>
      <c r="O63" s="95">
        <v>58.704675931919603</v>
      </c>
      <c r="P63" s="76">
        <v>0</v>
      </c>
      <c r="Q63" s="134">
        <v>0</v>
      </c>
      <c r="R63" s="51">
        <v>0</v>
      </c>
      <c r="S63" s="51">
        <v>0</v>
      </c>
      <c r="T63" s="76">
        <v>0</v>
      </c>
      <c r="U63" s="95">
        <v>0</v>
      </c>
    </row>
    <row r="64" spans="1:21" x14ac:dyDescent="0.3">
      <c r="A64" s="74">
        <v>250</v>
      </c>
      <c r="B64" s="76">
        <v>2.0380011034909198</v>
      </c>
      <c r="C64" s="95">
        <v>57.050193733185701</v>
      </c>
      <c r="D64" s="76">
        <v>1.1648978056760899</v>
      </c>
      <c r="E64" s="95">
        <v>38.937059806930201</v>
      </c>
      <c r="F64" s="76">
        <v>0</v>
      </c>
      <c r="G64" s="95">
        <v>0</v>
      </c>
      <c r="H64" s="76">
        <v>9.4703996769420602</v>
      </c>
      <c r="I64" s="95">
        <v>57.3977595089627</v>
      </c>
      <c r="J64" s="76">
        <v>0</v>
      </c>
      <c r="K64" s="134">
        <v>0</v>
      </c>
      <c r="L64" s="51">
        <v>0</v>
      </c>
      <c r="M64" s="95">
        <v>0</v>
      </c>
      <c r="N64" s="76">
        <v>16.778793092115102</v>
      </c>
      <c r="O64" s="95">
        <v>58.517613444118801</v>
      </c>
      <c r="P64" s="76">
        <v>0</v>
      </c>
      <c r="Q64" s="134">
        <v>0</v>
      </c>
      <c r="R64" s="51">
        <v>0</v>
      </c>
      <c r="S64" s="51">
        <v>0</v>
      </c>
      <c r="T64" s="76">
        <v>0</v>
      </c>
      <c r="U64" s="95">
        <v>0</v>
      </c>
    </row>
    <row r="65" spans="1:21" x14ac:dyDescent="0.3">
      <c r="A65" s="74">
        <v>255</v>
      </c>
      <c r="B65" s="76">
        <v>2.03293056710275</v>
      </c>
      <c r="C65" s="95">
        <v>56.915441382505698</v>
      </c>
      <c r="D65" s="76">
        <v>1.15852201743748</v>
      </c>
      <c r="E65" s="95">
        <v>38.738218025326198</v>
      </c>
      <c r="F65" s="76">
        <v>0</v>
      </c>
      <c r="G65" s="95">
        <v>0</v>
      </c>
      <c r="H65" s="76">
        <v>9.4338461719452802</v>
      </c>
      <c r="I65" s="95">
        <v>57.264598056366999</v>
      </c>
      <c r="J65" s="76">
        <v>0</v>
      </c>
      <c r="K65" s="134">
        <v>0</v>
      </c>
      <c r="L65" s="51">
        <v>0</v>
      </c>
      <c r="M65" s="95">
        <v>0</v>
      </c>
      <c r="N65" s="76">
        <v>16.7331919420233</v>
      </c>
      <c r="O65" s="95">
        <v>58.389606604065499</v>
      </c>
      <c r="P65" s="76">
        <v>0</v>
      </c>
      <c r="Q65" s="134">
        <v>0</v>
      </c>
      <c r="R65" s="51">
        <v>0</v>
      </c>
      <c r="S65" s="51">
        <v>0</v>
      </c>
      <c r="T65" s="76">
        <v>0</v>
      </c>
      <c r="U65" s="95">
        <v>0</v>
      </c>
    </row>
    <row r="66" spans="1:21" x14ac:dyDescent="0.3">
      <c r="A66" s="74">
        <v>260</v>
      </c>
      <c r="B66" s="76">
        <v>2.0285772768127899</v>
      </c>
      <c r="C66" s="95">
        <v>56.795559172018699</v>
      </c>
      <c r="D66" s="76">
        <v>1.1521459842877999</v>
      </c>
      <c r="E66" s="95">
        <v>38.537520012778799</v>
      </c>
      <c r="F66" s="76">
        <v>0</v>
      </c>
      <c r="G66" s="95">
        <v>0</v>
      </c>
      <c r="H66" s="76">
        <v>9.3990946366695596</v>
      </c>
      <c r="I66" s="95">
        <v>57.146785016053798</v>
      </c>
      <c r="J66" s="76">
        <v>0</v>
      </c>
      <c r="K66" s="134">
        <v>0</v>
      </c>
      <c r="L66" s="51">
        <v>0</v>
      </c>
      <c r="M66" s="95">
        <v>0</v>
      </c>
      <c r="N66" s="76">
        <v>16.693059258374799</v>
      </c>
      <c r="O66" s="95">
        <v>58.278512861668801</v>
      </c>
      <c r="P66" s="76">
        <v>0</v>
      </c>
      <c r="Q66" s="134">
        <v>0</v>
      </c>
      <c r="R66" s="51">
        <v>0</v>
      </c>
      <c r="S66" s="51">
        <v>0</v>
      </c>
      <c r="T66" s="76">
        <v>0</v>
      </c>
      <c r="U66" s="95">
        <v>0</v>
      </c>
    </row>
    <row r="67" spans="1:21" x14ac:dyDescent="0.3">
      <c r="A67" s="74">
        <v>265</v>
      </c>
      <c r="B67" s="76">
        <v>2.0241997730383998</v>
      </c>
      <c r="C67" s="95">
        <v>56.6776337598263</v>
      </c>
      <c r="D67" s="76">
        <v>1.1457696961927799</v>
      </c>
      <c r="E67" s="95">
        <v>38.339411216046003</v>
      </c>
      <c r="F67" s="76">
        <v>0</v>
      </c>
      <c r="G67" s="95">
        <v>0</v>
      </c>
      <c r="H67" s="76">
        <v>9.3642813639722497</v>
      </c>
      <c r="I67" s="95">
        <v>57.030916594795897</v>
      </c>
      <c r="J67" s="76">
        <v>0</v>
      </c>
      <c r="K67" s="134">
        <v>0</v>
      </c>
      <c r="L67" s="51">
        <v>0</v>
      </c>
      <c r="M67" s="95">
        <v>0</v>
      </c>
      <c r="N67" s="76">
        <v>16.6527430766122</v>
      </c>
      <c r="O67" s="95">
        <v>58.169317473821003</v>
      </c>
      <c r="P67" s="76">
        <v>0</v>
      </c>
      <c r="Q67" s="134">
        <v>0</v>
      </c>
      <c r="R67" s="51">
        <v>0</v>
      </c>
      <c r="S67" s="51">
        <v>0</v>
      </c>
      <c r="T67" s="76">
        <v>0</v>
      </c>
      <c r="U67" s="95">
        <v>0</v>
      </c>
    </row>
    <row r="68" spans="1:21" x14ac:dyDescent="0.3">
      <c r="A68" s="74">
        <v>270</v>
      </c>
      <c r="B68" s="76">
        <v>2.01979805880223</v>
      </c>
      <c r="C68" s="95">
        <v>56.561588261697402</v>
      </c>
      <c r="D68" s="76">
        <v>1.13939315720219</v>
      </c>
      <c r="E68" s="95">
        <v>38.143814248282901</v>
      </c>
      <c r="F68" s="76">
        <v>0</v>
      </c>
      <c r="G68" s="95">
        <v>0</v>
      </c>
      <c r="H68" s="76">
        <v>9.3294063766250002</v>
      </c>
      <c r="I68" s="95">
        <v>56.916915919697601</v>
      </c>
      <c r="J68" s="76">
        <v>0</v>
      </c>
      <c r="K68" s="134">
        <v>0</v>
      </c>
      <c r="L68" s="51">
        <v>0</v>
      </c>
      <c r="M68" s="95">
        <v>0</v>
      </c>
      <c r="N68" s="76">
        <v>16.612243418891001</v>
      </c>
      <c r="O68" s="95">
        <v>58.061950609572101</v>
      </c>
      <c r="P68" s="76">
        <v>0</v>
      </c>
      <c r="Q68" s="134">
        <v>0</v>
      </c>
      <c r="R68" s="51">
        <v>0</v>
      </c>
      <c r="S68" s="51">
        <v>0</v>
      </c>
      <c r="T68" s="76">
        <v>0</v>
      </c>
      <c r="U68" s="95">
        <v>0</v>
      </c>
    </row>
    <row r="69" spans="1:21" x14ac:dyDescent="0.3">
      <c r="A69" s="74">
        <v>275</v>
      </c>
      <c r="B69" s="76">
        <v>2.0153721371795301</v>
      </c>
      <c r="C69" s="95">
        <v>56.447369758125703</v>
      </c>
      <c r="D69" s="76">
        <v>1.13301637160101</v>
      </c>
      <c r="E69" s="95">
        <v>37.950676324525702</v>
      </c>
      <c r="F69" s="76">
        <v>0</v>
      </c>
      <c r="G69" s="95">
        <v>0</v>
      </c>
      <c r="H69" s="76">
        <v>9.2944696983374797</v>
      </c>
      <c r="I69" s="95">
        <v>56.8047300664864</v>
      </c>
      <c r="J69" s="76">
        <v>0</v>
      </c>
      <c r="K69" s="134">
        <v>0</v>
      </c>
      <c r="L69" s="51">
        <v>0</v>
      </c>
      <c r="M69" s="95">
        <v>0</v>
      </c>
      <c r="N69" s="76">
        <v>16.571560307488699</v>
      </c>
      <c r="O69" s="95">
        <v>57.956359344167701</v>
      </c>
      <c r="P69" s="76">
        <v>0</v>
      </c>
      <c r="Q69" s="134">
        <v>0</v>
      </c>
      <c r="R69" s="51">
        <v>0</v>
      </c>
      <c r="S69" s="51">
        <v>0</v>
      </c>
      <c r="T69" s="76">
        <v>0</v>
      </c>
      <c r="U69" s="95">
        <v>0</v>
      </c>
    </row>
    <row r="70" spans="1:21" x14ac:dyDescent="0.3">
      <c r="A70" s="74">
        <v>280</v>
      </c>
      <c r="B70" s="76">
        <v>2.0110566640655101</v>
      </c>
      <c r="C70" s="95">
        <v>56.337572214898998</v>
      </c>
      <c r="D70" s="76">
        <v>1.12682699260955</v>
      </c>
      <c r="E70" s="95">
        <v>37.766184579139903</v>
      </c>
      <c r="F70" s="76">
        <v>0</v>
      </c>
      <c r="G70" s="95">
        <v>0</v>
      </c>
      <c r="H70" s="76">
        <v>9.2605105114375004</v>
      </c>
      <c r="I70" s="95">
        <v>56.696895193670102</v>
      </c>
      <c r="J70" s="76">
        <v>0</v>
      </c>
      <c r="K70" s="134">
        <v>0</v>
      </c>
      <c r="L70" s="51">
        <v>0</v>
      </c>
      <c r="M70" s="95">
        <v>0</v>
      </c>
      <c r="N70" s="76">
        <v>16.531924451765899</v>
      </c>
      <c r="O70" s="95">
        <v>57.854894889529497</v>
      </c>
      <c r="P70" s="76">
        <v>0</v>
      </c>
      <c r="Q70" s="134">
        <v>0</v>
      </c>
      <c r="R70" s="51">
        <v>0</v>
      </c>
      <c r="S70" s="51">
        <v>0</v>
      </c>
      <c r="T70" s="76">
        <v>0</v>
      </c>
      <c r="U70" s="95">
        <v>0</v>
      </c>
    </row>
    <row r="71" spans="1:21" x14ac:dyDescent="0.3">
      <c r="A71" s="74">
        <v>285</v>
      </c>
      <c r="B71" s="76">
        <v>2.0097820741406598</v>
      </c>
      <c r="C71" s="95">
        <v>56.297004463869399</v>
      </c>
      <c r="D71" s="76">
        <v>1.12499531249475</v>
      </c>
      <c r="E71" s="95">
        <v>37.707395775225102</v>
      </c>
      <c r="F71" s="76">
        <v>0</v>
      </c>
      <c r="G71" s="95">
        <v>0</v>
      </c>
      <c r="H71" s="76">
        <v>9.2504670163184493</v>
      </c>
      <c r="I71" s="95">
        <v>56.6569096818628</v>
      </c>
      <c r="J71" s="76">
        <v>0</v>
      </c>
      <c r="K71" s="134">
        <v>0</v>
      </c>
      <c r="L71" s="51">
        <v>0</v>
      </c>
      <c r="M71" s="95">
        <v>0</v>
      </c>
      <c r="N71" s="76">
        <v>16.5202140617148</v>
      </c>
      <c r="O71" s="95">
        <v>57.8168067445948</v>
      </c>
      <c r="P71" s="76">
        <v>0</v>
      </c>
      <c r="Q71" s="134">
        <v>0</v>
      </c>
      <c r="R71" s="51">
        <v>0</v>
      </c>
      <c r="S71" s="51">
        <v>0</v>
      </c>
      <c r="T71" s="76">
        <v>0</v>
      </c>
      <c r="U71" s="95">
        <v>0</v>
      </c>
    </row>
    <row r="72" spans="1:21" x14ac:dyDescent="0.3">
      <c r="A72" s="74">
        <v>290</v>
      </c>
      <c r="B72" s="76">
        <v>2.0086673105654702</v>
      </c>
      <c r="C72" s="95">
        <v>56.2393200070698</v>
      </c>
      <c r="D72" s="76">
        <v>1.1249963309348101</v>
      </c>
      <c r="E72" s="95">
        <v>37.686089413849103</v>
      </c>
      <c r="F72" s="76">
        <v>0</v>
      </c>
      <c r="G72" s="95">
        <v>0</v>
      </c>
      <c r="H72" s="76">
        <v>9.2476687536333806</v>
      </c>
      <c r="I72" s="95">
        <v>56.598452374691597</v>
      </c>
      <c r="J72" s="76">
        <v>0</v>
      </c>
      <c r="K72" s="134">
        <v>0</v>
      </c>
      <c r="L72" s="51">
        <v>0</v>
      </c>
      <c r="M72" s="95">
        <v>0</v>
      </c>
      <c r="N72" s="76">
        <v>16.5078136612366</v>
      </c>
      <c r="O72" s="95">
        <v>57.6767842791091</v>
      </c>
      <c r="P72" s="76">
        <v>0</v>
      </c>
      <c r="Q72" s="134">
        <v>0</v>
      </c>
      <c r="R72" s="51">
        <v>0</v>
      </c>
      <c r="S72" s="51">
        <v>0</v>
      </c>
      <c r="T72" s="76">
        <v>0</v>
      </c>
      <c r="U72" s="95">
        <v>0</v>
      </c>
    </row>
    <row r="73" spans="1:21" x14ac:dyDescent="0.3">
      <c r="A73" s="74">
        <v>295</v>
      </c>
      <c r="B73" s="76">
        <v>2.0057927473926598</v>
      </c>
      <c r="C73" s="95">
        <v>56.107553084790602</v>
      </c>
      <c r="D73" s="76">
        <v>1.1249971618336301</v>
      </c>
      <c r="E73" s="95">
        <v>37.662004174350599</v>
      </c>
      <c r="F73" s="76">
        <v>0</v>
      </c>
      <c r="G73" s="95">
        <v>0</v>
      </c>
      <c r="H73" s="76">
        <v>9.2380516925712506</v>
      </c>
      <c r="I73" s="95">
        <v>56.332125293078498</v>
      </c>
      <c r="J73" s="76">
        <v>0</v>
      </c>
      <c r="K73" s="134">
        <v>0</v>
      </c>
      <c r="L73" s="51">
        <v>0</v>
      </c>
      <c r="M73" s="95">
        <v>0</v>
      </c>
      <c r="N73" s="76">
        <v>16.417813277861502</v>
      </c>
      <c r="O73" s="95">
        <v>56.250347894369099</v>
      </c>
      <c r="P73" s="76">
        <v>0</v>
      </c>
      <c r="Q73" s="134">
        <v>0</v>
      </c>
      <c r="R73" s="51">
        <v>0</v>
      </c>
      <c r="S73" s="51">
        <v>0</v>
      </c>
      <c r="T73" s="76">
        <v>0</v>
      </c>
      <c r="U73" s="95">
        <v>0</v>
      </c>
    </row>
    <row r="74" spans="1:21" x14ac:dyDescent="0.3">
      <c r="A74" s="74">
        <v>300</v>
      </c>
      <c r="B74" s="76">
        <v>2.0033528220855299</v>
      </c>
      <c r="C74" s="95">
        <v>55.898023731658903</v>
      </c>
      <c r="D74" s="76">
        <v>1.12499823379302</v>
      </c>
      <c r="E74" s="95">
        <v>37.641796107918601</v>
      </c>
      <c r="F74" s="76">
        <v>0</v>
      </c>
      <c r="G74" s="95">
        <v>0</v>
      </c>
      <c r="H74" s="76">
        <v>9.2242431711177293</v>
      </c>
      <c r="I74" s="95">
        <v>55.861467110593502</v>
      </c>
      <c r="J74" s="76">
        <v>0</v>
      </c>
      <c r="K74" s="134">
        <v>0</v>
      </c>
      <c r="L74" s="51">
        <v>0</v>
      </c>
      <c r="M74" s="95">
        <v>0</v>
      </c>
      <c r="N74" s="76">
        <v>16.349300116987202</v>
      </c>
      <c r="O74" s="95">
        <v>55.810370027806101</v>
      </c>
      <c r="P74" s="76">
        <v>0</v>
      </c>
      <c r="Q74" s="134">
        <v>0</v>
      </c>
      <c r="R74" s="51">
        <v>0</v>
      </c>
      <c r="S74" s="51">
        <v>0</v>
      </c>
      <c r="T74" s="76">
        <v>0</v>
      </c>
      <c r="U74" s="95">
        <v>0</v>
      </c>
    </row>
    <row r="75" spans="1:21" x14ac:dyDescent="0.3">
      <c r="A75" s="74">
        <v>305</v>
      </c>
      <c r="B75" s="76">
        <v>2.0003053492137002</v>
      </c>
      <c r="C75" s="95">
        <v>55.802241940677703</v>
      </c>
      <c r="D75" s="76">
        <v>1.1249990513664201</v>
      </c>
      <c r="E75" s="95">
        <v>37.625088352957199</v>
      </c>
      <c r="F75" s="76">
        <v>0</v>
      </c>
      <c r="G75" s="95">
        <v>0</v>
      </c>
      <c r="H75" s="76">
        <v>9.21664414683136</v>
      </c>
      <c r="I75" s="95">
        <v>55.765895827426803</v>
      </c>
      <c r="J75" s="76">
        <v>0</v>
      </c>
      <c r="K75" s="134">
        <v>0</v>
      </c>
      <c r="L75" s="51">
        <v>0</v>
      </c>
      <c r="M75" s="95">
        <v>0</v>
      </c>
      <c r="N75" s="76">
        <v>16.326769839589801</v>
      </c>
      <c r="O75" s="95">
        <v>55.715091675051902</v>
      </c>
      <c r="P75" s="76">
        <v>0</v>
      </c>
      <c r="Q75" s="134">
        <v>0</v>
      </c>
      <c r="R75" s="51">
        <v>0</v>
      </c>
      <c r="S75" s="51">
        <v>0</v>
      </c>
      <c r="T75" s="76">
        <v>0</v>
      </c>
      <c r="U75" s="95">
        <v>0</v>
      </c>
    </row>
    <row r="76" spans="1:21" x14ac:dyDescent="0.3">
      <c r="A76" s="74">
        <v>310</v>
      </c>
      <c r="B76" s="76">
        <v>1.9972574207503699</v>
      </c>
      <c r="C76" s="95">
        <v>55.7099612162448</v>
      </c>
      <c r="D76" s="76">
        <v>1.1249996147927599</v>
      </c>
      <c r="E76" s="95">
        <v>37.611884289202898</v>
      </c>
      <c r="F76" s="76">
        <v>0</v>
      </c>
      <c r="G76" s="95">
        <v>0</v>
      </c>
      <c r="H76" s="76">
        <v>9.2090430311854696</v>
      </c>
      <c r="I76" s="95">
        <v>55.673825612228299</v>
      </c>
      <c r="J76" s="76">
        <v>0</v>
      </c>
      <c r="K76" s="134">
        <v>0</v>
      </c>
      <c r="L76" s="51">
        <v>0</v>
      </c>
      <c r="M76" s="95">
        <v>0</v>
      </c>
      <c r="N76" s="76">
        <v>16.304235846422898</v>
      </c>
      <c r="O76" s="95">
        <v>55.6233143987874</v>
      </c>
      <c r="P76" s="76">
        <v>0</v>
      </c>
      <c r="Q76" s="134">
        <v>0</v>
      </c>
      <c r="R76" s="51">
        <v>0</v>
      </c>
      <c r="S76" s="51">
        <v>0</v>
      </c>
      <c r="T76" s="76">
        <v>0</v>
      </c>
      <c r="U76" s="95">
        <v>0</v>
      </c>
    </row>
    <row r="77" spans="1:21" x14ac:dyDescent="0.3">
      <c r="A77" s="74">
        <v>315</v>
      </c>
      <c r="B77" s="76">
        <v>1.99420903828636</v>
      </c>
      <c r="C77" s="95">
        <v>55.621184009153701</v>
      </c>
      <c r="D77" s="76">
        <v>1.12499992384599</v>
      </c>
      <c r="E77" s="95">
        <v>37.602186296722998</v>
      </c>
      <c r="F77" s="76">
        <v>0</v>
      </c>
      <c r="G77" s="95">
        <v>0</v>
      </c>
      <c r="H77" s="76">
        <v>9.2014398272833695</v>
      </c>
      <c r="I77" s="95">
        <v>55.585258916678796</v>
      </c>
      <c r="J77" s="76">
        <v>0</v>
      </c>
      <c r="K77" s="134">
        <v>0</v>
      </c>
      <c r="L77" s="51">
        <v>0</v>
      </c>
      <c r="M77" s="95">
        <v>0</v>
      </c>
      <c r="N77" s="76">
        <v>16.281698149026202</v>
      </c>
      <c r="O77" s="95">
        <v>55.535040645496998</v>
      </c>
      <c r="P77" s="76">
        <v>0</v>
      </c>
      <c r="Q77" s="134">
        <v>0</v>
      </c>
      <c r="R77" s="51">
        <v>0</v>
      </c>
      <c r="S77" s="51">
        <v>0</v>
      </c>
      <c r="T77" s="76">
        <v>0</v>
      </c>
      <c r="U77" s="95">
        <v>0</v>
      </c>
    </row>
    <row r="78" spans="1:21" x14ac:dyDescent="0.3">
      <c r="A78" s="74">
        <v>320</v>
      </c>
      <c r="B78" s="76">
        <v>1.99209828770745</v>
      </c>
      <c r="C78" s="95">
        <v>55.560239126591803</v>
      </c>
      <c r="D78" s="76">
        <v>1.1249999994914801</v>
      </c>
      <c r="E78" s="95">
        <v>37.595996614696602</v>
      </c>
      <c r="F78" s="76">
        <v>0</v>
      </c>
      <c r="G78" s="95">
        <v>0</v>
      </c>
      <c r="H78" s="76">
        <v>9.1961747230126907</v>
      </c>
      <c r="I78" s="95">
        <v>55.524459789092901</v>
      </c>
      <c r="J78" s="76">
        <v>0</v>
      </c>
      <c r="K78" s="134">
        <v>0</v>
      </c>
      <c r="L78" s="51">
        <v>0</v>
      </c>
      <c r="M78" s="95">
        <v>0</v>
      </c>
      <c r="N78" s="76">
        <v>16.266092484472299</v>
      </c>
      <c r="O78" s="95">
        <v>55.474424729441502</v>
      </c>
      <c r="P78" s="76">
        <v>0</v>
      </c>
      <c r="Q78" s="134">
        <v>0</v>
      </c>
      <c r="R78" s="51">
        <v>0</v>
      </c>
      <c r="S78" s="51">
        <v>0</v>
      </c>
      <c r="T78" s="76">
        <v>0</v>
      </c>
      <c r="U78" s="95">
        <v>0</v>
      </c>
    </row>
    <row r="79" spans="1:21" x14ac:dyDescent="0.3">
      <c r="A79" s="74">
        <v>325</v>
      </c>
      <c r="B79" s="76">
        <v>1.99202744518857</v>
      </c>
      <c r="C79" s="95">
        <v>55.555748602393201</v>
      </c>
      <c r="D79" s="76">
        <v>1.1250000000492799</v>
      </c>
      <c r="E79" s="95">
        <v>37.593342944669402</v>
      </c>
      <c r="F79" s="76">
        <v>0</v>
      </c>
      <c r="G79" s="95">
        <v>0</v>
      </c>
      <c r="H79" s="76">
        <v>9.1959980043789091</v>
      </c>
      <c r="I79" s="95">
        <v>55.519974162046999</v>
      </c>
      <c r="J79" s="76">
        <v>0</v>
      </c>
      <c r="K79" s="134">
        <v>0</v>
      </c>
      <c r="L79" s="51">
        <v>0</v>
      </c>
      <c r="M79" s="95">
        <v>0</v>
      </c>
      <c r="N79" s="76">
        <v>16.265568713316298</v>
      </c>
      <c r="O79" s="95">
        <v>55.469948606087598</v>
      </c>
      <c r="P79" s="76">
        <v>0</v>
      </c>
      <c r="Q79" s="134">
        <v>0</v>
      </c>
      <c r="R79" s="51">
        <v>0</v>
      </c>
      <c r="S79" s="51">
        <v>0</v>
      </c>
      <c r="T79" s="76">
        <v>0</v>
      </c>
      <c r="U79" s="95">
        <v>0</v>
      </c>
    </row>
    <row r="80" spans="1:21" x14ac:dyDescent="0.3">
      <c r="A80" s="74">
        <v>330</v>
      </c>
      <c r="B80" s="76">
        <v>1.9920274450564099</v>
      </c>
      <c r="C80" s="95">
        <v>55.556607397125198</v>
      </c>
      <c r="D80" s="76">
        <v>1.1249999999809599</v>
      </c>
      <c r="E80" s="95">
        <v>37.594201741281502</v>
      </c>
      <c r="F80" s="76">
        <v>0</v>
      </c>
      <c r="G80" s="95">
        <v>0</v>
      </c>
      <c r="H80" s="76">
        <v>9.1959980037947808</v>
      </c>
      <c r="I80" s="95">
        <v>55.5208329576935</v>
      </c>
      <c r="J80" s="76">
        <v>0</v>
      </c>
      <c r="K80" s="134">
        <v>0</v>
      </c>
      <c r="L80" s="51">
        <v>0</v>
      </c>
      <c r="M80" s="95">
        <v>0</v>
      </c>
      <c r="N80" s="76">
        <v>16.265568712249799</v>
      </c>
      <c r="O80" s="95">
        <v>55.470814340755702</v>
      </c>
      <c r="P80" s="76">
        <v>0</v>
      </c>
      <c r="Q80" s="134">
        <v>0</v>
      </c>
      <c r="R80" s="51">
        <v>0</v>
      </c>
      <c r="S80" s="51">
        <v>0</v>
      </c>
      <c r="T80" s="76">
        <v>0</v>
      </c>
      <c r="U80" s="95">
        <v>0</v>
      </c>
    </row>
    <row r="81" spans="1:21" x14ac:dyDescent="0.3">
      <c r="A81" s="74">
        <v>335</v>
      </c>
      <c r="B81" s="76">
        <v>1.99202152067119</v>
      </c>
      <c r="C81" s="95">
        <v>55.560878646505699</v>
      </c>
      <c r="D81" s="76">
        <v>1.12500000001836</v>
      </c>
      <c r="E81" s="95">
        <v>37.598627944427101</v>
      </c>
      <c r="F81" s="76">
        <v>0</v>
      </c>
      <c r="G81" s="95">
        <v>0</v>
      </c>
      <c r="H81" s="76">
        <v>9.1959832252103997</v>
      </c>
      <c r="I81" s="95">
        <v>55.525104614442903</v>
      </c>
      <c r="J81" s="76">
        <v>0</v>
      </c>
      <c r="K81" s="134">
        <v>0</v>
      </c>
      <c r="L81" s="51">
        <v>0</v>
      </c>
      <c r="M81" s="95">
        <v>0</v>
      </c>
      <c r="N81" s="76">
        <v>16.265524910523698</v>
      </c>
      <c r="O81" s="95">
        <v>55.475095348190997</v>
      </c>
      <c r="P81" s="76">
        <v>0</v>
      </c>
      <c r="Q81" s="134">
        <v>0</v>
      </c>
      <c r="R81" s="51">
        <v>0</v>
      </c>
      <c r="S81" s="51">
        <v>0</v>
      </c>
      <c r="T81" s="76">
        <v>0</v>
      </c>
      <c r="U81" s="95">
        <v>0</v>
      </c>
    </row>
    <row r="82" spans="1:21" x14ac:dyDescent="0.3">
      <c r="A82" s="74">
        <v>340</v>
      </c>
      <c r="B82" s="76">
        <v>2.03809444774839</v>
      </c>
      <c r="C82" s="95">
        <v>56.722187379975203</v>
      </c>
      <c r="D82" s="76">
        <v>1.12499994875418</v>
      </c>
      <c r="E82" s="95">
        <v>37.606391441545703</v>
      </c>
      <c r="F82" s="76">
        <v>0</v>
      </c>
      <c r="G82" s="95">
        <v>0</v>
      </c>
      <c r="H82" s="76">
        <v>9.3091954345094301</v>
      </c>
      <c r="I82" s="95">
        <v>56.685835278393597</v>
      </c>
      <c r="J82" s="76">
        <v>0</v>
      </c>
      <c r="K82" s="134">
        <v>0</v>
      </c>
      <c r="L82" s="51">
        <v>0</v>
      </c>
      <c r="M82" s="95">
        <v>0</v>
      </c>
      <c r="N82" s="76">
        <v>16.591822237818</v>
      </c>
      <c r="O82" s="95">
        <v>56.635998778491697</v>
      </c>
      <c r="P82" s="76">
        <v>0</v>
      </c>
      <c r="Q82" s="134">
        <v>0</v>
      </c>
      <c r="R82" s="51">
        <v>0</v>
      </c>
      <c r="S82" s="51">
        <v>0</v>
      </c>
      <c r="T82" s="76">
        <v>0</v>
      </c>
      <c r="U82" s="95">
        <v>0</v>
      </c>
    </row>
    <row r="83" spans="1:21" x14ac:dyDescent="0.3">
      <c r="A83" s="74">
        <v>345</v>
      </c>
      <c r="B83" s="76">
        <v>2.0665071623613498</v>
      </c>
      <c r="C83" s="95">
        <v>57.442119233051997</v>
      </c>
      <c r="D83" s="76">
        <v>1.1249996786666501</v>
      </c>
      <c r="E83" s="95">
        <v>37.617808775660599</v>
      </c>
      <c r="F83" s="76">
        <v>0</v>
      </c>
      <c r="G83" s="95">
        <v>0</v>
      </c>
      <c r="H83" s="76">
        <v>9.3822234700402891</v>
      </c>
      <c r="I83" s="95">
        <v>57.406692080985401</v>
      </c>
      <c r="J83" s="76">
        <v>0</v>
      </c>
      <c r="K83" s="134">
        <v>0</v>
      </c>
      <c r="L83" s="51">
        <v>0</v>
      </c>
      <c r="M83" s="95">
        <v>0</v>
      </c>
      <c r="N83" s="76">
        <v>16.822712274503601</v>
      </c>
      <c r="O83" s="95">
        <v>57.357166754041003</v>
      </c>
      <c r="P83" s="76">
        <v>0</v>
      </c>
      <c r="Q83" s="134">
        <v>0</v>
      </c>
      <c r="R83" s="51">
        <v>0</v>
      </c>
      <c r="S83" s="51">
        <v>0</v>
      </c>
      <c r="T83" s="76">
        <v>0</v>
      </c>
      <c r="U83" s="95">
        <v>0</v>
      </c>
    </row>
    <row r="84" spans="1:21" x14ac:dyDescent="0.3">
      <c r="A84" s="74">
        <v>350</v>
      </c>
      <c r="B84" s="76">
        <v>2.0629732363686299</v>
      </c>
      <c r="C84" s="95">
        <v>57.365799112319998</v>
      </c>
      <c r="D84" s="76">
        <v>1.12499915425744</v>
      </c>
      <c r="E84" s="95">
        <v>37.632666172230401</v>
      </c>
      <c r="F84" s="76">
        <v>0</v>
      </c>
      <c r="G84" s="95">
        <v>0</v>
      </c>
      <c r="H84" s="76">
        <v>9.3734042129740391</v>
      </c>
      <c r="I84" s="95">
        <v>57.330594262321398</v>
      </c>
      <c r="J84" s="76">
        <v>0</v>
      </c>
      <c r="K84" s="134">
        <v>0</v>
      </c>
      <c r="L84" s="51">
        <v>0</v>
      </c>
      <c r="M84" s="95">
        <v>0</v>
      </c>
      <c r="N84" s="76">
        <v>16.796556726839398</v>
      </c>
      <c r="O84" s="95">
        <v>57.281378295764299</v>
      </c>
      <c r="P84" s="76">
        <v>0</v>
      </c>
      <c r="Q84" s="134">
        <v>0</v>
      </c>
      <c r="R84" s="51">
        <v>0</v>
      </c>
      <c r="S84" s="51">
        <v>0</v>
      </c>
      <c r="T84" s="76">
        <v>0</v>
      </c>
      <c r="U84" s="95">
        <v>0</v>
      </c>
    </row>
    <row r="85" spans="1:21" x14ac:dyDescent="0.3">
      <c r="A85" s="74">
        <v>355</v>
      </c>
      <c r="B85" s="76">
        <v>2.05938629007579</v>
      </c>
      <c r="C85" s="95">
        <v>57.292519129473</v>
      </c>
      <c r="D85" s="76">
        <v>1.12499837550513</v>
      </c>
      <c r="E85" s="95">
        <v>37.651014844623603</v>
      </c>
      <c r="F85" s="76">
        <v>0</v>
      </c>
      <c r="G85" s="95">
        <v>0</v>
      </c>
      <c r="H85" s="76">
        <v>9.36455998602821</v>
      </c>
      <c r="I85" s="95">
        <v>57.257365560490399</v>
      </c>
      <c r="J85" s="76">
        <v>0</v>
      </c>
      <c r="K85" s="134">
        <v>0</v>
      </c>
      <c r="L85" s="51">
        <v>0</v>
      </c>
      <c r="M85" s="95">
        <v>0</v>
      </c>
      <c r="N85" s="76">
        <v>16.771424879343598</v>
      </c>
      <c r="O85" s="95">
        <v>57.209620096587201</v>
      </c>
      <c r="P85" s="76">
        <v>0</v>
      </c>
      <c r="Q85" s="134">
        <v>0</v>
      </c>
      <c r="R85" s="51">
        <v>0</v>
      </c>
      <c r="S85" s="51">
        <v>0</v>
      </c>
      <c r="T85" s="76">
        <v>0</v>
      </c>
      <c r="U85" s="95">
        <v>0</v>
      </c>
    </row>
    <row r="86" spans="1:21" x14ac:dyDescent="0.3">
      <c r="A86" s="74">
        <v>360</v>
      </c>
      <c r="B86" s="76">
        <v>2.05513134965872</v>
      </c>
      <c r="C86" s="95">
        <v>57.3245992824327</v>
      </c>
      <c r="D86" s="76">
        <v>1.1249973425856299</v>
      </c>
      <c r="E86" s="95">
        <v>37.672848325220698</v>
      </c>
      <c r="F86" s="76">
        <v>0</v>
      </c>
      <c r="G86" s="95">
        <v>0</v>
      </c>
      <c r="H86" s="76">
        <v>9.3603392826516405</v>
      </c>
      <c r="I86" s="95">
        <v>57.388871852035301</v>
      </c>
      <c r="J86" s="76">
        <v>0</v>
      </c>
      <c r="K86" s="134">
        <v>0</v>
      </c>
      <c r="L86" s="51">
        <v>0</v>
      </c>
      <c r="M86" s="95">
        <v>0</v>
      </c>
      <c r="N86" s="76">
        <v>16.782765670251401</v>
      </c>
      <c r="O86" s="95">
        <v>57.271382626724403</v>
      </c>
      <c r="P86" s="76">
        <v>0</v>
      </c>
      <c r="Q86" s="134">
        <v>0</v>
      </c>
      <c r="R86" s="51">
        <v>0</v>
      </c>
      <c r="S86" s="51">
        <v>0</v>
      </c>
      <c r="T86" s="76">
        <v>0</v>
      </c>
      <c r="U86" s="95">
        <v>0</v>
      </c>
    </row>
    <row r="87" spans="1:21" x14ac:dyDescent="0.3">
      <c r="A87" s="74">
        <v>365</v>
      </c>
      <c r="B87" s="76">
        <v>2.05167010115031</v>
      </c>
      <c r="C87" s="95">
        <v>57.287294630673401</v>
      </c>
      <c r="D87" s="76">
        <v>1.1249963875530999</v>
      </c>
      <c r="E87" s="95">
        <v>37.698347826922898</v>
      </c>
      <c r="F87" s="76">
        <v>0</v>
      </c>
      <c r="G87" s="95">
        <v>0</v>
      </c>
      <c r="H87" s="76">
        <v>9.3546966888441094</v>
      </c>
      <c r="I87" s="95">
        <v>57.6227036939516</v>
      </c>
      <c r="J87" s="76">
        <v>0</v>
      </c>
      <c r="K87" s="134">
        <v>0</v>
      </c>
      <c r="L87" s="51">
        <v>0</v>
      </c>
      <c r="M87" s="95">
        <v>0</v>
      </c>
      <c r="N87" s="76">
        <v>16.814484741128201</v>
      </c>
      <c r="O87" s="95">
        <v>58.376867570316797</v>
      </c>
      <c r="P87" s="76">
        <v>0</v>
      </c>
      <c r="Q87" s="134">
        <v>0</v>
      </c>
      <c r="R87" s="51">
        <v>0</v>
      </c>
      <c r="S87" s="51">
        <v>0</v>
      </c>
      <c r="T87" s="76">
        <v>0</v>
      </c>
      <c r="U87" s="95">
        <v>0</v>
      </c>
    </row>
    <row r="88" spans="1:21" x14ac:dyDescent="0.3">
      <c r="A88" s="74">
        <v>370</v>
      </c>
      <c r="B88" s="76">
        <v>2.04987068913925</v>
      </c>
      <c r="C88" s="95">
        <v>57.264166925653797</v>
      </c>
      <c r="D88" s="76">
        <v>1.12499569375672</v>
      </c>
      <c r="E88" s="95">
        <v>37.712345846510203</v>
      </c>
      <c r="F88" s="76">
        <v>0</v>
      </c>
      <c r="G88" s="95">
        <v>0</v>
      </c>
      <c r="H88" s="76">
        <v>9.3501732798200106</v>
      </c>
      <c r="I88" s="95">
        <v>57.598501613957602</v>
      </c>
      <c r="J88" s="76">
        <v>0</v>
      </c>
      <c r="K88" s="134">
        <v>0</v>
      </c>
      <c r="L88" s="51">
        <v>0</v>
      </c>
      <c r="M88" s="95">
        <v>0</v>
      </c>
      <c r="N88" s="76">
        <v>16.814199844181601</v>
      </c>
      <c r="O88" s="95">
        <v>58.675461228279403</v>
      </c>
      <c r="P88" s="76">
        <v>0</v>
      </c>
      <c r="Q88" s="134">
        <v>0</v>
      </c>
      <c r="R88" s="51">
        <v>0</v>
      </c>
      <c r="S88" s="51">
        <v>0</v>
      </c>
      <c r="T88" s="76">
        <v>0</v>
      </c>
      <c r="U88" s="95">
        <v>0</v>
      </c>
    </row>
    <row r="89" spans="1:21" x14ac:dyDescent="0.3">
      <c r="A89" s="74">
        <v>375</v>
      </c>
      <c r="B89" s="76">
        <v>1.7798531834501401</v>
      </c>
      <c r="C89" s="95">
        <v>50.441905702668798</v>
      </c>
      <c r="D89" s="76">
        <v>1.1249953125072201</v>
      </c>
      <c r="E89" s="95">
        <v>37.712239203784399</v>
      </c>
      <c r="F89" s="76">
        <v>0</v>
      </c>
      <c r="G89" s="95">
        <v>0</v>
      </c>
      <c r="H89" s="76">
        <v>8.6692473812167901</v>
      </c>
      <c r="I89" s="95">
        <v>50.592983988296901</v>
      </c>
      <c r="J89" s="76">
        <v>0</v>
      </c>
      <c r="K89" s="134">
        <v>0</v>
      </c>
      <c r="L89" s="51">
        <v>0</v>
      </c>
      <c r="M89" s="95">
        <v>0</v>
      </c>
      <c r="N89" s="76">
        <v>14.724862036398299</v>
      </c>
      <c r="O89" s="95">
        <v>51.144245520547997</v>
      </c>
      <c r="P89" s="76">
        <v>0</v>
      </c>
      <c r="Q89" s="134">
        <v>0</v>
      </c>
      <c r="R89" s="51">
        <v>0</v>
      </c>
      <c r="S89" s="51">
        <v>0</v>
      </c>
      <c r="T89" s="76">
        <v>0</v>
      </c>
      <c r="U89" s="95">
        <v>0</v>
      </c>
    </row>
    <row r="90" spans="1:21" x14ac:dyDescent="0.3">
      <c r="A90" s="74">
        <v>380</v>
      </c>
      <c r="B90" s="76">
        <v>1.3683289320588901</v>
      </c>
      <c r="C90" s="95">
        <v>39.364815613869098</v>
      </c>
      <c r="D90" s="76">
        <v>1.1257034938847099</v>
      </c>
      <c r="E90" s="95">
        <v>37.741610613016803</v>
      </c>
      <c r="F90" s="76">
        <v>0</v>
      </c>
      <c r="G90" s="95">
        <v>0</v>
      </c>
      <c r="H90" s="76">
        <v>7.6223892130667501</v>
      </c>
      <c r="I90" s="95">
        <v>39.315790260878799</v>
      </c>
      <c r="J90" s="76">
        <v>0</v>
      </c>
      <c r="K90" s="134">
        <v>0</v>
      </c>
      <c r="L90" s="51">
        <v>0</v>
      </c>
      <c r="M90" s="95">
        <v>0</v>
      </c>
      <c r="N90" s="76">
        <v>11.531752855065299</v>
      </c>
      <c r="O90" s="95">
        <v>39.241747892116102</v>
      </c>
      <c r="P90" s="76">
        <v>0</v>
      </c>
      <c r="Q90" s="134">
        <v>0</v>
      </c>
      <c r="R90" s="51">
        <v>0</v>
      </c>
      <c r="S90" s="51">
        <v>0</v>
      </c>
      <c r="T90" s="76">
        <v>0</v>
      </c>
      <c r="U90" s="95">
        <v>0</v>
      </c>
    </row>
    <row r="91" spans="1:21" x14ac:dyDescent="0.3">
      <c r="A91" s="74">
        <v>385</v>
      </c>
      <c r="B91" s="76">
        <v>1.31382454860471</v>
      </c>
      <c r="C91" s="95">
        <v>37.782894908829803</v>
      </c>
      <c r="D91" s="76">
        <v>1.1258718786384601</v>
      </c>
      <c r="E91" s="95">
        <v>37.750137234082501</v>
      </c>
      <c r="F91" s="76">
        <v>0</v>
      </c>
      <c r="G91" s="95">
        <v>0</v>
      </c>
      <c r="H91" s="76">
        <v>7.4946176837740897</v>
      </c>
      <c r="I91" s="95">
        <v>37.7354512598708</v>
      </c>
      <c r="J91" s="76">
        <v>0</v>
      </c>
      <c r="K91" s="134">
        <v>0</v>
      </c>
      <c r="L91" s="51">
        <v>0</v>
      </c>
      <c r="M91" s="95">
        <v>0</v>
      </c>
      <c r="N91" s="76">
        <v>11.180086182121</v>
      </c>
      <c r="O91" s="95">
        <v>37.63753891815</v>
      </c>
      <c r="P91" s="76">
        <v>0</v>
      </c>
      <c r="Q91" s="134">
        <v>0</v>
      </c>
      <c r="R91" s="51">
        <v>0</v>
      </c>
      <c r="S91" s="51">
        <v>0</v>
      </c>
      <c r="T91" s="76">
        <v>0</v>
      </c>
      <c r="U91" s="95">
        <v>0</v>
      </c>
    </row>
    <row r="92" spans="1:21" x14ac:dyDescent="0.3">
      <c r="A92" s="74">
        <v>390</v>
      </c>
      <c r="B92" s="76">
        <v>1.29447016269904</v>
      </c>
      <c r="C92" s="95">
        <v>37.214177347378097</v>
      </c>
      <c r="D92" s="76">
        <v>1.10928367480761</v>
      </c>
      <c r="E92" s="95">
        <v>37.181411085589303</v>
      </c>
      <c r="F92" s="76">
        <v>0</v>
      </c>
      <c r="G92" s="95">
        <v>0</v>
      </c>
      <c r="H92" s="76">
        <v>7.38399386364165</v>
      </c>
      <c r="I92" s="95">
        <v>37.166666922049899</v>
      </c>
      <c r="J92" s="76">
        <v>0</v>
      </c>
      <c r="K92" s="134">
        <v>0</v>
      </c>
      <c r="L92" s="51">
        <v>0</v>
      </c>
      <c r="M92" s="95">
        <v>0</v>
      </c>
      <c r="N92" s="76">
        <v>11.014290741963199</v>
      </c>
      <c r="O92" s="95">
        <v>37.068371303371897</v>
      </c>
      <c r="P92" s="76">
        <v>0</v>
      </c>
      <c r="Q92" s="134">
        <v>0</v>
      </c>
      <c r="R92" s="51">
        <v>0</v>
      </c>
      <c r="S92" s="51">
        <v>0</v>
      </c>
      <c r="T92" s="76">
        <v>0</v>
      </c>
      <c r="U92" s="95">
        <v>0</v>
      </c>
    </row>
    <row r="93" spans="1:21" x14ac:dyDescent="0.3">
      <c r="A93" s="74">
        <v>395</v>
      </c>
      <c r="B93" s="76">
        <v>1.2542248480398801</v>
      </c>
      <c r="C93" s="95">
        <v>36.121289777986398</v>
      </c>
      <c r="D93" s="76">
        <v>1.0756392782033699</v>
      </c>
      <c r="E93" s="95">
        <v>36.100919328644501</v>
      </c>
      <c r="F93" s="76">
        <v>0</v>
      </c>
      <c r="G93" s="95">
        <v>0</v>
      </c>
      <c r="H93" s="76">
        <v>7.1764765953481602</v>
      </c>
      <c r="I93" s="95">
        <v>36.285252818477602</v>
      </c>
      <c r="J93" s="76">
        <v>0</v>
      </c>
      <c r="K93" s="134">
        <v>0</v>
      </c>
      <c r="L93" s="51">
        <v>0</v>
      </c>
      <c r="M93" s="95">
        <v>0</v>
      </c>
      <c r="N93" s="76">
        <v>10.722572772432899</v>
      </c>
      <c r="O93" s="95">
        <v>36.031588686647098</v>
      </c>
      <c r="P93" s="76">
        <v>0</v>
      </c>
      <c r="Q93" s="134">
        <v>0</v>
      </c>
      <c r="R93" s="51">
        <v>0</v>
      </c>
      <c r="S93" s="51">
        <v>0</v>
      </c>
      <c r="T93" s="76">
        <v>0</v>
      </c>
      <c r="U93" s="95">
        <v>0</v>
      </c>
    </row>
    <row r="94" spans="1:21" x14ac:dyDescent="0.3">
      <c r="A94" s="74">
        <v>400</v>
      </c>
      <c r="B94" s="76">
        <v>1.2144991776557399</v>
      </c>
      <c r="C94" s="95">
        <v>35.000187301828198</v>
      </c>
      <c r="D94" s="76">
        <v>1.04194420910721</v>
      </c>
      <c r="E94" s="95">
        <v>34.989287700885598</v>
      </c>
      <c r="F94" s="76">
        <v>0</v>
      </c>
      <c r="G94" s="95">
        <v>0</v>
      </c>
      <c r="H94" s="76">
        <v>6.9545189360948099</v>
      </c>
      <c r="I94" s="95">
        <v>35.1591266488985</v>
      </c>
      <c r="J94" s="76">
        <v>0</v>
      </c>
      <c r="K94" s="134">
        <v>0</v>
      </c>
      <c r="L94" s="51">
        <v>0</v>
      </c>
      <c r="M94" s="95">
        <v>0</v>
      </c>
      <c r="N94" s="76">
        <v>10.392232924869999</v>
      </c>
      <c r="O94" s="95">
        <v>34.901695151308999</v>
      </c>
      <c r="P94" s="76">
        <v>0</v>
      </c>
      <c r="Q94" s="134">
        <v>0</v>
      </c>
      <c r="R94" s="51">
        <v>0</v>
      </c>
      <c r="S94" s="51">
        <v>0</v>
      </c>
      <c r="T94" s="76">
        <v>0</v>
      </c>
      <c r="U94" s="95">
        <v>0</v>
      </c>
    </row>
    <row r="95" spans="1:21" x14ac:dyDescent="0.3">
      <c r="A95" s="74">
        <v>405</v>
      </c>
      <c r="B95" s="76">
        <v>1.17487157360517</v>
      </c>
      <c r="C95" s="95">
        <v>33.858595899577999</v>
      </c>
      <c r="D95" s="76">
        <v>1.0080075921968601</v>
      </c>
      <c r="E95" s="95">
        <v>33.868272283253702</v>
      </c>
      <c r="F95" s="76">
        <v>0</v>
      </c>
      <c r="G95" s="95">
        <v>0</v>
      </c>
      <c r="H95" s="76">
        <v>6.73206503914815</v>
      </c>
      <c r="I95" s="95">
        <v>34.136744611077802</v>
      </c>
      <c r="J95" s="76">
        <v>0</v>
      </c>
      <c r="K95" s="134">
        <v>0</v>
      </c>
      <c r="L95" s="51">
        <v>0</v>
      </c>
      <c r="M95" s="95">
        <v>0</v>
      </c>
      <c r="N95" s="76">
        <v>10.0566310215423</v>
      </c>
      <c r="O95" s="95">
        <v>33.782677024310701</v>
      </c>
      <c r="P95" s="76">
        <v>0</v>
      </c>
      <c r="Q95" s="134">
        <v>0</v>
      </c>
      <c r="R95" s="51">
        <v>0</v>
      </c>
      <c r="S95" s="51">
        <v>0</v>
      </c>
      <c r="T95" s="76">
        <v>0</v>
      </c>
      <c r="U95" s="95">
        <v>0</v>
      </c>
    </row>
    <row r="96" spans="1:21" x14ac:dyDescent="0.3">
      <c r="A96" s="74">
        <v>410</v>
      </c>
      <c r="B96" s="76">
        <v>1.1484244762520499</v>
      </c>
      <c r="C96" s="95">
        <v>33.052653851059503</v>
      </c>
      <c r="D96" s="76">
        <v>0.98481264637695198</v>
      </c>
      <c r="E96" s="95">
        <v>33.025637940269597</v>
      </c>
      <c r="F96" s="76">
        <v>0</v>
      </c>
      <c r="G96" s="95">
        <v>0</v>
      </c>
      <c r="H96" s="76">
        <v>6.5626848228368999</v>
      </c>
      <c r="I96" s="95">
        <v>33.000790519433103</v>
      </c>
      <c r="J96" s="76">
        <v>0</v>
      </c>
      <c r="K96" s="134">
        <v>0</v>
      </c>
      <c r="L96" s="51">
        <v>0</v>
      </c>
      <c r="M96" s="95">
        <v>0</v>
      </c>
      <c r="N96" s="76">
        <v>9.8026706382218496</v>
      </c>
      <c r="O96" s="95">
        <v>32.922265604216101</v>
      </c>
      <c r="P96" s="76">
        <v>0</v>
      </c>
      <c r="Q96" s="134">
        <v>0</v>
      </c>
      <c r="R96" s="51">
        <v>0</v>
      </c>
      <c r="S96" s="51">
        <v>0</v>
      </c>
      <c r="T96" s="76">
        <v>0</v>
      </c>
      <c r="U96" s="95">
        <v>0</v>
      </c>
    </row>
    <row r="97" spans="1:21" x14ac:dyDescent="0.3">
      <c r="A97" s="74">
        <v>415</v>
      </c>
      <c r="B97" s="76">
        <v>1.18060997171841</v>
      </c>
      <c r="C97" s="95">
        <v>34.048432016425302</v>
      </c>
      <c r="D97" s="76">
        <v>1.0129259958455299</v>
      </c>
      <c r="E97" s="95">
        <v>34.056637181103603</v>
      </c>
      <c r="F97" s="76">
        <v>0</v>
      </c>
      <c r="G97" s="95">
        <v>0</v>
      </c>
      <c r="H97" s="76">
        <v>6.7700964652406102</v>
      </c>
      <c r="I97" s="95">
        <v>34.552409748758301</v>
      </c>
      <c r="J97" s="76">
        <v>0</v>
      </c>
      <c r="K97" s="134">
        <v>0</v>
      </c>
      <c r="L97" s="51">
        <v>0</v>
      </c>
      <c r="M97" s="95">
        <v>0</v>
      </c>
      <c r="N97" s="76">
        <v>10.114411677377699</v>
      </c>
      <c r="O97" s="95">
        <v>34.026316316294398</v>
      </c>
      <c r="P97" s="76">
        <v>0</v>
      </c>
      <c r="Q97" s="134">
        <v>0</v>
      </c>
      <c r="R97" s="51">
        <v>0</v>
      </c>
      <c r="S97" s="51">
        <v>0</v>
      </c>
      <c r="T97" s="76">
        <v>0</v>
      </c>
      <c r="U97" s="95">
        <v>0</v>
      </c>
    </row>
    <row r="98" spans="1:21" x14ac:dyDescent="0.3">
      <c r="A98" s="74">
        <v>420</v>
      </c>
      <c r="B98" s="76">
        <v>1.2205263702920801</v>
      </c>
      <c r="C98" s="95">
        <v>35.173970462023398</v>
      </c>
      <c r="D98" s="76">
        <v>1.0466160678909699</v>
      </c>
      <c r="E98" s="95">
        <v>35.166428351582702</v>
      </c>
      <c r="F98" s="76">
        <v>0</v>
      </c>
      <c r="G98" s="95">
        <v>0</v>
      </c>
      <c r="H98" s="76">
        <v>6.9800257882333199</v>
      </c>
      <c r="I98" s="95">
        <v>35.313286972085898</v>
      </c>
      <c r="J98" s="76">
        <v>0</v>
      </c>
      <c r="K98" s="134">
        <v>0</v>
      </c>
      <c r="L98" s="51">
        <v>0</v>
      </c>
      <c r="M98" s="95">
        <v>0</v>
      </c>
      <c r="N98" s="76">
        <v>10.420228694960301</v>
      </c>
      <c r="O98" s="95">
        <v>35.0688582077278</v>
      </c>
      <c r="P98" s="76">
        <v>0</v>
      </c>
      <c r="Q98" s="134">
        <v>0</v>
      </c>
      <c r="R98" s="51">
        <v>0</v>
      </c>
      <c r="S98" s="51">
        <v>0</v>
      </c>
      <c r="T98" s="76">
        <v>0</v>
      </c>
      <c r="U98" s="95">
        <v>0</v>
      </c>
    </row>
    <row r="99" spans="1:21" x14ac:dyDescent="0.3">
      <c r="A99" s="74">
        <v>425</v>
      </c>
      <c r="B99" s="76">
        <v>1.2606049326871001</v>
      </c>
      <c r="C99" s="95">
        <v>36.292483798571503</v>
      </c>
      <c r="D99" s="76">
        <v>1.08027559487505</v>
      </c>
      <c r="E99" s="95">
        <v>36.259038707288603</v>
      </c>
      <c r="F99" s="76">
        <v>0</v>
      </c>
      <c r="G99" s="95">
        <v>0</v>
      </c>
      <c r="H99" s="76">
        <v>7.1901286090039802</v>
      </c>
      <c r="I99" s="95">
        <v>36.243644605625398</v>
      </c>
      <c r="J99" s="76">
        <v>0</v>
      </c>
      <c r="K99" s="134">
        <v>0</v>
      </c>
      <c r="L99" s="51">
        <v>0</v>
      </c>
      <c r="M99" s="95">
        <v>0</v>
      </c>
      <c r="N99" s="76">
        <v>10.7222148040962</v>
      </c>
      <c r="O99" s="95">
        <v>36.141021998768302</v>
      </c>
      <c r="P99" s="76">
        <v>0</v>
      </c>
      <c r="Q99" s="134">
        <v>0</v>
      </c>
      <c r="R99" s="51">
        <v>0</v>
      </c>
      <c r="S99" s="51">
        <v>0</v>
      </c>
      <c r="T99" s="76">
        <v>0</v>
      </c>
      <c r="U99" s="95">
        <v>0</v>
      </c>
    </row>
    <row r="100" spans="1:21" x14ac:dyDescent="0.3">
      <c r="A100" s="74">
        <v>430</v>
      </c>
      <c r="B100" s="76">
        <v>1.2997510035655799</v>
      </c>
      <c r="C100" s="95">
        <v>37.475113511567002</v>
      </c>
      <c r="D100" s="76">
        <v>1.1138321431243401</v>
      </c>
      <c r="E100" s="95">
        <v>37.441645135930699</v>
      </c>
      <c r="F100" s="76">
        <v>0</v>
      </c>
      <c r="G100" s="95">
        <v>0</v>
      </c>
      <c r="H100" s="76">
        <v>7.4137651992144802</v>
      </c>
      <c r="I100" s="95">
        <v>37.426134285822997</v>
      </c>
      <c r="J100" s="76">
        <v>0</v>
      </c>
      <c r="K100" s="134">
        <v>0</v>
      </c>
      <c r="L100" s="51">
        <v>0</v>
      </c>
      <c r="M100" s="95">
        <v>0</v>
      </c>
      <c r="N100" s="76">
        <v>11.056833331952101</v>
      </c>
      <c r="O100" s="95">
        <v>37.322730778463402</v>
      </c>
      <c r="P100" s="76">
        <v>0</v>
      </c>
      <c r="Q100" s="134">
        <v>0</v>
      </c>
      <c r="R100" s="51">
        <v>0</v>
      </c>
      <c r="S100" s="51">
        <v>0</v>
      </c>
      <c r="T100" s="76">
        <v>0</v>
      </c>
      <c r="U100" s="95">
        <v>0</v>
      </c>
    </row>
    <row r="101" spans="1:21" x14ac:dyDescent="0.3">
      <c r="A101" s="74">
        <v>435</v>
      </c>
      <c r="B101" s="76">
        <v>0.84852330314947699</v>
      </c>
      <c r="C101" s="95">
        <v>24.542417271453399</v>
      </c>
      <c r="D101" s="76">
        <v>0.72767582363900396</v>
      </c>
      <c r="E101" s="95">
        <v>24.527503065254201</v>
      </c>
      <c r="F101" s="76">
        <v>0</v>
      </c>
      <c r="G101" s="95">
        <v>0</v>
      </c>
      <c r="H101" s="76">
        <v>4.8544754938849302</v>
      </c>
      <c r="I101" s="95">
        <v>24.717236599818399</v>
      </c>
      <c r="J101" s="76">
        <v>0</v>
      </c>
      <c r="K101" s="134">
        <v>0</v>
      </c>
      <c r="L101" s="51">
        <v>0</v>
      </c>
      <c r="M101" s="95">
        <v>0</v>
      </c>
      <c r="N101" s="76">
        <v>7.2542821494624796</v>
      </c>
      <c r="O101" s="95">
        <v>24.499326953651501</v>
      </c>
      <c r="P101" s="76">
        <v>0</v>
      </c>
      <c r="Q101" s="134">
        <v>0</v>
      </c>
      <c r="R101" s="51">
        <v>0</v>
      </c>
      <c r="S101" s="51">
        <v>0</v>
      </c>
      <c r="T101" s="76">
        <v>0</v>
      </c>
      <c r="U101" s="95">
        <v>0</v>
      </c>
    </row>
    <row r="102" spans="1:21" x14ac:dyDescent="0.3">
      <c r="A102" s="74">
        <v>436.46100000000001</v>
      </c>
      <c r="B102" s="76">
        <v>0.19103974627716999</v>
      </c>
      <c r="C102" s="95">
        <v>5.53181865738234</v>
      </c>
      <c r="D102" s="76">
        <v>0.163534908717409</v>
      </c>
      <c r="E102" s="95">
        <v>5.5332512628613397</v>
      </c>
      <c r="F102" s="76">
        <v>0</v>
      </c>
      <c r="G102" s="95">
        <v>0</v>
      </c>
      <c r="H102" s="76">
        <v>1.09580361528624</v>
      </c>
      <c r="I102" s="95">
        <v>5.6606910938562702</v>
      </c>
      <c r="J102" s="76">
        <v>0</v>
      </c>
      <c r="K102" s="134">
        <v>0</v>
      </c>
      <c r="L102" s="51">
        <v>0</v>
      </c>
      <c r="M102" s="95">
        <v>0</v>
      </c>
      <c r="N102" s="76">
        <v>1.6367248236818699</v>
      </c>
      <c r="O102" s="95">
        <v>5.5437885229745998</v>
      </c>
      <c r="P102" s="76">
        <v>0</v>
      </c>
      <c r="Q102" s="134">
        <v>0</v>
      </c>
      <c r="R102" s="51">
        <v>0</v>
      </c>
      <c r="S102" s="51">
        <v>0</v>
      </c>
      <c r="T102" s="76">
        <v>0</v>
      </c>
      <c r="U102" s="95">
        <v>0</v>
      </c>
    </row>
  </sheetData>
  <mergeCells count="10">
    <mergeCell ref="P11:Q11"/>
    <mergeCell ref="T11:U11"/>
    <mergeCell ref="B11:C11"/>
    <mergeCell ref="D11:E11"/>
    <mergeCell ref="F11:G11"/>
    <mergeCell ref="H11:I11"/>
    <mergeCell ref="J11:K11"/>
    <mergeCell ref="N11:O11"/>
    <mergeCell ref="R11:S11"/>
    <mergeCell ref="L11:M11"/>
  </mergeCells>
  <conditionalFormatting sqref="B11:B12 G12 D11:D12 E12 I12 F11:F12 K12 H11:H12 J11:J12 C12">
    <cfRule type="cellIs" dxfId="12" priority="10" stopIfTrue="1" operator="equal">
      <formula>0</formula>
    </cfRule>
  </conditionalFormatting>
  <conditionalFormatting sqref="L12:M12">
    <cfRule type="cellIs" dxfId="11" priority="9" stopIfTrue="1" operator="equal">
      <formula>0</formula>
    </cfRule>
  </conditionalFormatting>
  <conditionalFormatting sqref="N12:O12">
    <cfRule type="cellIs" dxfId="10" priority="8" stopIfTrue="1" operator="equal">
      <formula>0</formula>
    </cfRule>
  </conditionalFormatting>
  <conditionalFormatting sqref="P12:Q12">
    <cfRule type="cellIs" dxfId="9" priority="7" stopIfTrue="1" operator="equal">
      <formula>0</formula>
    </cfRule>
  </conditionalFormatting>
  <conditionalFormatting sqref="R12:S12">
    <cfRule type="cellIs" dxfId="8" priority="6" stopIfTrue="1" operator="equal">
      <formula>0</formula>
    </cfRule>
  </conditionalFormatting>
  <conditionalFormatting sqref="T12:U12">
    <cfRule type="cellIs" dxfId="7" priority="5" stopIfTrue="1" operator="equal">
      <formula>0</formula>
    </cfRule>
  </conditionalFormatting>
  <conditionalFormatting sqref="L11">
    <cfRule type="cellIs" dxfId="6" priority="4" stopIfTrue="1" operator="equal">
      <formula>0</formula>
    </cfRule>
  </conditionalFormatting>
  <conditionalFormatting sqref="N11 P11">
    <cfRule type="cellIs" dxfId="5" priority="3" stopIfTrue="1" operator="equal">
      <formula>0</formula>
    </cfRule>
  </conditionalFormatting>
  <conditionalFormatting sqref="R11">
    <cfRule type="cellIs" dxfId="4" priority="2" stopIfTrue="1" operator="equal">
      <formula>0</formula>
    </cfRule>
  </conditionalFormatting>
  <conditionalFormatting sqref="T11">
    <cfRule type="cellIs" dxfId="3" priority="1" stopIfTrue="1" operator="equal">
      <formula>0</formula>
    </cfRule>
  </conditionalFormatting>
  <pageMargins left="0.75" right="0.75" top="1" bottom="1" header="0" footer="0"/>
  <pageSetup fitToHeight="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02"/>
  <sheetViews>
    <sheetView workbookViewId="0">
      <selection activeCell="B7" sqref="B7"/>
    </sheetView>
  </sheetViews>
  <sheetFormatPr baseColWidth="10" defaultColWidth="11.5546875" defaultRowHeight="12" x14ac:dyDescent="0.25"/>
  <cols>
    <col min="1" max="1" width="15.77734375" style="103" customWidth="1"/>
    <col min="2" max="2" width="13.77734375" style="76" customWidth="1"/>
    <col min="3" max="3" width="12" style="74" customWidth="1"/>
    <col min="4" max="4" width="11.88671875" style="51" customWidth="1"/>
    <col min="5" max="5" width="12.21875" style="74" customWidth="1"/>
    <col min="6" max="6" width="12.5546875" style="51" customWidth="1"/>
    <col min="7" max="7" width="12.88671875" style="74" customWidth="1"/>
    <col min="8" max="8" width="13.6640625" style="51" customWidth="1"/>
    <col min="9" max="9" width="14.77734375" style="156" customWidth="1"/>
    <col min="10" max="10" width="15.77734375" style="74" customWidth="1"/>
    <col min="11" max="11" width="15.77734375" style="51" customWidth="1"/>
    <col min="12" max="12" width="12.77734375" style="74" customWidth="1"/>
    <col min="13" max="15" width="11.5546875" style="51" customWidth="1"/>
    <col min="16" max="16384" width="11.5546875" style="51"/>
  </cols>
  <sheetData>
    <row r="1" spans="1:12" ht="45" customHeight="1" x14ac:dyDescent="0.5">
      <c r="A1" s="96"/>
      <c r="B1" s="48"/>
      <c r="C1" s="49"/>
      <c r="D1" s="48"/>
      <c r="E1" s="48"/>
      <c r="F1" s="48"/>
      <c r="G1" s="48"/>
      <c r="H1" s="48"/>
      <c r="I1" s="48"/>
      <c r="J1" s="48"/>
      <c r="K1" s="48"/>
      <c r="L1" s="48"/>
    </row>
    <row r="2" spans="1:12" ht="16.95" customHeight="1" x14ac:dyDescent="0.35">
      <c r="A2" s="8" t="s">
        <v>6</v>
      </c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6.2" customHeight="1" x14ac:dyDescent="0.3">
      <c r="A3" s="152" t="s">
        <v>52</v>
      </c>
      <c r="B3" s="55"/>
      <c r="C3" s="56"/>
      <c r="D3" s="56"/>
      <c r="E3" s="56"/>
      <c r="F3" s="56"/>
      <c r="G3" s="56"/>
      <c r="H3" s="56"/>
      <c r="I3" s="56"/>
      <c r="J3" s="56"/>
      <c r="K3" s="56"/>
      <c r="L3" s="53"/>
    </row>
    <row r="4" spans="1:12" ht="16.2" customHeight="1" x14ac:dyDescent="0.3">
      <c r="A4" s="97" t="s">
        <v>8</v>
      </c>
      <c r="B4" s="55" t="str">
        <f>Sammendrag!B4</f>
        <v>Granlien_andre</v>
      </c>
      <c r="C4" s="56"/>
      <c r="D4" s="56"/>
      <c r="E4" s="56"/>
      <c r="F4" s="56"/>
      <c r="G4" s="56"/>
      <c r="H4" s="56"/>
      <c r="I4" s="56"/>
      <c r="J4" s="56"/>
      <c r="K4" s="56"/>
      <c r="L4" s="53"/>
    </row>
    <row r="5" spans="1:12" ht="15" customHeight="1" x14ac:dyDescent="0.25">
      <c r="A5" s="98"/>
      <c r="B5" s="56" t="str">
        <f>IF(Sammendrag!B5="","",Sammendrag!B5)</f>
        <v/>
      </c>
      <c r="C5" s="56"/>
      <c r="D5" s="56"/>
      <c r="E5" s="56"/>
      <c r="F5" s="56"/>
      <c r="G5" s="56" t="str">
        <f>Sammendrag!F5</f>
        <v>Start profil:</v>
      </c>
      <c r="H5" s="56"/>
      <c r="I5" s="15">
        <f>Sammendrag!H5</f>
        <v>3.5</v>
      </c>
      <c r="J5" s="56"/>
      <c r="K5" s="56"/>
      <c r="L5" s="53"/>
    </row>
    <row r="6" spans="1:12" ht="15" customHeight="1" x14ac:dyDescent="0.25">
      <c r="A6" s="98"/>
      <c r="B6" s="56"/>
      <c r="C6" s="56"/>
      <c r="D6" s="56"/>
      <c r="E6" s="56"/>
      <c r="F6" s="56"/>
      <c r="G6" s="56" t="str">
        <f>Sammendrag!F6</f>
        <v>Slutt profil:</v>
      </c>
      <c r="H6" s="56"/>
      <c r="I6" s="15">
        <f>Sammendrag!H6</f>
        <v>436.46100000000001</v>
      </c>
      <c r="J6" s="56"/>
      <c r="K6" s="56"/>
      <c r="L6" s="53"/>
    </row>
    <row r="7" spans="1:12" ht="15" customHeight="1" x14ac:dyDescent="0.25">
      <c r="A7" s="98"/>
      <c r="B7" s="56"/>
      <c r="C7" s="56"/>
      <c r="D7" s="56"/>
      <c r="E7" s="56"/>
      <c r="F7" s="56"/>
      <c r="G7" s="56" t="str">
        <f>Sammendrag!F7</f>
        <v>Dato sist endret:</v>
      </c>
      <c r="H7" s="56"/>
      <c r="I7" s="58" t="str">
        <f>Sammendrag!H7</f>
        <v>5/19/2020 9:27:49 AM</v>
      </c>
      <c r="J7" s="56"/>
      <c r="K7" s="56"/>
      <c r="L7" s="53"/>
    </row>
    <row r="8" spans="1:12" ht="15" customHeight="1" x14ac:dyDescent="0.25">
      <c r="A8" s="98"/>
      <c r="B8" s="56"/>
      <c r="C8" s="56"/>
      <c r="D8" s="56"/>
      <c r="E8" s="56"/>
      <c r="F8" s="56"/>
      <c r="G8" s="56"/>
      <c r="H8" s="56"/>
      <c r="I8" s="56"/>
      <c r="J8" s="56"/>
      <c r="K8" s="56"/>
      <c r="L8" s="53"/>
    </row>
    <row r="9" spans="1:12" ht="15" customHeight="1" x14ac:dyDescent="0.25">
      <c r="A9" s="99"/>
      <c r="B9" s="19"/>
      <c r="C9" s="19"/>
      <c r="D9" s="19"/>
      <c r="E9" s="19"/>
      <c r="F9" s="19"/>
      <c r="G9" s="19"/>
      <c r="H9" s="19"/>
      <c r="I9" s="19"/>
      <c r="J9" s="19"/>
      <c r="K9" s="19"/>
      <c r="L9" s="51"/>
    </row>
    <row r="10" spans="1:12" ht="15" customHeight="1" x14ac:dyDescent="0.25">
      <c r="A10" s="9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51"/>
    </row>
    <row r="11" spans="1:12" x14ac:dyDescent="0.25">
      <c r="A11" s="100"/>
      <c r="B11" s="61"/>
      <c r="C11" s="61"/>
      <c r="D11" s="61"/>
      <c r="E11" s="61"/>
      <c r="F11" s="61"/>
      <c r="G11" s="61"/>
      <c r="H11" s="61"/>
      <c r="I11" s="157"/>
      <c r="J11" s="61"/>
      <c r="K11" s="61"/>
      <c r="L11" s="101"/>
    </row>
    <row r="12" spans="1:12" ht="39" customHeight="1" thickBot="1" x14ac:dyDescent="0.3">
      <c r="A12" s="66" t="s">
        <v>25</v>
      </c>
      <c r="B12" s="148" t="s">
        <v>93</v>
      </c>
      <c r="C12" s="148" t="s">
        <v>94</v>
      </c>
      <c r="D12" s="148" t="s">
        <v>103</v>
      </c>
      <c r="E12" s="148" t="s">
        <v>104</v>
      </c>
      <c r="F12" s="148" t="s">
        <v>105</v>
      </c>
      <c r="G12" s="148" t="s">
        <v>106</v>
      </c>
      <c r="H12" s="148" t="s">
        <v>107</v>
      </c>
      <c r="I12" s="148" t="s">
        <v>86</v>
      </c>
      <c r="J12" s="148" t="s">
        <v>87</v>
      </c>
      <c r="K12" s="148" t="s">
        <v>88</v>
      </c>
      <c r="L12" s="149" t="s">
        <v>89</v>
      </c>
    </row>
    <row r="13" spans="1:12" ht="16.2" customHeight="1" thickTop="1" x14ac:dyDescent="0.25">
      <c r="A13" s="102" t="s">
        <v>26</v>
      </c>
      <c r="B13" s="71">
        <f ca="1">SUM([0]!Areas_SG0)</f>
        <v>3015.3888361106569</v>
      </c>
      <c r="C13" s="71">
        <f ca="1">SUM([0]!Areas_SG1)</f>
        <v>648.88836458667697</v>
      </c>
      <c r="D13" s="71">
        <f ca="1">SUM([0]!Areas_SG2)</f>
        <v>198.51985109000006</v>
      </c>
      <c r="E13" s="71">
        <f ca="1">SUM([0]!Areas_SG3)</f>
        <v>540.96384414689044</v>
      </c>
      <c r="F13" s="71">
        <f ca="1">SUM([0]!Areas_SG4)</f>
        <v>0</v>
      </c>
      <c r="G13" s="71">
        <f ca="1">SUM([0]!Areas_SG5)</f>
        <v>0</v>
      </c>
      <c r="H13" s="70">
        <f ca="1">SUM([0]!Areas_SG6)</f>
        <v>1804.804633330192</v>
      </c>
      <c r="I13" s="155">
        <f ca="1">SUM([0]!Areas_RB_SoilCut)</f>
        <v>4.3881071918265802</v>
      </c>
      <c r="J13" s="71">
        <f ca="1">SUM([0]!Areas_RB_RockCut)</f>
        <v>4811.7993138765814</v>
      </c>
      <c r="K13" s="71">
        <f ca="1">SUM([0]!Areas_RB_Fill)</f>
        <v>272.7112566253499</v>
      </c>
      <c r="L13" s="71">
        <f ca="1">SUM([0]!Areas_Rock_trimming)</f>
        <v>619.62727051612978</v>
      </c>
    </row>
    <row r="14" spans="1:12" x14ac:dyDescent="0.25">
      <c r="A14" s="103">
        <v>3.5</v>
      </c>
      <c r="B14" s="74">
        <v>8.6597540939310402</v>
      </c>
      <c r="C14" s="134">
        <v>2.21483421265591</v>
      </c>
      <c r="D14" s="51">
        <f>1.63748115+0.50220052</f>
        <v>2.1396816699999999</v>
      </c>
      <c r="E14" s="74">
        <v>5.6567373769538296</v>
      </c>
      <c r="F14" s="74">
        <v>0</v>
      </c>
      <c r="G14" s="74">
        <v>0</v>
      </c>
      <c r="H14" s="76">
        <v>0.79493680309287396</v>
      </c>
      <c r="I14" s="156">
        <v>0</v>
      </c>
      <c r="J14" s="74">
        <v>13.406984380320701</v>
      </c>
      <c r="K14" s="51">
        <v>0</v>
      </c>
      <c r="L14" s="74">
        <v>0</v>
      </c>
    </row>
    <row r="15" spans="1:12" x14ac:dyDescent="0.25">
      <c r="A15" s="103">
        <v>5</v>
      </c>
      <c r="B15" s="74">
        <v>36.635937549179502</v>
      </c>
      <c r="C15" s="134">
        <v>4.3327781981692803</v>
      </c>
      <c r="D15" s="51">
        <f>4.97372261+2.04692353</f>
        <v>7.0206461400000002</v>
      </c>
      <c r="E15" s="74">
        <v>3.7295754927834199</v>
      </c>
      <c r="F15" s="74">
        <v>0</v>
      </c>
      <c r="G15" s="74">
        <v>0</v>
      </c>
      <c r="H15" s="76">
        <v>2.6082655843679201</v>
      </c>
      <c r="I15" s="156">
        <v>0</v>
      </c>
      <c r="J15" s="74">
        <v>51.359668751269702</v>
      </c>
      <c r="K15" s="51">
        <v>0</v>
      </c>
      <c r="L15" s="74">
        <v>0</v>
      </c>
    </row>
    <row r="16" spans="1:12" x14ac:dyDescent="0.25">
      <c r="A16" s="103">
        <v>10</v>
      </c>
      <c r="B16" s="74">
        <v>42.007850991652496</v>
      </c>
      <c r="C16" s="134">
        <v>5.6648599908948301</v>
      </c>
      <c r="D16" s="51">
        <f>4.49157958+3.08912143</f>
        <v>7.5807010100000003</v>
      </c>
      <c r="E16" s="74">
        <v>0</v>
      </c>
      <c r="F16" s="74">
        <v>0</v>
      </c>
      <c r="G16" s="74">
        <v>0</v>
      </c>
      <c r="H16" s="76">
        <v>2.0602562535119699</v>
      </c>
      <c r="I16" s="156">
        <v>5.2877376646976305E-4</v>
      </c>
      <c r="J16" s="74">
        <v>63.292416330706303</v>
      </c>
      <c r="K16" s="51">
        <v>0</v>
      </c>
      <c r="L16" s="74">
        <v>0</v>
      </c>
    </row>
    <row r="17" spans="1:12" x14ac:dyDescent="0.25">
      <c r="A17" s="103">
        <v>15</v>
      </c>
      <c r="B17" s="74">
        <v>37.7232555633244</v>
      </c>
      <c r="C17" s="134">
        <v>5.8764558061666303</v>
      </c>
      <c r="D17" s="51">
        <f>6.51548429+3.03900478</f>
        <v>9.5544890699999989</v>
      </c>
      <c r="E17" s="74">
        <v>1.76051847421772</v>
      </c>
      <c r="F17" s="74">
        <v>0</v>
      </c>
      <c r="G17" s="74">
        <v>0</v>
      </c>
      <c r="H17" s="76">
        <v>174.232363571413</v>
      </c>
      <c r="I17" s="156">
        <v>8.0683659701361401E-4</v>
      </c>
      <c r="J17" s="74">
        <v>57.141482910239702</v>
      </c>
      <c r="K17" s="51">
        <v>2.5469271915215201</v>
      </c>
      <c r="L17" s="74">
        <v>24.210147093333202</v>
      </c>
    </row>
    <row r="18" spans="1:12" x14ac:dyDescent="0.25">
      <c r="A18" s="103">
        <v>20</v>
      </c>
      <c r="B18" s="74">
        <v>37.501563391085199</v>
      </c>
      <c r="C18" s="134">
        <v>5.9529277039283102</v>
      </c>
      <c r="D18" s="51">
        <f>7.97607618+2.94410457</f>
        <v>10.92018075</v>
      </c>
      <c r="E18" s="74">
        <v>19.806821343930299</v>
      </c>
      <c r="F18" s="74">
        <v>0</v>
      </c>
      <c r="G18" s="74">
        <v>0</v>
      </c>
      <c r="H18" s="76">
        <v>475.57392973849801</v>
      </c>
      <c r="I18" s="156">
        <v>6.7158208241373404E-4</v>
      </c>
      <c r="J18" s="74">
        <v>58.848810354915003</v>
      </c>
      <c r="K18" s="51">
        <v>1.3993936466066501</v>
      </c>
      <c r="L18" s="74">
        <v>117.71251587801299</v>
      </c>
    </row>
    <row r="19" spans="1:12" x14ac:dyDescent="0.25">
      <c r="A19" s="103">
        <v>25</v>
      </c>
      <c r="B19" s="74">
        <v>37.409363670659097</v>
      </c>
      <c r="C19" s="134">
        <v>6.0217232705849799</v>
      </c>
      <c r="D19" s="51">
        <f>7.7159679+2.84879513</f>
        <v>10.56476303</v>
      </c>
      <c r="E19" s="74">
        <v>38.051463012043101</v>
      </c>
      <c r="F19" s="74">
        <v>0</v>
      </c>
      <c r="G19" s="74">
        <v>0</v>
      </c>
      <c r="H19" s="76">
        <v>72.413036320757399</v>
      </c>
      <c r="I19" s="156">
        <v>0.211409688928198</v>
      </c>
      <c r="J19" s="74">
        <v>60.110635986844997</v>
      </c>
      <c r="K19" s="51">
        <v>0.57696726153627698</v>
      </c>
      <c r="L19" s="74">
        <v>29.4357431481465</v>
      </c>
    </row>
    <row r="20" spans="1:12" x14ac:dyDescent="0.25">
      <c r="A20" s="103">
        <v>30</v>
      </c>
      <c r="B20" s="74">
        <v>37.312157632576103</v>
      </c>
      <c r="C20" s="134">
        <v>7.1264228929498596</v>
      </c>
      <c r="D20" s="51">
        <f>7.45657142+2.75372326</f>
        <v>10.210294680000001</v>
      </c>
      <c r="E20" s="74">
        <v>37.079160276651301</v>
      </c>
      <c r="F20" s="74">
        <v>0</v>
      </c>
      <c r="G20" s="74">
        <v>0</v>
      </c>
      <c r="H20" s="76">
        <v>0</v>
      </c>
      <c r="I20" s="156">
        <v>4.00079523607254E-2</v>
      </c>
      <c r="J20" s="74">
        <v>61.364864132256898</v>
      </c>
      <c r="K20" s="51">
        <v>1.1679798253079701</v>
      </c>
      <c r="L20" s="74">
        <v>7.78797405385827</v>
      </c>
    </row>
    <row r="21" spans="1:12" x14ac:dyDescent="0.25">
      <c r="A21" s="103">
        <v>35</v>
      </c>
      <c r="B21" s="74">
        <v>37.216840797489198</v>
      </c>
      <c r="C21" s="134">
        <v>7.9789115087720797</v>
      </c>
      <c r="D21" s="51">
        <f>7.197967+2.65893719</f>
        <v>9.8569041899999998</v>
      </c>
      <c r="E21" s="74">
        <v>32.450106744117797</v>
      </c>
      <c r="F21" s="74">
        <v>0</v>
      </c>
      <c r="G21" s="74">
        <v>0</v>
      </c>
      <c r="H21" s="76">
        <v>0</v>
      </c>
      <c r="I21" s="156">
        <v>4.1146230627654497E-2</v>
      </c>
      <c r="J21" s="74">
        <v>63.152779925753698</v>
      </c>
      <c r="K21" s="51">
        <v>0.831614352170714</v>
      </c>
      <c r="L21" s="74">
        <v>6.90075107153503</v>
      </c>
    </row>
    <row r="22" spans="1:12" x14ac:dyDescent="0.25">
      <c r="A22" s="103">
        <v>40</v>
      </c>
      <c r="B22" s="74">
        <v>37.134760400461197</v>
      </c>
      <c r="C22" s="134">
        <v>8.1643985589989008</v>
      </c>
      <c r="D22" s="51">
        <f>6.94014818+2.56445349</f>
        <v>9.5046016699999996</v>
      </c>
      <c r="E22" s="74">
        <v>29.452763236542602</v>
      </c>
      <c r="F22" s="74">
        <v>0</v>
      </c>
      <c r="G22" s="74">
        <v>0</v>
      </c>
      <c r="H22" s="76">
        <v>194.434040744078</v>
      </c>
      <c r="I22" s="156">
        <v>0</v>
      </c>
      <c r="J22" s="74">
        <v>58.992786584479198</v>
      </c>
      <c r="K22" s="51">
        <v>5.7751809884518801</v>
      </c>
      <c r="L22" s="74">
        <v>56.876188074422899</v>
      </c>
    </row>
    <row r="23" spans="1:12" x14ac:dyDescent="0.25">
      <c r="A23" s="103">
        <v>45</v>
      </c>
      <c r="B23" s="74">
        <v>37.121709226943899</v>
      </c>
      <c r="C23" s="134">
        <v>8.2772103241538009</v>
      </c>
      <c r="D23" s="51">
        <f>6.78353328+2.50706261</f>
        <v>9.2905958900000005</v>
      </c>
      <c r="E23" s="74">
        <v>31.840402654335101</v>
      </c>
      <c r="F23" s="74">
        <v>0</v>
      </c>
      <c r="G23" s="74">
        <v>0</v>
      </c>
      <c r="H23" s="76">
        <v>189.49457609384501</v>
      </c>
      <c r="I23" s="156">
        <v>0</v>
      </c>
      <c r="J23" s="74">
        <v>62.044291370439197</v>
      </c>
      <c r="K23" s="51">
        <v>3.23718869624753</v>
      </c>
      <c r="L23" s="74">
        <v>52.909887575821699</v>
      </c>
    </row>
    <row r="24" spans="1:12" x14ac:dyDescent="0.25">
      <c r="A24" s="103">
        <v>50</v>
      </c>
      <c r="B24" s="74">
        <v>37.121574186364803</v>
      </c>
      <c r="C24" s="134">
        <v>8.2784204277728506</v>
      </c>
      <c r="D24" s="51">
        <f>6.78182218+2.50643536</f>
        <v>9.28825754</v>
      </c>
      <c r="E24" s="74">
        <v>30.557950480257698</v>
      </c>
      <c r="F24" s="74">
        <v>0</v>
      </c>
      <c r="G24" s="74">
        <v>0</v>
      </c>
      <c r="H24" s="76">
        <v>165.24921124629</v>
      </c>
      <c r="I24" s="156">
        <v>0.139232567627915</v>
      </c>
      <c r="J24" s="74">
        <v>64.613808476404301</v>
      </c>
      <c r="K24" s="51">
        <v>0.695692511086349</v>
      </c>
      <c r="L24" s="74">
        <v>51.2919498925814</v>
      </c>
    </row>
    <row r="25" spans="1:12" x14ac:dyDescent="0.25">
      <c r="A25" s="103">
        <v>55</v>
      </c>
      <c r="B25" s="74">
        <v>37.1236315427617</v>
      </c>
      <c r="C25" s="134">
        <v>8.2786983612541007</v>
      </c>
      <c r="D25" s="51">
        <f>6.79419846+2.50642948</f>
        <v>9.30062794</v>
      </c>
      <c r="E25" s="74">
        <v>26.4972501014235</v>
      </c>
      <c r="F25" s="74">
        <v>0</v>
      </c>
      <c r="G25" s="74">
        <v>0</v>
      </c>
      <c r="H25" s="76">
        <v>4.2493537798702503</v>
      </c>
      <c r="I25" s="156">
        <v>0</v>
      </c>
      <c r="J25" s="74">
        <v>66.453234812268093</v>
      </c>
      <c r="K25" s="51">
        <v>0</v>
      </c>
      <c r="L25" s="74">
        <v>8.8651869370805905</v>
      </c>
    </row>
    <row r="26" spans="1:12" x14ac:dyDescent="0.25">
      <c r="A26" s="103">
        <v>60</v>
      </c>
      <c r="B26" s="74">
        <v>37.127890010144597</v>
      </c>
      <c r="C26" s="134">
        <v>8.2792737874891404</v>
      </c>
      <c r="D26" s="51">
        <f>6.78356995+2.50642575</f>
        <v>9.2899957000000004</v>
      </c>
      <c r="E26" s="74">
        <v>32.7907537014082</v>
      </c>
      <c r="F26" s="74">
        <v>0</v>
      </c>
      <c r="G26" s="74">
        <v>0</v>
      </c>
      <c r="H26" s="76">
        <v>68.807111755496905</v>
      </c>
      <c r="I26" s="156">
        <v>0</v>
      </c>
      <c r="J26" s="74">
        <v>66.669432549548702</v>
      </c>
      <c r="K26" s="51">
        <v>0</v>
      </c>
      <c r="L26" s="74">
        <v>20.350313048085798</v>
      </c>
    </row>
    <row r="27" spans="1:12" x14ac:dyDescent="0.25">
      <c r="A27" s="103">
        <v>65</v>
      </c>
      <c r="B27" s="74">
        <v>37.134343529836698</v>
      </c>
      <c r="C27" s="134">
        <v>8.2808834576739407</v>
      </c>
      <c r="D27" s="51">
        <f>6.78077579+2.50605013</f>
        <v>9.2868259200000001</v>
      </c>
      <c r="E27" s="74">
        <v>30.785260642672899</v>
      </c>
      <c r="F27" s="74">
        <v>0</v>
      </c>
      <c r="G27" s="74">
        <v>0</v>
      </c>
      <c r="H27" s="76">
        <v>69.821121766709496</v>
      </c>
      <c r="I27" s="156">
        <v>0</v>
      </c>
      <c r="J27" s="74">
        <v>66.039537694525507</v>
      </c>
      <c r="K27" s="51">
        <v>0</v>
      </c>
      <c r="L27" s="74">
        <v>30.2302026671878</v>
      </c>
    </row>
    <row r="28" spans="1:12" x14ac:dyDescent="0.25">
      <c r="A28" s="103">
        <v>70</v>
      </c>
      <c r="B28" s="74">
        <v>37.1429734569681</v>
      </c>
      <c r="C28" s="134">
        <v>8.9333047280766493</v>
      </c>
      <c r="D28" s="51">
        <f>3.48080395+1.24753196</f>
        <v>4.7283359100000002</v>
      </c>
      <c r="E28" s="74">
        <v>15.723090839569799</v>
      </c>
      <c r="F28" s="74">
        <v>0</v>
      </c>
      <c r="G28" s="74">
        <v>0</v>
      </c>
      <c r="H28" s="76">
        <v>44.6822418173196</v>
      </c>
      <c r="I28" s="156">
        <v>0</v>
      </c>
      <c r="J28" s="74">
        <v>71.789539039245895</v>
      </c>
      <c r="K28" s="51">
        <v>0</v>
      </c>
      <c r="L28" s="74">
        <v>16.449655203315402</v>
      </c>
    </row>
    <row r="29" spans="1:12" x14ac:dyDescent="0.25">
      <c r="A29" s="103">
        <v>75</v>
      </c>
      <c r="B29" s="74">
        <v>37.153781489401503</v>
      </c>
      <c r="C29" s="134">
        <v>9.5906590371575593</v>
      </c>
      <c r="D29" s="51">
        <f>0.0726684+0</f>
        <v>7.2668399999999994E-2</v>
      </c>
      <c r="E29" s="74">
        <v>3.8160752592171199</v>
      </c>
      <c r="F29" s="74">
        <v>0</v>
      </c>
      <c r="G29" s="74">
        <v>0</v>
      </c>
      <c r="H29" s="76">
        <v>0</v>
      </c>
      <c r="I29" s="156">
        <v>0</v>
      </c>
      <c r="J29" s="74">
        <v>77.156564251962706</v>
      </c>
      <c r="K29" s="51">
        <v>0</v>
      </c>
      <c r="L29" s="74">
        <v>6.6406939893821999</v>
      </c>
    </row>
    <row r="30" spans="1:12" x14ac:dyDescent="0.25">
      <c r="A30" s="103">
        <v>80</v>
      </c>
      <c r="B30" s="74">
        <v>37.1667291695491</v>
      </c>
      <c r="C30" s="134">
        <v>9.5044201239830599</v>
      </c>
      <c r="D30" s="51">
        <f>0.7298131+0.24253098</f>
        <v>0.97234408000000006</v>
      </c>
      <c r="E30" s="74">
        <v>3.5914135428864098</v>
      </c>
      <c r="F30" s="74">
        <v>0</v>
      </c>
      <c r="G30" s="74">
        <v>0</v>
      </c>
      <c r="H30" s="76">
        <v>7.37979171677223</v>
      </c>
      <c r="I30" s="156">
        <v>0</v>
      </c>
      <c r="J30" s="74">
        <v>76.342218139752703</v>
      </c>
      <c r="K30" s="51">
        <v>0</v>
      </c>
      <c r="L30" s="74">
        <v>15.600663901363101</v>
      </c>
    </row>
    <row r="31" spans="1:12" x14ac:dyDescent="0.25">
      <c r="A31" s="103">
        <v>85</v>
      </c>
      <c r="B31" s="74">
        <v>37.181816737443398</v>
      </c>
      <c r="C31" s="134">
        <v>8.4633525334627393</v>
      </c>
      <c r="D31" s="51">
        <f>6.61201683+2.41675389</f>
        <v>9.0287707200000007</v>
      </c>
      <c r="E31" s="74">
        <v>23.600140084303199</v>
      </c>
      <c r="F31" s="74">
        <v>0</v>
      </c>
      <c r="G31" s="74">
        <v>0</v>
      </c>
      <c r="H31" s="76">
        <v>64.120729252640402</v>
      </c>
      <c r="I31" s="156">
        <v>0</v>
      </c>
      <c r="J31" s="74">
        <v>67.986440401479996</v>
      </c>
      <c r="K31" s="51">
        <v>0</v>
      </c>
      <c r="L31" s="74">
        <v>34.344870056577697</v>
      </c>
    </row>
    <row r="32" spans="1:12" x14ac:dyDescent="0.25">
      <c r="A32" s="103">
        <v>90</v>
      </c>
      <c r="B32" s="74">
        <v>37.199020643222198</v>
      </c>
      <c r="C32" s="134">
        <v>8.51377494606586</v>
      </c>
      <c r="D32" s="51">
        <f>6.54653163+2.39234858</f>
        <v>8.9388802100000007</v>
      </c>
      <c r="E32" s="74">
        <v>29.1690252591773</v>
      </c>
      <c r="F32" s="74">
        <v>0</v>
      </c>
      <c r="G32" s="74">
        <v>0</v>
      </c>
      <c r="H32" s="76">
        <v>55.914570669394998</v>
      </c>
      <c r="I32" s="156">
        <v>0</v>
      </c>
      <c r="J32" s="74">
        <v>68.271112211987798</v>
      </c>
      <c r="K32" s="51">
        <v>0</v>
      </c>
      <c r="L32" s="74">
        <v>39.879712316415599</v>
      </c>
    </row>
    <row r="33" spans="1:12" x14ac:dyDescent="0.25">
      <c r="A33" s="103">
        <v>95</v>
      </c>
      <c r="B33" s="74">
        <v>37.211613987195598</v>
      </c>
      <c r="C33" s="134">
        <v>8.5627392794827699</v>
      </c>
      <c r="D33" s="51">
        <f>6.48045011+2.36763308</f>
        <v>8.8480831900000005</v>
      </c>
      <c r="E33" s="74">
        <v>24.8013854917297</v>
      </c>
      <c r="F33" s="74">
        <v>0</v>
      </c>
      <c r="G33" s="74">
        <v>0</v>
      </c>
      <c r="H33" s="76">
        <v>53.7412232788284</v>
      </c>
      <c r="I33" s="156">
        <v>0</v>
      </c>
      <c r="J33" s="74">
        <v>68.545630733781493</v>
      </c>
      <c r="K33" s="51">
        <v>0</v>
      </c>
      <c r="L33" s="74">
        <v>32.842502226239198</v>
      </c>
    </row>
    <row r="34" spans="1:12" x14ac:dyDescent="0.25">
      <c r="A34" s="103">
        <v>100</v>
      </c>
      <c r="B34" s="74">
        <v>37.180220589213597</v>
      </c>
      <c r="C34" s="134">
        <v>7.6956166174176204</v>
      </c>
      <c r="D34" s="51">
        <f>6.47456232+2.36566603</f>
        <v>8.8402283500000003</v>
      </c>
      <c r="E34" s="74">
        <v>22.024631674509099</v>
      </c>
      <c r="F34" s="74">
        <v>0</v>
      </c>
      <c r="G34" s="74">
        <v>0</v>
      </c>
      <c r="H34" s="76">
        <v>49.878296309893301</v>
      </c>
      <c r="I34" s="156">
        <v>0</v>
      </c>
      <c r="J34" s="74">
        <v>67.690787750091303</v>
      </c>
      <c r="K34" s="51">
        <v>0</v>
      </c>
      <c r="L34" s="74">
        <v>24.7372547479982</v>
      </c>
    </row>
    <row r="35" spans="1:12" x14ac:dyDescent="0.25">
      <c r="A35" s="103">
        <v>105</v>
      </c>
      <c r="B35" s="74">
        <v>37.062148299708298</v>
      </c>
      <c r="C35" s="134">
        <v>6.3603207219416502</v>
      </c>
      <c r="D35" s="51">
        <f>6.53535712+2.38832126</f>
        <v>8.9236783800000001</v>
      </c>
      <c r="E35" s="74">
        <v>20.2847971373013</v>
      </c>
      <c r="F35" s="74">
        <v>0</v>
      </c>
      <c r="G35" s="74">
        <v>0</v>
      </c>
      <c r="H35" s="76">
        <v>36.8914910254285</v>
      </c>
      <c r="I35" s="156">
        <v>0</v>
      </c>
      <c r="J35" s="74">
        <v>65.972827622972602</v>
      </c>
      <c r="K35" s="51">
        <v>0</v>
      </c>
      <c r="L35" s="74">
        <v>11.7236840395908</v>
      </c>
    </row>
    <row r="36" spans="1:12" x14ac:dyDescent="0.25">
      <c r="A36" s="103">
        <v>110</v>
      </c>
      <c r="B36" s="74">
        <v>36.946530684293599</v>
      </c>
      <c r="C36" s="134">
        <v>6.3361905896303101</v>
      </c>
      <c r="D36" s="51">
        <f>6.59835657+2.41152411</f>
        <v>9.0098806800000002</v>
      </c>
      <c r="E36" s="74">
        <v>14.113069162695799</v>
      </c>
      <c r="F36" s="74">
        <v>0</v>
      </c>
      <c r="G36" s="74">
        <v>0</v>
      </c>
      <c r="H36" s="76">
        <v>32.572649299626796</v>
      </c>
      <c r="I36" s="156">
        <v>0</v>
      </c>
      <c r="J36" s="74">
        <v>65.602499460531604</v>
      </c>
      <c r="K36" s="51">
        <v>0</v>
      </c>
      <c r="L36" s="74">
        <v>11.4908580464145</v>
      </c>
    </row>
    <row r="37" spans="1:12" x14ac:dyDescent="0.25">
      <c r="A37" s="103">
        <v>115</v>
      </c>
      <c r="B37" s="74">
        <v>36.838032790440202</v>
      </c>
      <c r="C37" s="134">
        <v>6.3130966216205104</v>
      </c>
      <c r="D37" s="51">
        <f>6.64612627+2.43481428</f>
        <v>9.0809405499999993</v>
      </c>
      <c r="E37" s="74">
        <v>9.0960949857710496</v>
      </c>
      <c r="F37" s="74">
        <v>0</v>
      </c>
      <c r="G37" s="74">
        <v>0</v>
      </c>
      <c r="H37" s="76">
        <v>27.924586667653401</v>
      </c>
      <c r="I37" s="156">
        <v>0</v>
      </c>
      <c r="J37" s="74">
        <v>65.235655224799203</v>
      </c>
      <c r="K37" s="51">
        <v>0</v>
      </c>
      <c r="L37" s="74">
        <v>12.575866982493899</v>
      </c>
    </row>
    <row r="38" spans="1:12" x14ac:dyDescent="0.25">
      <c r="A38" s="103">
        <v>120</v>
      </c>
      <c r="B38" s="74">
        <v>36.736620187863601</v>
      </c>
      <c r="C38" s="134">
        <v>6.2910411244671698</v>
      </c>
      <c r="D38" s="51">
        <f>3.31701667+1.22568043</f>
        <v>4.5426970999999998</v>
      </c>
      <c r="E38" s="74">
        <v>3.4547632632516101</v>
      </c>
      <c r="F38" s="74">
        <v>0</v>
      </c>
      <c r="G38" s="74">
        <v>0</v>
      </c>
      <c r="H38" s="76">
        <v>11.9608496347036</v>
      </c>
      <c r="I38" s="156">
        <v>0</v>
      </c>
      <c r="J38" s="74">
        <v>62.641781721813999</v>
      </c>
      <c r="K38" s="51">
        <v>0</v>
      </c>
      <c r="L38" s="74">
        <v>6.7696993030055301</v>
      </c>
    </row>
    <row r="39" spans="1:12" x14ac:dyDescent="0.25">
      <c r="A39" s="103">
        <v>125</v>
      </c>
      <c r="B39" s="74">
        <v>36.642256021255101</v>
      </c>
      <c r="C39" s="134">
        <v>6.2700263311424402</v>
      </c>
      <c r="D39" s="51">
        <f t="shared" ref="D39:D47" si="0">0+0</f>
        <v>0</v>
      </c>
      <c r="E39" s="74">
        <v>0</v>
      </c>
      <c r="F39" s="74">
        <v>0</v>
      </c>
      <c r="G39" s="74">
        <v>0</v>
      </c>
      <c r="H39" s="76">
        <v>0</v>
      </c>
      <c r="I39" s="156">
        <v>8.50462915808973E-4</v>
      </c>
      <c r="J39" s="74">
        <v>60.628459796108999</v>
      </c>
      <c r="K39" s="51">
        <v>0</v>
      </c>
      <c r="L39" s="74">
        <v>0</v>
      </c>
    </row>
    <row r="40" spans="1:12" x14ac:dyDescent="0.25">
      <c r="A40" s="103">
        <v>130</v>
      </c>
      <c r="B40" s="74">
        <v>36.554893993776197</v>
      </c>
      <c r="C40" s="134">
        <v>6.2537542032489197</v>
      </c>
      <c r="D40" s="51">
        <f t="shared" si="0"/>
        <v>0</v>
      </c>
      <c r="E40" s="74">
        <v>0</v>
      </c>
      <c r="F40" s="74">
        <v>0</v>
      </c>
      <c r="G40" s="74">
        <v>0</v>
      </c>
      <c r="H40" s="76">
        <v>0</v>
      </c>
      <c r="I40" s="156">
        <v>0.12528496081121901</v>
      </c>
      <c r="J40" s="74">
        <v>57.379928469628702</v>
      </c>
      <c r="K40" s="51">
        <v>2.3673501754454098</v>
      </c>
      <c r="L40" s="74">
        <v>0</v>
      </c>
    </row>
    <row r="41" spans="1:12" x14ac:dyDescent="0.25">
      <c r="A41" s="103">
        <v>135</v>
      </c>
      <c r="B41" s="74">
        <v>36.4745778894738</v>
      </c>
      <c r="C41" s="134">
        <v>7.1531388859677199</v>
      </c>
      <c r="D41" s="51">
        <f t="shared" si="0"/>
        <v>0</v>
      </c>
      <c r="E41" s="74">
        <v>0</v>
      </c>
      <c r="F41" s="74">
        <v>0</v>
      </c>
      <c r="G41" s="74">
        <v>0</v>
      </c>
      <c r="H41" s="76">
        <v>0</v>
      </c>
      <c r="I41" s="156">
        <v>7.6989621745121306E-2</v>
      </c>
      <c r="J41" s="74">
        <v>53.292264863367699</v>
      </c>
      <c r="K41" s="51">
        <v>7.3017040989479298</v>
      </c>
      <c r="L41" s="74">
        <v>5.17218933124824E-4</v>
      </c>
    </row>
    <row r="42" spans="1:12" x14ac:dyDescent="0.25">
      <c r="A42" s="103">
        <v>140</v>
      </c>
      <c r="B42" s="74">
        <v>36.401152821873801</v>
      </c>
      <c r="C42" s="134">
        <v>16.307029289469899</v>
      </c>
      <c r="D42" s="51">
        <f t="shared" si="0"/>
        <v>0</v>
      </c>
      <c r="E42" s="74">
        <v>0</v>
      </c>
      <c r="F42" s="74">
        <v>0</v>
      </c>
      <c r="G42" s="74">
        <v>0</v>
      </c>
      <c r="H42" s="76">
        <v>0</v>
      </c>
      <c r="I42" s="156">
        <v>0</v>
      </c>
      <c r="J42" s="74">
        <v>59.549046693907997</v>
      </c>
      <c r="K42" s="51">
        <v>10.0921679069749</v>
      </c>
      <c r="L42" s="74">
        <v>0</v>
      </c>
    </row>
    <row r="43" spans="1:12" x14ac:dyDescent="0.25">
      <c r="A43" s="103">
        <v>145</v>
      </c>
      <c r="B43" s="74">
        <v>36.334657612086403</v>
      </c>
      <c r="C43" s="134">
        <v>16.372317532668799</v>
      </c>
      <c r="D43" s="51">
        <f t="shared" si="0"/>
        <v>0</v>
      </c>
      <c r="E43" s="74">
        <v>0</v>
      </c>
      <c r="F43" s="74">
        <v>0</v>
      </c>
      <c r="G43" s="74">
        <v>0</v>
      </c>
      <c r="H43" s="76">
        <v>0</v>
      </c>
      <c r="I43" s="156">
        <v>0</v>
      </c>
      <c r="J43" s="74">
        <v>60.6446483418312</v>
      </c>
      <c r="K43" s="51">
        <v>8.8508457163391601</v>
      </c>
      <c r="L43" s="74">
        <v>0</v>
      </c>
    </row>
    <row r="44" spans="1:12" x14ac:dyDescent="0.25">
      <c r="A44" s="103">
        <v>150</v>
      </c>
      <c r="B44" s="74">
        <v>36.274993623528403</v>
      </c>
      <c r="C44" s="134">
        <v>16.440386415342399</v>
      </c>
      <c r="D44" s="51">
        <f t="shared" si="0"/>
        <v>0</v>
      </c>
      <c r="E44" s="74">
        <v>0</v>
      </c>
      <c r="F44" s="74">
        <v>0</v>
      </c>
      <c r="G44" s="74">
        <v>0</v>
      </c>
      <c r="H44" s="76">
        <v>0</v>
      </c>
      <c r="I44" s="156">
        <v>0.49213988621183302</v>
      </c>
      <c r="J44" s="74">
        <v>66.181929574713493</v>
      </c>
      <c r="K44" s="51">
        <v>2.68590295378652</v>
      </c>
      <c r="L44" s="74">
        <v>0</v>
      </c>
    </row>
    <row r="45" spans="1:12" x14ac:dyDescent="0.25">
      <c r="A45" s="103">
        <v>155</v>
      </c>
      <c r="B45" s="74">
        <v>36.2210025647843</v>
      </c>
      <c r="C45" s="134">
        <v>16.511216693372599</v>
      </c>
      <c r="D45" s="51">
        <f t="shared" si="0"/>
        <v>0</v>
      </c>
      <c r="E45" s="74">
        <v>0</v>
      </c>
      <c r="F45" s="74">
        <v>0</v>
      </c>
      <c r="G45" s="74">
        <v>0</v>
      </c>
      <c r="H45" s="76">
        <v>0</v>
      </c>
      <c r="I45" s="156">
        <v>6.5814512154534599E-2</v>
      </c>
      <c r="J45" s="74">
        <v>68.261837485992402</v>
      </c>
      <c r="K45" s="51">
        <v>0.91602082969777698</v>
      </c>
      <c r="L45" s="74">
        <v>0</v>
      </c>
    </row>
    <row r="46" spans="1:12" x14ac:dyDescent="0.25">
      <c r="A46" s="103">
        <v>160</v>
      </c>
      <c r="B46" s="74">
        <v>36.171357865188703</v>
      </c>
      <c r="C46" s="134">
        <v>16.584475584007901</v>
      </c>
      <c r="D46" s="51">
        <f t="shared" si="0"/>
        <v>0</v>
      </c>
      <c r="E46" s="74">
        <v>0</v>
      </c>
      <c r="F46" s="74">
        <v>0</v>
      </c>
      <c r="G46" s="74">
        <v>0</v>
      </c>
      <c r="H46" s="76">
        <v>0</v>
      </c>
      <c r="I46" s="156">
        <v>6.4508261116826802E-3</v>
      </c>
      <c r="J46" s="74">
        <v>69.138021262090007</v>
      </c>
      <c r="K46" s="51">
        <v>0</v>
      </c>
      <c r="L46" s="74">
        <v>0</v>
      </c>
    </row>
    <row r="47" spans="1:12" x14ac:dyDescent="0.25">
      <c r="A47" s="103">
        <v>165</v>
      </c>
      <c r="B47" s="74">
        <v>36.127879955974699</v>
      </c>
      <c r="C47" s="134">
        <v>16.657637156400099</v>
      </c>
      <c r="D47" s="51">
        <f t="shared" si="0"/>
        <v>0</v>
      </c>
      <c r="E47" s="74">
        <v>0</v>
      </c>
      <c r="F47" s="74">
        <v>0</v>
      </c>
      <c r="G47" s="74">
        <v>0</v>
      </c>
      <c r="H47" s="76">
        <v>0</v>
      </c>
      <c r="I47" s="156">
        <v>2.06358813885151E-4</v>
      </c>
      <c r="J47" s="74">
        <v>70.087487284146604</v>
      </c>
      <c r="K47" s="51">
        <v>0</v>
      </c>
      <c r="L47" s="74">
        <v>0</v>
      </c>
    </row>
    <row r="48" spans="1:12" x14ac:dyDescent="0.25">
      <c r="A48" s="103">
        <v>170</v>
      </c>
      <c r="B48" s="74">
        <v>36.109074339654903</v>
      </c>
      <c r="C48" s="134">
        <v>16.678232777383801</v>
      </c>
      <c r="D48" s="51">
        <f>0.05143349+0</f>
        <v>5.1433489999999998E-2</v>
      </c>
      <c r="E48" s="74">
        <v>0.16178551275036299</v>
      </c>
      <c r="F48" s="74">
        <v>0</v>
      </c>
      <c r="G48" s="74">
        <v>0</v>
      </c>
      <c r="H48" s="76">
        <v>0</v>
      </c>
      <c r="I48" s="156">
        <v>0</v>
      </c>
      <c r="J48" s="74">
        <v>70.3735437671547</v>
      </c>
      <c r="K48" s="51">
        <v>0</v>
      </c>
      <c r="L48" s="74">
        <v>0</v>
      </c>
    </row>
    <row r="49" spans="1:12" x14ac:dyDescent="0.25">
      <c r="A49" s="103">
        <v>175</v>
      </c>
      <c r="B49" s="74">
        <v>36.101731135696802</v>
      </c>
      <c r="C49" s="134">
        <v>7.3347786804333399</v>
      </c>
      <c r="D49" s="51">
        <f>0.06589749+0</f>
        <v>6.5897490000000003E-2</v>
      </c>
      <c r="E49" s="74">
        <v>0.34510817956948903</v>
      </c>
      <c r="F49" s="74">
        <v>0</v>
      </c>
      <c r="G49" s="74">
        <v>0</v>
      </c>
      <c r="H49" s="76">
        <v>0</v>
      </c>
      <c r="I49" s="156">
        <v>0</v>
      </c>
      <c r="J49" s="74">
        <v>61.055635884569803</v>
      </c>
      <c r="K49" s="51">
        <v>0</v>
      </c>
      <c r="L49" s="74">
        <v>0</v>
      </c>
    </row>
    <row r="50" spans="1:12" x14ac:dyDescent="0.25">
      <c r="A50" s="103">
        <v>180</v>
      </c>
      <c r="B50" s="74">
        <v>36.095719810559302</v>
      </c>
      <c r="C50" s="134">
        <v>6.1802964520863997</v>
      </c>
      <c r="D50" s="51">
        <f>0.05143527+0</f>
        <v>5.1435269999999998E-2</v>
      </c>
      <c r="E50" s="74">
        <v>0.16013450974614099</v>
      </c>
      <c r="F50" s="74">
        <v>0</v>
      </c>
      <c r="G50" s="74">
        <v>0</v>
      </c>
      <c r="H50" s="76">
        <v>0</v>
      </c>
      <c r="I50" s="156">
        <v>4.54703308031668E-2</v>
      </c>
      <c r="J50" s="74">
        <v>59.850466105996702</v>
      </c>
      <c r="K50" s="51">
        <v>0</v>
      </c>
      <c r="L50" s="74">
        <v>0</v>
      </c>
    </row>
    <row r="51" spans="1:12" x14ac:dyDescent="0.25">
      <c r="A51" s="103">
        <v>185</v>
      </c>
      <c r="B51" s="74">
        <v>36.091121741338299</v>
      </c>
      <c r="C51" s="134">
        <v>6.1798208962702601</v>
      </c>
      <c r="D51" s="51">
        <f>0+0</f>
        <v>0</v>
      </c>
      <c r="E51" s="74">
        <v>0</v>
      </c>
      <c r="F51" s="74">
        <v>0</v>
      </c>
      <c r="G51" s="74">
        <v>0</v>
      </c>
      <c r="H51" s="76">
        <v>0</v>
      </c>
      <c r="I51" s="156">
        <v>1.1645246429166801E-2</v>
      </c>
      <c r="J51" s="74">
        <v>59.805927944347999</v>
      </c>
      <c r="K51" s="51">
        <v>0</v>
      </c>
      <c r="L51" s="74">
        <v>0</v>
      </c>
    </row>
    <row r="52" spans="1:12" x14ac:dyDescent="0.25">
      <c r="A52" s="103">
        <v>190</v>
      </c>
      <c r="B52" s="74">
        <v>36.087911787073402</v>
      </c>
      <c r="C52" s="134">
        <v>6.1786236906593297</v>
      </c>
      <c r="D52" s="51">
        <f>0.038261+0</f>
        <v>3.8261000000000003E-2</v>
      </c>
      <c r="E52" s="74">
        <v>2.5236699398577998E-2</v>
      </c>
      <c r="F52" s="74">
        <v>0</v>
      </c>
      <c r="G52" s="74">
        <v>0</v>
      </c>
      <c r="H52" s="76">
        <v>0</v>
      </c>
      <c r="I52" s="156">
        <v>7.7601786353764704E-2</v>
      </c>
      <c r="J52" s="74">
        <v>59.815139332284701</v>
      </c>
      <c r="K52" s="51">
        <v>0</v>
      </c>
      <c r="L52" s="74">
        <v>0</v>
      </c>
    </row>
    <row r="53" spans="1:12" x14ac:dyDescent="0.25">
      <c r="A53" s="103">
        <v>195</v>
      </c>
      <c r="B53" s="74">
        <v>36.086091285781201</v>
      </c>
      <c r="C53" s="134">
        <v>6.1785691003768699</v>
      </c>
      <c r="D53" s="51">
        <f>0.02572141+0</f>
        <v>2.572141E-2</v>
      </c>
      <c r="E53" s="74">
        <v>6.8239243021473101E-3</v>
      </c>
      <c r="F53" s="74">
        <v>0</v>
      </c>
      <c r="G53" s="74">
        <v>0</v>
      </c>
      <c r="H53" s="76">
        <v>0</v>
      </c>
      <c r="I53" s="156">
        <v>0.13976001674177699</v>
      </c>
      <c r="J53" s="74">
        <v>59.750193455863602</v>
      </c>
      <c r="K53" s="51">
        <v>0</v>
      </c>
      <c r="L53" s="74">
        <v>0</v>
      </c>
    </row>
    <row r="54" spans="1:12" x14ac:dyDescent="0.25">
      <c r="A54" s="103">
        <v>200</v>
      </c>
      <c r="B54" s="74">
        <v>36.027214963598198</v>
      </c>
      <c r="C54" s="134">
        <v>6.1822845236696802</v>
      </c>
      <c r="D54" s="51">
        <f>0.05069575+0</f>
        <v>5.0695749999999998E-2</v>
      </c>
      <c r="E54" s="74">
        <v>5.8027840226627499E-2</v>
      </c>
      <c r="F54" s="74">
        <v>0</v>
      </c>
      <c r="G54" s="74">
        <v>0</v>
      </c>
      <c r="H54" s="76">
        <v>0</v>
      </c>
      <c r="I54" s="156">
        <v>0</v>
      </c>
      <c r="J54" s="74">
        <v>59.879033746783797</v>
      </c>
      <c r="K54" s="51">
        <v>0</v>
      </c>
      <c r="L54" s="74">
        <v>3.5153078824213399E-5</v>
      </c>
    </row>
    <row r="55" spans="1:12" x14ac:dyDescent="0.25">
      <c r="A55" s="103">
        <v>205</v>
      </c>
      <c r="B55" s="74">
        <v>35.811080296091703</v>
      </c>
      <c r="C55" s="134">
        <v>6.1940371604585298</v>
      </c>
      <c r="D55" s="51">
        <f>0.03833406+0</f>
        <v>3.8334060000000003E-2</v>
      </c>
      <c r="E55" s="74">
        <v>4.2377359466574602E-2</v>
      </c>
      <c r="F55" s="74">
        <v>0</v>
      </c>
      <c r="G55" s="74">
        <v>0</v>
      </c>
      <c r="H55" s="76">
        <v>0</v>
      </c>
      <c r="I55" s="156">
        <v>0</v>
      </c>
      <c r="J55" s="74">
        <v>59.816992344765502</v>
      </c>
      <c r="K55" s="51">
        <v>0</v>
      </c>
      <c r="L55" s="74">
        <v>0</v>
      </c>
    </row>
    <row r="56" spans="1:12" x14ac:dyDescent="0.25">
      <c r="A56" s="103">
        <v>210</v>
      </c>
      <c r="B56" s="74">
        <v>35.589198180986102</v>
      </c>
      <c r="C56" s="134">
        <v>6.20682469514513</v>
      </c>
      <c r="D56" s="51">
        <f>0+0</f>
        <v>0</v>
      </c>
      <c r="E56" s="74">
        <v>0</v>
      </c>
      <c r="F56" s="74">
        <v>0</v>
      </c>
      <c r="G56" s="74">
        <v>0</v>
      </c>
      <c r="H56" s="76">
        <v>0</v>
      </c>
      <c r="I56" s="156">
        <v>0</v>
      </c>
      <c r="J56" s="74">
        <v>59.581806934337699</v>
      </c>
      <c r="K56" s="51">
        <v>0</v>
      </c>
      <c r="L56" s="74">
        <v>0</v>
      </c>
    </row>
    <row r="57" spans="1:12" x14ac:dyDescent="0.25">
      <c r="A57" s="103">
        <v>215</v>
      </c>
      <c r="B57" s="74">
        <v>35.370485633381001</v>
      </c>
      <c r="C57" s="134">
        <v>6.2199871037878003</v>
      </c>
      <c r="D57" s="51">
        <f>0+0</f>
        <v>0</v>
      </c>
      <c r="E57" s="74">
        <v>0</v>
      </c>
      <c r="F57" s="74">
        <v>0</v>
      </c>
      <c r="G57" s="74">
        <v>0</v>
      </c>
      <c r="H57" s="76">
        <v>0</v>
      </c>
      <c r="I57" s="156">
        <v>0</v>
      </c>
      <c r="J57" s="74">
        <v>59.213556906329501</v>
      </c>
      <c r="K57" s="51">
        <v>0</v>
      </c>
      <c r="L57" s="74">
        <v>0</v>
      </c>
    </row>
    <row r="58" spans="1:12" x14ac:dyDescent="0.25">
      <c r="A58" s="103">
        <v>220</v>
      </c>
      <c r="B58" s="74">
        <v>35.154883514464203</v>
      </c>
      <c r="C58" s="134">
        <v>6.2335223507764699</v>
      </c>
      <c r="D58" s="51">
        <f>0.05247839+0</f>
        <v>5.247839E-2</v>
      </c>
      <c r="E58" s="74">
        <v>0.19820516639705801</v>
      </c>
      <c r="F58" s="74">
        <v>0</v>
      </c>
      <c r="G58" s="74">
        <v>0</v>
      </c>
      <c r="H58" s="76">
        <v>0</v>
      </c>
      <c r="I58" s="156">
        <v>0</v>
      </c>
      <c r="J58" s="74">
        <v>59.671501290339698</v>
      </c>
      <c r="K58" s="51">
        <v>0</v>
      </c>
      <c r="L58" s="74">
        <v>0</v>
      </c>
    </row>
    <row r="59" spans="1:12" x14ac:dyDescent="0.25">
      <c r="A59" s="103">
        <v>225</v>
      </c>
      <c r="B59" s="74">
        <v>34.9423322397381</v>
      </c>
      <c r="C59" s="134">
        <v>6.2474283827245696</v>
      </c>
      <c r="D59" s="51">
        <f>0.00165842+0</f>
        <v>1.6584200000000001E-3</v>
      </c>
      <c r="E59" s="74">
        <v>2.9304450345888598E-3</v>
      </c>
      <c r="F59" s="74">
        <v>0</v>
      </c>
      <c r="G59" s="74">
        <v>0</v>
      </c>
      <c r="H59" s="76">
        <v>0</v>
      </c>
      <c r="I59" s="156">
        <v>5.4924837710720403E-2</v>
      </c>
      <c r="J59" s="74">
        <v>59.229288755724099</v>
      </c>
      <c r="K59" s="51">
        <v>0</v>
      </c>
      <c r="L59" s="74">
        <v>0</v>
      </c>
    </row>
    <row r="60" spans="1:12" x14ac:dyDescent="0.25">
      <c r="A60" s="103">
        <v>230</v>
      </c>
      <c r="B60" s="74">
        <v>34.732758909186501</v>
      </c>
      <c r="C60" s="134">
        <v>6.2589899294344598</v>
      </c>
      <c r="D60" s="51">
        <f t="shared" ref="D60:D72" si="1">0+0</f>
        <v>0</v>
      </c>
      <c r="E60" s="74">
        <v>0</v>
      </c>
      <c r="F60" s="74">
        <v>0</v>
      </c>
      <c r="G60" s="74">
        <v>0</v>
      </c>
      <c r="H60" s="76">
        <v>0</v>
      </c>
      <c r="I60" s="156">
        <v>4.5593071914173796E-3</v>
      </c>
      <c r="J60" s="74">
        <v>58.252621394362102</v>
      </c>
      <c r="K60" s="51">
        <v>0</v>
      </c>
      <c r="L60" s="74">
        <v>0</v>
      </c>
    </row>
    <row r="61" spans="1:12" x14ac:dyDescent="0.25">
      <c r="A61" s="103">
        <v>235</v>
      </c>
      <c r="B61" s="74">
        <v>34.181811308366598</v>
      </c>
      <c r="C61" s="134">
        <v>6.2610879116104998</v>
      </c>
      <c r="D61" s="51">
        <f t="shared" si="1"/>
        <v>0</v>
      </c>
      <c r="E61" s="74">
        <v>0</v>
      </c>
      <c r="F61" s="74">
        <v>0</v>
      </c>
      <c r="G61" s="74">
        <v>0</v>
      </c>
      <c r="H61" s="76">
        <v>0</v>
      </c>
      <c r="I61" s="156">
        <v>0.24471820503314501</v>
      </c>
      <c r="J61" s="74">
        <v>53.757828873584003</v>
      </c>
      <c r="K61" s="51">
        <v>3.86406990826235</v>
      </c>
      <c r="L61" s="74">
        <v>0</v>
      </c>
    </row>
    <row r="62" spans="1:12" x14ac:dyDescent="0.25">
      <c r="A62" s="103">
        <v>240</v>
      </c>
      <c r="B62" s="74">
        <v>34.322468492795601</v>
      </c>
      <c r="C62" s="134">
        <v>6.2627316635303103</v>
      </c>
      <c r="D62" s="51">
        <f t="shared" si="1"/>
        <v>0</v>
      </c>
      <c r="E62" s="74">
        <v>0</v>
      </c>
      <c r="F62" s="74">
        <v>0</v>
      </c>
      <c r="G62" s="74">
        <v>0</v>
      </c>
      <c r="H62" s="76">
        <v>0</v>
      </c>
      <c r="I62" s="156">
        <v>0</v>
      </c>
      <c r="J62" s="74">
        <v>46.816431647187798</v>
      </c>
      <c r="K62" s="51">
        <v>10.853075071388901</v>
      </c>
      <c r="L62" s="74">
        <v>0</v>
      </c>
    </row>
    <row r="63" spans="1:12" x14ac:dyDescent="0.25">
      <c r="A63" s="103">
        <v>245</v>
      </c>
      <c r="B63" s="74">
        <v>34.121594854379801</v>
      </c>
      <c r="C63" s="134">
        <v>6.2648324548609997</v>
      </c>
      <c r="D63" s="51">
        <f t="shared" si="1"/>
        <v>0</v>
      </c>
      <c r="E63" s="74">
        <v>0</v>
      </c>
      <c r="F63" s="74">
        <v>0</v>
      </c>
      <c r="G63" s="74">
        <v>0</v>
      </c>
      <c r="H63" s="76">
        <v>0</v>
      </c>
      <c r="I63" s="156">
        <v>0.58097808144735896</v>
      </c>
      <c r="J63" s="74">
        <v>50.940410315450798</v>
      </c>
      <c r="K63" s="51">
        <v>5.9535340284302602</v>
      </c>
      <c r="L63" s="74">
        <v>0</v>
      </c>
    </row>
    <row r="64" spans="1:12" x14ac:dyDescent="0.25">
      <c r="A64" s="103">
        <v>250</v>
      </c>
      <c r="B64" s="74">
        <v>33.9233596356734</v>
      </c>
      <c r="C64" s="134">
        <v>6.2676963856652002</v>
      </c>
      <c r="D64" s="51">
        <f t="shared" si="1"/>
        <v>0</v>
      </c>
      <c r="E64" s="74">
        <v>0</v>
      </c>
      <c r="F64" s="74">
        <v>0</v>
      </c>
      <c r="G64" s="74">
        <v>0</v>
      </c>
      <c r="H64" s="76">
        <v>0</v>
      </c>
      <c r="I64" s="156">
        <v>0.85843140609489499</v>
      </c>
      <c r="J64" s="74">
        <v>39.934419974368701</v>
      </c>
      <c r="K64" s="51">
        <v>16.494776009135901</v>
      </c>
      <c r="L64" s="74">
        <v>0</v>
      </c>
    </row>
    <row r="65" spans="1:12" x14ac:dyDescent="0.25">
      <c r="A65" s="103">
        <v>255</v>
      </c>
      <c r="B65" s="74">
        <v>33.722689080019997</v>
      </c>
      <c r="C65" s="134">
        <v>6.2752690135074003</v>
      </c>
      <c r="D65" s="51">
        <f t="shared" si="1"/>
        <v>0</v>
      </c>
      <c r="E65" s="74">
        <v>0</v>
      </c>
      <c r="F65" s="74">
        <v>0</v>
      </c>
      <c r="G65" s="74">
        <v>0</v>
      </c>
      <c r="H65" s="76">
        <v>0</v>
      </c>
      <c r="I65" s="156">
        <v>0</v>
      </c>
      <c r="J65" s="74">
        <v>38.883500788280202</v>
      </c>
      <c r="K65" s="51">
        <v>18.333214212526499</v>
      </c>
      <c r="L65" s="74">
        <v>0</v>
      </c>
    </row>
    <row r="66" spans="1:12" x14ac:dyDescent="0.25">
      <c r="A66" s="103">
        <v>260</v>
      </c>
      <c r="B66" s="74">
        <v>33.520363381667899</v>
      </c>
      <c r="C66" s="134">
        <v>6.2841679625050801</v>
      </c>
      <c r="D66" s="51">
        <f t="shared" si="1"/>
        <v>0</v>
      </c>
      <c r="E66" s="74">
        <v>0</v>
      </c>
      <c r="F66" s="74">
        <v>0</v>
      </c>
      <c r="G66" s="74">
        <v>0</v>
      </c>
      <c r="H66" s="76">
        <v>0</v>
      </c>
      <c r="I66" s="156">
        <v>0.220692284841327</v>
      </c>
      <c r="J66" s="74">
        <v>37.911617824397503</v>
      </c>
      <c r="K66" s="51">
        <v>18.903314277527301</v>
      </c>
      <c r="L66" s="74">
        <v>0</v>
      </c>
    </row>
    <row r="67" spans="1:12" x14ac:dyDescent="0.25">
      <c r="A67" s="103">
        <v>265</v>
      </c>
      <c r="B67" s="74">
        <v>33.320272562985402</v>
      </c>
      <c r="C67" s="134">
        <v>6.2933775713486</v>
      </c>
      <c r="D67" s="51">
        <f t="shared" si="1"/>
        <v>0</v>
      </c>
      <c r="E67" s="74">
        <v>0</v>
      </c>
      <c r="F67" s="74">
        <v>0</v>
      </c>
      <c r="G67" s="74">
        <v>0</v>
      </c>
      <c r="H67" s="76">
        <v>0</v>
      </c>
      <c r="I67" s="156">
        <v>0</v>
      </c>
      <c r="J67" s="74">
        <v>30.477443170721699</v>
      </c>
      <c r="K67" s="51">
        <v>26.441703756543902</v>
      </c>
      <c r="L67" s="74">
        <v>0</v>
      </c>
    </row>
    <row r="68" spans="1:12" x14ac:dyDescent="0.25">
      <c r="A68" s="103">
        <v>270</v>
      </c>
      <c r="B68" s="74">
        <v>33.122341398053599</v>
      </c>
      <c r="C68" s="134">
        <v>6.30289571004917</v>
      </c>
      <c r="D68" s="51">
        <f t="shared" si="1"/>
        <v>0</v>
      </c>
      <c r="E68" s="74">
        <v>0</v>
      </c>
      <c r="F68" s="74">
        <v>0</v>
      </c>
      <c r="G68" s="74">
        <v>0</v>
      </c>
      <c r="H68" s="76">
        <v>0</v>
      </c>
      <c r="I68" s="156">
        <v>0</v>
      </c>
      <c r="J68" s="74">
        <v>26.384692226851701</v>
      </c>
      <c r="K68" s="51">
        <v>30.4198487759841</v>
      </c>
      <c r="L68" s="74">
        <v>0</v>
      </c>
    </row>
    <row r="69" spans="1:12" x14ac:dyDescent="0.25">
      <c r="A69" s="103">
        <v>275</v>
      </c>
      <c r="B69" s="74">
        <v>32.926518588473797</v>
      </c>
      <c r="C69" s="134">
        <v>6.3127208815231999</v>
      </c>
      <c r="D69" s="51">
        <f t="shared" si="1"/>
        <v>0</v>
      </c>
      <c r="E69" s="74">
        <v>0</v>
      </c>
      <c r="F69" s="74">
        <v>0</v>
      </c>
      <c r="G69" s="74">
        <v>0</v>
      </c>
      <c r="H69" s="76">
        <v>0</v>
      </c>
      <c r="I69" s="156">
        <v>0</v>
      </c>
      <c r="J69" s="74">
        <v>33.070235992041397</v>
      </c>
      <c r="K69" s="51">
        <v>23.621517678248601</v>
      </c>
      <c r="L69" s="74">
        <v>0</v>
      </c>
    </row>
    <row r="70" spans="1:12" x14ac:dyDescent="0.25">
      <c r="A70" s="103">
        <v>280</v>
      </c>
      <c r="B70" s="74">
        <v>32.738789642820002</v>
      </c>
      <c r="C70" s="134">
        <v>6.3227524781092397</v>
      </c>
      <c r="D70" s="51">
        <f t="shared" si="1"/>
        <v>0</v>
      </c>
      <c r="E70" s="74">
        <v>0</v>
      </c>
      <c r="F70" s="74">
        <v>0</v>
      </c>
      <c r="G70" s="74">
        <v>0</v>
      </c>
      <c r="H70" s="76">
        <v>0</v>
      </c>
      <c r="I70" s="156">
        <v>0</v>
      </c>
      <c r="J70" s="74">
        <v>32.489470971369002</v>
      </c>
      <c r="K70" s="51">
        <v>24.0938287439551</v>
      </c>
      <c r="L70" s="74">
        <v>0</v>
      </c>
    </row>
    <row r="71" spans="1:12" x14ac:dyDescent="0.25">
      <c r="A71" s="103">
        <v>285</v>
      </c>
      <c r="B71" s="74">
        <v>32.679162167482097</v>
      </c>
      <c r="C71" s="134">
        <v>6.3253210837420299</v>
      </c>
      <c r="D71" s="51">
        <f t="shared" si="1"/>
        <v>0</v>
      </c>
      <c r="E71" s="74">
        <v>0</v>
      </c>
      <c r="F71" s="74">
        <v>0</v>
      </c>
      <c r="G71" s="74">
        <v>0</v>
      </c>
      <c r="H71" s="76">
        <v>0</v>
      </c>
      <c r="I71" s="156">
        <v>0</v>
      </c>
      <c r="J71" s="74">
        <v>35.688914214629101</v>
      </c>
      <c r="K71" s="51">
        <v>20.854077415749099</v>
      </c>
      <c r="L71" s="74">
        <v>0</v>
      </c>
    </row>
    <row r="72" spans="1:12" x14ac:dyDescent="0.25">
      <c r="A72" s="103">
        <v>290</v>
      </c>
      <c r="B72" s="74">
        <v>32.661134511601603</v>
      </c>
      <c r="C72" s="134">
        <v>6.3188771898819001</v>
      </c>
      <c r="D72" s="51">
        <f t="shared" si="1"/>
        <v>0</v>
      </c>
      <c r="E72" s="74">
        <v>0</v>
      </c>
      <c r="F72" s="74">
        <v>0</v>
      </c>
      <c r="G72" s="74">
        <v>0</v>
      </c>
      <c r="H72" s="76">
        <v>0</v>
      </c>
      <c r="I72" s="156">
        <v>0.53404580943077995</v>
      </c>
      <c r="J72" s="74">
        <v>38.236064563105501</v>
      </c>
      <c r="K72" s="51">
        <v>17.7965509787782</v>
      </c>
      <c r="L72" s="74">
        <v>0</v>
      </c>
    </row>
    <row r="73" spans="1:12" x14ac:dyDescent="0.25">
      <c r="A73" s="103">
        <v>295</v>
      </c>
      <c r="B73" s="74">
        <v>32.6403579318021</v>
      </c>
      <c r="C73" s="134">
        <v>6.3083505056604903</v>
      </c>
      <c r="D73" s="51">
        <f>0.01389751+0</f>
        <v>1.389751E-2</v>
      </c>
      <c r="E73" s="74">
        <v>4.1891782369954902E-2</v>
      </c>
      <c r="F73" s="74">
        <v>0</v>
      </c>
      <c r="G73" s="74">
        <v>0</v>
      </c>
      <c r="H73" s="76">
        <v>0</v>
      </c>
      <c r="I73" s="156">
        <v>0.155646619709082</v>
      </c>
      <c r="J73" s="74">
        <v>55.700997096776298</v>
      </c>
      <c r="K73" s="51">
        <v>1.54119379401086</v>
      </c>
      <c r="L73" s="74">
        <v>0</v>
      </c>
    </row>
    <row r="74" spans="1:12" x14ac:dyDescent="0.25">
      <c r="A74" s="103">
        <v>300</v>
      </c>
      <c r="B74" s="74">
        <v>32.622852807368297</v>
      </c>
      <c r="C74" s="134">
        <v>6.2984402645976303</v>
      </c>
      <c r="D74" s="51">
        <f>0.07223639+0</f>
        <v>7.2236389999999998E-2</v>
      </c>
      <c r="E74" s="74">
        <v>1.96987883440578</v>
      </c>
      <c r="F74" s="74">
        <v>0</v>
      </c>
      <c r="G74" s="74">
        <v>0</v>
      </c>
      <c r="H74" s="76">
        <v>0</v>
      </c>
      <c r="I74" s="156">
        <v>0</v>
      </c>
      <c r="J74" s="74">
        <v>57.856737848651399</v>
      </c>
      <c r="K74" s="51">
        <v>0</v>
      </c>
      <c r="L74" s="74">
        <v>0</v>
      </c>
    </row>
    <row r="75" spans="1:12" x14ac:dyDescent="0.25">
      <c r="A75" s="103">
        <v>305</v>
      </c>
      <c r="B75" s="74">
        <v>32.608379997725599</v>
      </c>
      <c r="C75" s="134">
        <v>6.2889978708073704</v>
      </c>
      <c r="D75" s="51">
        <f>0.07190913+0</f>
        <v>7.1909130000000002E-2</v>
      </c>
      <c r="E75" s="74">
        <v>4.4419643022679702</v>
      </c>
      <c r="F75" s="74">
        <v>0</v>
      </c>
      <c r="G75" s="74">
        <v>0</v>
      </c>
      <c r="H75" s="76">
        <v>0</v>
      </c>
      <c r="I75" s="156">
        <v>0</v>
      </c>
      <c r="J75" s="74">
        <v>57.749655898041297</v>
      </c>
      <c r="K75" s="51">
        <v>0</v>
      </c>
      <c r="L75" s="74">
        <v>0</v>
      </c>
    </row>
    <row r="76" spans="1:12" x14ac:dyDescent="0.25">
      <c r="A76" s="103">
        <v>310</v>
      </c>
      <c r="B76" s="74">
        <v>32.596942588747702</v>
      </c>
      <c r="C76" s="134">
        <v>6.2800236280813504</v>
      </c>
      <c r="D76" s="51">
        <f>0.07149352+0</f>
        <v>7.1493520000000005E-2</v>
      </c>
      <c r="E76" s="74">
        <v>4.9637102171178498</v>
      </c>
      <c r="F76" s="74">
        <v>0</v>
      </c>
      <c r="G76" s="74">
        <v>0</v>
      </c>
      <c r="H76" s="76">
        <v>0</v>
      </c>
      <c r="I76" s="156">
        <v>0</v>
      </c>
      <c r="J76" s="74">
        <v>57.646074757939999</v>
      </c>
      <c r="K76" s="51">
        <v>0</v>
      </c>
      <c r="L76" s="74">
        <v>0</v>
      </c>
    </row>
    <row r="77" spans="1:12" x14ac:dyDescent="0.25">
      <c r="A77" s="103">
        <v>315</v>
      </c>
      <c r="B77" s="74">
        <v>32.588542800298399</v>
      </c>
      <c r="C77" s="134">
        <v>6.2715177077434303</v>
      </c>
      <c r="D77" s="51">
        <f>0.07107791+0</f>
        <v>7.1077909999999994E-2</v>
      </c>
      <c r="E77" s="74">
        <v>4.5882968359841696</v>
      </c>
      <c r="F77" s="74">
        <v>0</v>
      </c>
      <c r="G77" s="74">
        <v>0</v>
      </c>
      <c r="H77" s="76">
        <v>0</v>
      </c>
      <c r="I77" s="156">
        <v>0</v>
      </c>
      <c r="J77" s="74">
        <v>57.5459968919576</v>
      </c>
      <c r="K77" s="51">
        <v>0</v>
      </c>
      <c r="L77" s="74">
        <v>0</v>
      </c>
    </row>
    <row r="78" spans="1:12" x14ac:dyDescent="0.25">
      <c r="A78" s="103">
        <v>320</v>
      </c>
      <c r="B78" s="74">
        <v>32.583161205734903</v>
      </c>
      <c r="C78" s="134">
        <v>6.26569960785086</v>
      </c>
      <c r="D78" s="51">
        <f>0.07076393+0</f>
        <v>7.0763930000000003E-2</v>
      </c>
      <c r="E78" s="74">
        <v>4.6230504644621604</v>
      </c>
      <c r="F78" s="74">
        <v>0</v>
      </c>
      <c r="G78" s="74">
        <v>0</v>
      </c>
      <c r="H78" s="76">
        <v>0</v>
      </c>
      <c r="I78" s="156">
        <v>0</v>
      </c>
      <c r="J78" s="74">
        <v>57.477017174768399</v>
      </c>
      <c r="K78" s="51">
        <v>0</v>
      </c>
      <c r="L78" s="74">
        <v>0</v>
      </c>
    </row>
    <row r="79" spans="1:12" x14ac:dyDescent="0.25">
      <c r="A79" s="103">
        <v>325</v>
      </c>
      <c r="B79" s="74">
        <v>32.580864056111203</v>
      </c>
      <c r="C79" s="134">
        <v>6.2651784456486102</v>
      </c>
      <c r="D79" s="51">
        <f>0.0707566+0</f>
        <v>7.0756600000000003E-2</v>
      </c>
      <c r="E79" s="74">
        <v>5.0377818449265499</v>
      </c>
      <c r="F79" s="74">
        <v>0</v>
      </c>
      <c r="G79" s="74">
        <v>0</v>
      </c>
      <c r="H79" s="76">
        <v>0</v>
      </c>
      <c r="I79" s="156">
        <v>0</v>
      </c>
      <c r="J79" s="74">
        <v>57.4722460046602</v>
      </c>
      <c r="K79" s="51">
        <v>0</v>
      </c>
      <c r="L79" s="74">
        <v>0</v>
      </c>
    </row>
    <row r="80" spans="1:12" x14ac:dyDescent="0.25">
      <c r="A80" s="103">
        <v>330</v>
      </c>
      <c r="B80" s="74">
        <v>32.581615313626997</v>
      </c>
      <c r="C80" s="134">
        <v>6.2652929208880597</v>
      </c>
      <c r="D80" s="51">
        <f>0.07076691+0</f>
        <v>7.0766910000000002E-2</v>
      </c>
      <c r="E80" s="74">
        <v>3.3992312154484798</v>
      </c>
      <c r="F80" s="74">
        <v>0</v>
      </c>
      <c r="G80" s="74">
        <v>0</v>
      </c>
      <c r="H80" s="76">
        <v>0</v>
      </c>
      <c r="I80" s="156">
        <v>0</v>
      </c>
      <c r="J80" s="74">
        <v>57.473128125874503</v>
      </c>
      <c r="K80" s="51">
        <v>0</v>
      </c>
      <c r="L80" s="74">
        <v>0</v>
      </c>
    </row>
    <row r="81" spans="1:12" x14ac:dyDescent="0.25">
      <c r="A81" s="103">
        <v>335</v>
      </c>
      <c r="B81" s="74">
        <v>32.585466716341202</v>
      </c>
      <c r="C81" s="134">
        <v>6.2658623996626499</v>
      </c>
      <c r="D81" s="51">
        <f>0.07077799+0</f>
        <v>7.0777989999999999E-2</v>
      </c>
      <c r="E81" s="74">
        <v>2.6025202944006498</v>
      </c>
      <c r="F81" s="74">
        <v>0</v>
      </c>
      <c r="G81" s="74">
        <v>0</v>
      </c>
      <c r="H81" s="76">
        <v>0</v>
      </c>
      <c r="I81" s="156">
        <v>0</v>
      </c>
      <c r="J81" s="74">
        <v>57.477419294370101</v>
      </c>
      <c r="K81" s="51">
        <v>0</v>
      </c>
      <c r="L81" s="74">
        <v>0</v>
      </c>
    </row>
    <row r="82" spans="1:12" x14ac:dyDescent="0.25">
      <c r="A82" s="103">
        <v>340</v>
      </c>
      <c r="B82" s="74">
        <v>32.592185942707502</v>
      </c>
      <c r="C82" s="134">
        <v>7.4600331114727902</v>
      </c>
      <c r="D82" s="51">
        <f>0.07123762+0</f>
        <v>7.1237620000000001E-2</v>
      </c>
      <c r="E82" s="74">
        <v>2.06290406027472</v>
      </c>
      <c r="F82" s="74">
        <v>0</v>
      </c>
      <c r="G82" s="74">
        <v>0</v>
      </c>
      <c r="H82" s="76">
        <v>0</v>
      </c>
      <c r="I82" s="156">
        <v>0</v>
      </c>
      <c r="J82" s="74">
        <v>58.657042086118302</v>
      </c>
      <c r="K82" s="51">
        <v>0</v>
      </c>
      <c r="L82" s="74">
        <v>0</v>
      </c>
    </row>
    <row r="83" spans="1:12" x14ac:dyDescent="0.25">
      <c r="A83" s="103">
        <v>345</v>
      </c>
      <c r="B83" s="74">
        <v>32.602090563468202</v>
      </c>
      <c r="C83" s="134">
        <v>8.2426670876355406</v>
      </c>
      <c r="D83" s="51">
        <f>0.07009481+0</f>
        <v>7.0094809999999994E-2</v>
      </c>
      <c r="E83" s="74">
        <v>1.5161860264857701</v>
      </c>
      <c r="F83" s="74">
        <v>0</v>
      </c>
      <c r="G83" s="74">
        <v>0</v>
      </c>
      <c r="H83" s="76">
        <v>0</v>
      </c>
      <c r="I83" s="156">
        <v>0</v>
      </c>
      <c r="J83" s="74">
        <v>59.340030319833801</v>
      </c>
      <c r="K83" s="51">
        <v>0</v>
      </c>
      <c r="L83" s="74">
        <v>0</v>
      </c>
    </row>
    <row r="84" spans="1:12" x14ac:dyDescent="0.25">
      <c r="A84" s="103">
        <v>350</v>
      </c>
      <c r="B84" s="74">
        <v>32.614970032297997</v>
      </c>
      <c r="C84" s="134">
        <v>8.2253697288720797</v>
      </c>
      <c r="D84" s="51">
        <f>0.06965591+0</f>
        <v>6.9655910000000001E-2</v>
      </c>
      <c r="E84" s="74">
        <v>0.81755705630383702</v>
      </c>
      <c r="F84" s="74">
        <v>0</v>
      </c>
      <c r="G84" s="74">
        <v>0</v>
      </c>
      <c r="H84" s="76">
        <v>0</v>
      </c>
      <c r="I84" s="156">
        <v>0</v>
      </c>
      <c r="J84" s="74">
        <v>59.251777203968302</v>
      </c>
      <c r="K84" s="51">
        <v>0</v>
      </c>
      <c r="L84" s="74">
        <v>0</v>
      </c>
    </row>
    <row r="85" spans="1:12" x14ac:dyDescent="0.25">
      <c r="A85" s="103">
        <v>355</v>
      </c>
      <c r="B85" s="74">
        <v>32.630875352538098</v>
      </c>
      <c r="C85" s="134">
        <v>8.2084152196858806</v>
      </c>
      <c r="D85" s="51">
        <f>0.06690018+0</f>
        <v>6.6900180000000004E-2</v>
      </c>
      <c r="E85" s="74">
        <v>0.61049136306343399</v>
      </c>
      <c r="F85" s="74">
        <v>0</v>
      </c>
      <c r="G85" s="74">
        <v>0</v>
      </c>
      <c r="H85" s="76">
        <v>0</v>
      </c>
      <c r="I85" s="156">
        <v>0</v>
      </c>
      <c r="J85" s="74">
        <v>59.155040456826796</v>
      </c>
      <c r="K85" s="51">
        <v>0</v>
      </c>
      <c r="L85" s="74">
        <v>0</v>
      </c>
    </row>
    <row r="86" spans="1:12" x14ac:dyDescent="0.25">
      <c r="A86" s="103">
        <v>360</v>
      </c>
      <c r="B86" s="74">
        <v>32.6498010721645</v>
      </c>
      <c r="C86" s="134">
        <v>8.1913159709229806</v>
      </c>
      <c r="D86" s="51">
        <f>0.00163948+0</f>
        <v>1.63948E-3</v>
      </c>
      <c r="E86" s="74">
        <v>6.0824134993641204E-3</v>
      </c>
      <c r="F86" s="74">
        <v>0</v>
      </c>
      <c r="G86" s="74">
        <v>0</v>
      </c>
      <c r="H86" s="76">
        <v>0</v>
      </c>
      <c r="I86" s="156">
        <v>8.9363998413441295E-2</v>
      </c>
      <c r="J86" s="74">
        <v>58.672286615569</v>
      </c>
      <c r="K86" s="51">
        <v>0</v>
      </c>
      <c r="L86" s="74">
        <v>0</v>
      </c>
    </row>
    <row r="87" spans="1:12" x14ac:dyDescent="0.25">
      <c r="A87" s="103">
        <v>365</v>
      </c>
      <c r="B87" s="74">
        <v>32.671925130147002</v>
      </c>
      <c r="C87" s="134">
        <v>8.1762686666131899</v>
      </c>
      <c r="D87" s="51">
        <f>0+0</f>
        <v>0</v>
      </c>
      <c r="E87" s="74">
        <v>0</v>
      </c>
      <c r="F87" s="74">
        <v>0</v>
      </c>
      <c r="G87" s="74">
        <v>0</v>
      </c>
      <c r="H87" s="76">
        <v>0</v>
      </c>
      <c r="I87" s="156">
        <v>0.13169657309299701</v>
      </c>
      <c r="J87" s="74">
        <v>56.988468929572498</v>
      </c>
      <c r="K87" s="51">
        <v>0.53344038849997499</v>
      </c>
      <c r="L87" s="74">
        <v>0</v>
      </c>
    </row>
    <row r="88" spans="1:12" x14ac:dyDescent="0.25">
      <c r="A88" s="103">
        <v>370</v>
      </c>
      <c r="B88" s="74">
        <v>32.684038205834298</v>
      </c>
      <c r="C88" s="134">
        <v>8.1700197669811008</v>
      </c>
      <c r="D88" s="51">
        <f>0+0</f>
        <v>0</v>
      </c>
      <c r="E88" s="74">
        <v>0</v>
      </c>
      <c r="F88" s="74">
        <v>0</v>
      </c>
      <c r="G88" s="74">
        <v>0</v>
      </c>
      <c r="H88" s="76">
        <v>0</v>
      </c>
      <c r="I88" s="156">
        <v>0</v>
      </c>
      <c r="J88" s="74">
        <v>53.518858492159701</v>
      </c>
      <c r="K88" s="51">
        <v>3.9730984402970102</v>
      </c>
      <c r="L88" s="74">
        <v>0</v>
      </c>
    </row>
    <row r="89" spans="1:12" x14ac:dyDescent="0.25">
      <c r="A89" s="103">
        <v>375</v>
      </c>
      <c r="B89" s="74">
        <v>32.6839385887234</v>
      </c>
      <c r="C89" s="134">
        <v>8.1926799641215506</v>
      </c>
      <c r="D89" s="51">
        <f>0.04667973+0</f>
        <v>4.6679730000000003E-2</v>
      </c>
      <c r="E89" s="74">
        <v>0.36320573884135399</v>
      </c>
      <c r="F89" s="74">
        <v>0</v>
      </c>
      <c r="G89" s="74">
        <v>0</v>
      </c>
      <c r="H89" s="76">
        <v>0</v>
      </c>
      <c r="I89" s="156">
        <v>3.70324277790662E-2</v>
      </c>
      <c r="J89" s="74">
        <v>51.325504703989999</v>
      </c>
      <c r="K89" s="51">
        <v>0.58907699189129104</v>
      </c>
      <c r="L89" s="74">
        <v>0</v>
      </c>
    </row>
    <row r="90" spans="1:12" x14ac:dyDescent="0.25">
      <c r="A90" s="103">
        <v>380</v>
      </c>
      <c r="B90" s="74">
        <v>32.683938586985001</v>
      </c>
      <c r="C90" s="134">
        <v>5.6680646446783998</v>
      </c>
      <c r="D90" s="51">
        <f>0.076087+0</f>
        <v>7.6087000000000002E-2</v>
      </c>
      <c r="E90" s="74">
        <v>2.96025564398821</v>
      </c>
      <c r="F90" s="74">
        <v>0</v>
      </c>
      <c r="G90" s="74">
        <v>0</v>
      </c>
      <c r="H90" s="76">
        <v>0</v>
      </c>
      <c r="I90" s="156">
        <v>0</v>
      </c>
      <c r="J90" s="74">
        <v>41.861865475117199</v>
      </c>
      <c r="K90" s="51">
        <v>0</v>
      </c>
      <c r="L90" s="74">
        <v>0</v>
      </c>
    </row>
    <row r="91" spans="1:12" x14ac:dyDescent="0.25">
      <c r="A91" s="103">
        <v>385</v>
      </c>
      <c r="B91" s="74">
        <v>32.684959484690197</v>
      </c>
      <c r="C91" s="134">
        <v>5.0284623038317697</v>
      </c>
      <c r="D91" s="51">
        <f>0.06947312+0</f>
        <v>6.9473119999999999E-2</v>
      </c>
      <c r="E91" s="74">
        <v>2.2896102739799602</v>
      </c>
      <c r="F91" s="74">
        <v>0</v>
      </c>
      <c r="G91" s="74">
        <v>0</v>
      </c>
      <c r="H91" s="76">
        <v>0</v>
      </c>
      <c r="I91" s="156">
        <v>0</v>
      </c>
      <c r="J91" s="74">
        <v>40.204427320320903</v>
      </c>
      <c r="K91" s="51">
        <v>0</v>
      </c>
      <c r="L91" s="74">
        <v>0</v>
      </c>
    </row>
    <row r="92" spans="1:12" x14ac:dyDescent="0.25">
      <c r="A92" s="103">
        <v>390</v>
      </c>
      <c r="B92" s="74">
        <v>32.117637630291398</v>
      </c>
      <c r="C92" s="134">
        <v>5.0269145025240602</v>
      </c>
      <c r="D92" s="51">
        <f>0.06962521+0</f>
        <v>6.9625210000000007E-2</v>
      </c>
      <c r="E92" s="74">
        <v>1.2187222330393399</v>
      </c>
      <c r="F92" s="74">
        <v>0</v>
      </c>
      <c r="G92" s="74">
        <v>0</v>
      </c>
      <c r="H92" s="76">
        <v>0</v>
      </c>
      <c r="I92" s="156">
        <v>0</v>
      </c>
      <c r="J92" s="74">
        <v>39.644295139516501</v>
      </c>
      <c r="K92" s="51">
        <v>0</v>
      </c>
      <c r="L92" s="74">
        <v>0</v>
      </c>
    </row>
    <row r="93" spans="1:12" x14ac:dyDescent="0.25">
      <c r="A93" s="103">
        <v>395</v>
      </c>
      <c r="B93" s="74">
        <v>30.9533379520335</v>
      </c>
      <c r="C93" s="134">
        <v>5.0217388769183504</v>
      </c>
      <c r="D93" s="51">
        <f>0.013963+0</f>
        <v>1.3963E-2</v>
      </c>
      <c r="E93" s="74">
        <v>6.3101509582109902E-2</v>
      </c>
      <c r="F93" s="74">
        <v>0</v>
      </c>
      <c r="G93" s="74">
        <v>0</v>
      </c>
      <c r="H93" s="76">
        <v>0</v>
      </c>
      <c r="I93" s="156">
        <v>0</v>
      </c>
      <c r="J93" s="74">
        <v>38.196757311317</v>
      </c>
      <c r="K93" s="51">
        <v>0</v>
      </c>
      <c r="L93" s="74">
        <v>0</v>
      </c>
    </row>
    <row r="94" spans="1:12" x14ac:dyDescent="0.25">
      <c r="A94" s="103">
        <v>400</v>
      </c>
      <c r="B94" s="74">
        <v>29.801560853022799</v>
      </c>
      <c r="C94" s="134">
        <v>5.0202715888077902</v>
      </c>
      <c r="D94" s="51">
        <f>0+0</f>
        <v>0</v>
      </c>
      <c r="E94" s="74">
        <v>0</v>
      </c>
      <c r="F94" s="74">
        <v>0</v>
      </c>
      <c r="G94" s="74">
        <v>0</v>
      </c>
      <c r="H94" s="76">
        <v>0</v>
      </c>
      <c r="I94" s="156">
        <v>0</v>
      </c>
      <c r="J94" s="74">
        <v>37.028968910019898</v>
      </c>
      <c r="K94" s="51">
        <v>0</v>
      </c>
      <c r="L94" s="74">
        <v>3.9789125551085899E-4</v>
      </c>
    </row>
    <row r="95" spans="1:12" x14ac:dyDescent="0.25">
      <c r="A95" s="103">
        <v>405</v>
      </c>
      <c r="B95" s="74">
        <v>28.660639937309401</v>
      </c>
      <c r="C95" s="134">
        <v>5.0195244998592203</v>
      </c>
      <c r="D95" s="51">
        <f>0+0</f>
        <v>0</v>
      </c>
      <c r="E95" s="74">
        <v>0</v>
      </c>
      <c r="F95" s="74">
        <v>0</v>
      </c>
      <c r="G95" s="74">
        <v>0</v>
      </c>
      <c r="H95" s="76">
        <v>0</v>
      </c>
      <c r="I95" s="156">
        <v>0</v>
      </c>
      <c r="J95" s="74">
        <v>35.787465489058697</v>
      </c>
      <c r="K95" s="51">
        <v>0</v>
      </c>
      <c r="L95" s="74">
        <v>0</v>
      </c>
    </row>
    <row r="96" spans="1:12" x14ac:dyDescent="0.25">
      <c r="A96" s="103">
        <v>410</v>
      </c>
      <c r="B96" s="74">
        <v>27.901844505621799</v>
      </c>
      <c r="C96" s="134">
        <v>5.0200794341044297</v>
      </c>
      <c r="D96" s="51">
        <f>0.02253736+0</f>
        <v>2.2537359999999999E-2</v>
      </c>
      <c r="E96" s="74">
        <v>2.06647462443121E-2</v>
      </c>
      <c r="F96" s="74">
        <v>0</v>
      </c>
      <c r="G96" s="74">
        <v>0</v>
      </c>
      <c r="H96" s="76">
        <v>0</v>
      </c>
      <c r="I96" s="156">
        <v>0</v>
      </c>
      <c r="J96" s="74">
        <v>35.405168724866797</v>
      </c>
      <c r="K96" s="51">
        <v>0</v>
      </c>
      <c r="L96" s="74">
        <v>0</v>
      </c>
    </row>
    <row r="97" spans="1:12" x14ac:dyDescent="0.25">
      <c r="A97" s="103">
        <v>415</v>
      </c>
      <c r="B97" s="74">
        <v>28.846558112020201</v>
      </c>
      <c r="C97" s="134">
        <v>5.0232079778120999</v>
      </c>
      <c r="D97" s="51">
        <f>0+0</f>
        <v>0</v>
      </c>
      <c r="E97" s="74">
        <v>0</v>
      </c>
      <c r="F97" s="74">
        <v>0</v>
      </c>
      <c r="G97" s="74">
        <v>0</v>
      </c>
      <c r="H97" s="76">
        <v>0</v>
      </c>
      <c r="I97" s="156">
        <v>0</v>
      </c>
      <c r="J97" s="74">
        <v>35.782339764432699</v>
      </c>
      <c r="K97" s="51">
        <v>0</v>
      </c>
      <c r="L97" s="74">
        <v>0</v>
      </c>
    </row>
    <row r="98" spans="1:12" x14ac:dyDescent="0.25">
      <c r="A98" s="103">
        <v>420</v>
      </c>
      <c r="B98" s="74">
        <v>30.010412974393901</v>
      </c>
      <c r="C98" s="134">
        <v>5.0276274715943599</v>
      </c>
      <c r="D98" s="51">
        <f>0.02867753+0</f>
        <v>2.867753E-2</v>
      </c>
      <c r="E98" s="74">
        <v>0.239732272157373</v>
      </c>
      <c r="F98" s="74">
        <v>0</v>
      </c>
      <c r="G98" s="74">
        <v>0</v>
      </c>
      <c r="H98" s="76">
        <v>0</v>
      </c>
      <c r="I98" s="156">
        <v>0</v>
      </c>
      <c r="J98" s="74">
        <v>37.364080800519503</v>
      </c>
      <c r="K98" s="51">
        <v>0</v>
      </c>
      <c r="L98" s="74">
        <v>0</v>
      </c>
    </row>
    <row r="99" spans="1:12" x14ac:dyDescent="0.25">
      <c r="A99" s="103">
        <v>425</v>
      </c>
      <c r="B99" s="74">
        <v>31.186808046950802</v>
      </c>
      <c r="C99" s="134">
        <v>5.0337458567887197</v>
      </c>
      <c r="D99" s="51">
        <f>0.0719299+0</f>
        <v>7.1929900000000005E-2</v>
      </c>
      <c r="E99" s="74">
        <v>1.6712375655810201</v>
      </c>
      <c r="F99" s="74">
        <v>0</v>
      </c>
      <c r="G99" s="74">
        <v>0</v>
      </c>
      <c r="H99" s="76">
        <v>0</v>
      </c>
      <c r="I99" s="156">
        <v>0</v>
      </c>
      <c r="J99" s="74">
        <v>38.819011061951102</v>
      </c>
      <c r="K99" s="51">
        <v>0</v>
      </c>
      <c r="L99" s="74">
        <v>0</v>
      </c>
    </row>
    <row r="100" spans="1:12" x14ac:dyDescent="0.25">
      <c r="A100" s="103">
        <v>430</v>
      </c>
      <c r="B100" s="74">
        <v>32.361463938582403</v>
      </c>
      <c r="C100" s="134">
        <v>5.04140263917943</v>
      </c>
      <c r="D100" s="51">
        <f>0.07224693+0</f>
        <v>7.2246930000000001E-2</v>
      </c>
      <c r="E100" s="74">
        <v>3.80501050795568</v>
      </c>
      <c r="F100" s="74">
        <v>0</v>
      </c>
      <c r="G100" s="74">
        <v>0</v>
      </c>
      <c r="H100" s="76">
        <v>0</v>
      </c>
      <c r="I100" s="156">
        <v>0</v>
      </c>
      <c r="J100" s="74">
        <v>40.016485293161502</v>
      </c>
      <c r="K100" s="51">
        <v>0</v>
      </c>
      <c r="L100" s="74">
        <v>0</v>
      </c>
    </row>
    <row r="101" spans="1:12" x14ac:dyDescent="0.25">
      <c r="A101" s="103">
        <v>435</v>
      </c>
      <c r="B101" s="74">
        <v>21.188378719632201</v>
      </c>
      <c r="C101" s="134">
        <v>3.2597517865631001</v>
      </c>
      <c r="D101" s="51">
        <f>0.01443537+0</f>
        <v>1.4435369999999999E-2</v>
      </c>
      <c r="E101" s="74">
        <v>0.51687706986886095</v>
      </c>
      <c r="F101" s="74">
        <v>0</v>
      </c>
      <c r="G101" s="74">
        <v>0</v>
      </c>
      <c r="H101" s="76">
        <v>0</v>
      </c>
      <c r="I101" s="156">
        <v>0</v>
      </c>
      <c r="J101" s="74">
        <v>25.880552928307701</v>
      </c>
      <c r="K101" s="51">
        <v>0</v>
      </c>
      <c r="L101" s="74">
        <v>0</v>
      </c>
    </row>
    <row r="102" spans="1:12" x14ac:dyDescent="0.25">
      <c r="A102" s="103">
        <v>436.46100000000001</v>
      </c>
      <c r="B102" s="74">
        <v>4.7802846319648502</v>
      </c>
      <c r="C102" s="134">
        <v>0.71401717083792604</v>
      </c>
      <c r="D102" s="51">
        <f>0+0</f>
        <v>0</v>
      </c>
      <c r="E102" s="74">
        <v>0</v>
      </c>
      <c r="F102" s="74">
        <v>0</v>
      </c>
      <c r="G102" s="74">
        <v>0</v>
      </c>
      <c r="H102" s="76">
        <v>0</v>
      </c>
      <c r="I102" s="156">
        <v>0</v>
      </c>
      <c r="J102" s="74">
        <v>5.72346074188951</v>
      </c>
      <c r="K102" s="51">
        <v>0</v>
      </c>
      <c r="L102" s="74">
        <v>0</v>
      </c>
    </row>
  </sheetData>
  <conditionalFormatting sqref="B12:H12">
    <cfRule type="cellIs" dxfId="2" priority="2" stopIfTrue="1" operator="equal">
      <formula>0</formula>
    </cfRule>
  </conditionalFormatting>
  <conditionalFormatting sqref="I12:K12">
    <cfRule type="cellIs" dxfId="1" priority="1" stopIfTrue="1" operator="equal">
      <formula>0</formula>
    </cfRule>
  </conditionalFormatting>
  <pageMargins left="0.75" right="0.75" top="1" bottom="1" header="0" footer="0"/>
  <pageSetup fitToHeight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02"/>
  <sheetViews>
    <sheetView workbookViewId="0">
      <selection activeCell="A2" sqref="A2"/>
    </sheetView>
  </sheetViews>
  <sheetFormatPr baseColWidth="10" defaultColWidth="11.5546875" defaultRowHeight="12" x14ac:dyDescent="0.25"/>
  <cols>
    <col min="1" max="1" width="15.77734375" style="74" customWidth="1"/>
    <col min="2" max="2" width="15.77734375" style="76" customWidth="1"/>
    <col min="3" max="3" width="15.77734375" style="142" customWidth="1"/>
    <col min="4" max="6" width="15.77734375" style="51" customWidth="1"/>
    <col min="7" max="7" width="13.109375" style="51" customWidth="1"/>
    <col min="8" max="8" width="14.44140625" style="51" customWidth="1"/>
    <col min="9" max="9" width="11.5546875" style="51" customWidth="1"/>
    <col min="10" max="16384" width="11.5546875" style="51"/>
  </cols>
  <sheetData>
    <row r="1" spans="1:9" ht="45" customHeight="1" x14ac:dyDescent="0.5">
      <c r="A1" s="48"/>
      <c r="B1" s="48"/>
      <c r="C1" s="49"/>
      <c r="D1" s="48"/>
      <c r="E1" s="48"/>
      <c r="F1" s="48"/>
      <c r="G1" s="48"/>
      <c r="H1" s="48"/>
      <c r="I1" s="48"/>
    </row>
    <row r="2" spans="1:9" ht="16.95" customHeight="1" x14ac:dyDescent="0.35">
      <c r="A2" s="8" t="s">
        <v>6</v>
      </c>
      <c r="B2" s="52"/>
      <c r="C2" s="53"/>
      <c r="D2" s="53"/>
      <c r="E2" s="53"/>
      <c r="F2" s="53"/>
      <c r="G2" s="53"/>
      <c r="H2" s="53"/>
      <c r="I2" s="53"/>
    </row>
    <row r="3" spans="1:9" ht="16.2" customHeight="1" x14ac:dyDescent="0.3">
      <c r="A3" s="55" t="s">
        <v>57</v>
      </c>
      <c r="B3" s="55"/>
      <c r="C3" s="56"/>
      <c r="D3" s="56"/>
      <c r="E3" s="56"/>
      <c r="F3" s="56"/>
      <c r="G3" s="56"/>
      <c r="H3" s="56"/>
      <c r="I3" s="53"/>
    </row>
    <row r="4" spans="1:9" ht="16.2" customHeight="1" x14ac:dyDescent="0.3">
      <c r="A4" s="55" t="s">
        <v>8</v>
      </c>
      <c r="B4" s="55" t="str">
        <f>Sammendrag!B4</f>
        <v>Granlien_andre</v>
      </c>
      <c r="C4" s="56"/>
      <c r="D4" s="56"/>
      <c r="E4" s="56"/>
      <c r="F4" s="56"/>
      <c r="G4" s="56"/>
      <c r="H4" s="56"/>
      <c r="I4" s="53"/>
    </row>
    <row r="5" spans="1:9" ht="15" customHeight="1" x14ac:dyDescent="0.25">
      <c r="A5" s="56"/>
      <c r="B5" s="56" t="str">
        <f>IF(Sammendrag!B5="","",Sammendrag!B5)</f>
        <v/>
      </c>
      <c r="C5" s="56"/>
      <c r="D5" s="56"/>
      <c r="E5" s="56"/>
      <c r="F5" s="56" t="str">
        <f>Sammendrag!F5</f>
        <v>Start profil:</v>
      </c>
      <c r="G5" s="15"/>
      <c r="H5" s="15">
        <f>Sammendrag!H5</f>
        <v>3.5</v>
      </c>
      <c r="I5" s="53"/>
    </row>
    <row r="6" spans="1:9" ht="15" customHeight="1" x14ac:dyDescent="0.25">
      <c r="A6" s="56"/>
      <c r="B6" s="56"/>
      <c r="C6" s="56"/>
      <c r="D6" s="56"/>
      <c r="E6" s="56"/>
      <c r="F6" s="56" t="str">
        <f>Sammendrag!F6</f>
        <v>Slutt profil:</v>
      </c>
      <c r="G6" s="15"/>
      <c r="H6" s="15">
        <f>Sammendrag!H6</f>
        <v>436.46100000000001</v>
      </c>
      <c r="I6" s="53"/>
    </row>
    <row r="7" spans="1:9" ht="15" customHeight="1" x14ac:dyDescent="0.25">
      <c r="A7" s="56"/>
      <c r="B7" s="56"/>
      <c r="C7" s="56"/>
      <c r="D7" s="56"/>
      <c r="E7" s="56"/>
      <c r="F7" s="56" t="str">
        <f>Sammendrag!F7</f>
        <v>Dato sist endret:</v>
      </c>
      <c r="G7" s="58"/>
      <c r="H7" s="58" t="str">
        <f>Sammendrag!H7</f>
        <v>5/19/2020 9:27:49 AM</v>
      </c>
      <c r="I7" s="53"/>
    </row>
    <row r="8" spans="1:9" ht="15" customHeight="1" x14ac:dyDescent="0.25">
      <c r="A8" s="56"/>
      <c r="B8" s="56"/>
      <c r="C8" s="56"/>
      <c r="D8" s="56"/>
      <c r="E8" s="56"/>
      <c r="F8" s="56"/>
      <c r="G8" s="56"/>
      <c r="H8" s="15"/>
      <c r="I8" s="53"/>
    </row>
    <row r="9" spans="1:9" ht="15" customHeight="1" x14ac:dyDescent="0.25">
      <c r="A9" s="19"/>
      <c r="B9" s="19"/>
      <c r="C9" s="19"/>
      <c r="D9" s="19"/>
      <c r="E9" s="19"/>
      <c r="F9" s="19"/>
      <c r="G9" s="19"/>
      <c r="H9" s="19"/>
    </row>
    <row r="10" spans="1:9" ht="15" customHeight="1" x14ac:dyDescent="0.25">
      <c r="A10" s="19"/>
      <c r="B10" s="19"/>
      <c r="C10" s="19"/>
      <c r="D10" s="19"/>
      <c r="E10" s="19"/>
      <c r="F10" s="19"/>
      <c r="G10" s="19"/>
      <c r="H10" s="19"/>
    </row>
    <row r="11" spans="1:9" x14ac:dyDescent="0.25">
      <c r="A11" s="60"/>
      <c r="B11" s="61"/>
      <c r="C11" s="140"/>
      <c r="D11" s="19"/>
      <c r="E11" s="19"/>
      <c r="F11" s="19"/>
      <c r="G11" s="19"/>
      <c r="H11" s="19"/>
    </row>
    <row r="12" spans="1:9" ht="28.2" customHeight="1" thickBot="1" x14ac:dyDescent="0.3">
      <c r="A12" s="66" t="s">
        <v>25</v>
      </c>
      <c r="B12" s="148" t="s">
        <v>90</v>
      </c>
      <c r="C12" s="149" t="s">
        <v>91</v>
      </c>
      <c r="D12" s="139"/>
      <c r="E12" s="139"/>
      <c r="F12" s="139"/>
      <c r="G12" s="78"/>
      <c r="H12" s="78"/>
    </row>
    <row r="13" spans="1:9" ht="16.2" customHeight="1" thickTop="1" x14ac:dyDescent="0.25">
      <c r="A13" s="69" t="s">
        <v>26</v>
      </c>
      <c r="B13" s="71">
        <f ca="1">SUM([0]!Lengths_SD_Soil)</f>
        <v>0</v>
      </c>
      <c r="C13" s="141">
        <f ca="1">SUM([0]!Lengths_SD_Rock)</f>
        <v>0</v>
      </c>
      <c r="D13" s="19"/>
      <c r="E13" s="19"/>
      <c r="F13" s="19"/>
      <c r="G13" s="79"/>
      <c r="H13" s="68"/>
    </row>
    <row r="14" spans="1:9" x14ac:dyDescent="0.25">
      <c r="A14" s="74">
        <v>3.5</v>
      </c>
      <c r="B14" s="76">
        <v>0</v>
      </c>
      <c r="C14" s="142">
        <v>0</v>
      </c>
    </row>
    <row r="15" spans="1:9" ht="13.8" x14ac:dyDescent="0.3">
      <c r="A15" s="74">
        <v>5</v>
      </c>
      <c r="B15" s="76">
        <v>0</v>
      </c>
      <c r="C15" s="142">
        <v>0</v>
      </c>
      <c r="H15" s="81"/>
    </row>
    <row r="16" spans="1:9" ht="13.8" x14ac:dyDescent="0.3">
      <c r="A16" s="74">
        <v>10</v>
      </c>
      <c r="B16" s="76">
        <v>0</v>
      </c>
      <c r="C16" s="142">
        <v>0</v>
      </c>
      <c r="H16" s="81"/>
    </row>
    <row r="17" spans="1:8" ht="13.8" x14ac:dyDescent="0.3">
      <c r="A17" s="74">
        <v>15</v>
      </c>
      <c r="B17" s="76">
        <v>0</v>
      </c>
      <c r="C17" s="142">
        <v>0</v>
      </c>
      <c r="H17" s="81"/>
    </row>
    <row r="18" spans="1:8" ht="13.8" x14ac:dyDescent="0.3">
      <c r="A18" s="74">
        <v>20</v>
      </c>
      <c r="B18" s="76">
        <v>0</v>
      </c>
      <c r="C18" s="142">
        <v>0</v>
      </c>
      <c r="H18" s="81"/>
    </row>
    <row r="19" spans="1:8" ht="13.8" x14ac:dyDescent="0.3">
      <c r="A19" s="74">
        <v>25</v>
      </c>
      <c r="B19" s="76">
        <v>0</v>
      </c>
      <c r="C19" s="142">
        <v>0</v>
      </c>
      <c r="H19" s="81"/>
    </row>
    <row r="20" spans="1:8" x14ac:dyDescent="0.25">
      <c r="A20" s="74">
        <v>30</v>
      </c>
      <c r="B20" s="76">
        <v>0</v>
      </c>
      <c r="C20" s="142">
        <v>0</v>
      </c>
    </row>
    <row r="21" spans="1:8" x14ac:dyDescent="0.25">
      <c r="A21" s="74">
        <v>35</v>
      </c>
      <c r="B21" s="76">
        <v>0</v>
      </c>
      <c r="C21" s="142">
        <v>0</v>
      </c>
    </row>
    <row r="22" spans="1:8" x14ac:dyDescent="0.25">
      <c r="A22" s="74">
        <v>40</v>
      </c>
      <c r="B22" s="76">
        <v>0</v>
      </c>
      <c r="C22" s="142">
        <v>0</v>
      </c>
    </row>
    <row r="23" spans="1:8" x14ac:dyDescent="0.25">
      <c r="A23" s="74">
        <v>45</v>
      </c>
      <c r="B23" s="76">
        <v>0</v>
      </c>
      <c r="C23" s="142">
        <v>0</v>
      </c>
    </row>
    <row r="24" spans="1:8" x14ac:dyDescent="0.25">
      <c r="A24" s="74">
        <v>50</v>
      </c>
      <c r="B24" s="76">
        <v>0</v>
      </c>
      <c r="C24" s="142">
        <v>0</v>
      </c>
    </row>
    <row r="25" spans="1:8" x14ac:dyDescent="0.25">
      <c r="A25" s="74">
        <v>55</v>
      </c>
      <c r="B25" s="76">
        <v>0</v>
      </c>
      <c r="C25" s="142">
        <v>0</v>
      </c>
    </row>
    <row r="26" spans="1:8" x14ac:dyDescent="0.25">
      <c r="A26" s="74">
        <v>60</v>
      </c>
      <c r="B26" s="76">
        <v>0</v>
      </c>
      <c r="C26" s="142">
        <v>0</v>
      </c>
    </row>
    <row r="27" spans="1:8" x14ac:dyDescent="0.25">
      <c r="A27" s="74">
        <v>65</v>
      </c>
      <c r="B27" s="76">
        <v>0</v>
      </c>
      <c r="C27" s="142">
        <v>0</v>
      </c>
    </row>
    <row r="28" spans="1:8" x14ac:dyDescent="0.25">
      <c r="A28" s="74">
        <v>70</v>
      </c>
      <c r="B28" s="76">
        <v>0</v>
      </c>
      <c r="C28" s="142">
        <v>0</v>
      </c>
    </row>
    <row r="29" spans="1:8" x14ac:dyDescent="0.25">
      <c r="A29" s="74">
        <v>75</v>
      </c>
      <c r="B29" s="76">
        <v>0</v>
      </c>
      <c r="C29" s="142">
        <v>0</v>
      </c>
    </row>
    <row r="30" spans="1:8" x14ac:dyDescent="0.25">
      <c r="A30" s="74">
        <v>80</v>
      </c>
      <c r="B30" s="76">
        <v>0</v>
      </c>
      <c r="C30" s="142">
        <v>0</v>
      </c>
    </row>
    <row r="31" spans="1:8" x14ac:dyDescent="0.25">
      <c r="A31" s="74">
        <v>85</v>
      </c>
      <c r="B31" s="76">
        <v>0</v>
      </c>
      <c r="C31" s="142">
        <v>0</v>
      </c>
    </row>
    <row r="32" spans="1:8" x14ac:dyDescent="0.25">
      <c r="A32" s="74">
        <v>90</v>
      </c>
      <c r="B32" s="76">
        <v>0</v>
      </c>
      <c r="C32" s="142">
        <v>0</v>
      </c>
    </row>
    <row r="33" spans="1:3" x14ac:dyDescent="0.25">
      <c r="A33" s="74">
        <v>95</v>
      </c>
      <c r="B33" s="76">
        <v>0</v>
      </c>
      <c r="C33" s="142">
        <v>0</v>
      </c>
    </row>
    <row r="34" spans="1:3" x14ac:dyDescent="0.25">
      <c r="A34" s="74">
        <v>100</v>
      </c>
      <c r="B34" s="76">
        <v>0</v>
      </c>
      <c r="C34" s="142">
        <v>0</v>
      </c>
    </row>
    <row r="35" spans="1:3" x14ac:dyDescent="0.25">
      <c r="A35" s="74">
        <v>105</v>
      </c>
      <c r="B35" s="76">
        <v>0</v>
      </c>
      <c r="C35" s="142">
        <v>0</v>
      </c>
    </row>
    <row r="36" spans="1:3" x14ac:dyDescent="0.25">
      <c r="A36" s="74">
        <v>110</v>
      </c>
      <c r="B36" s="76">
        <v>0</v>
      </c>
      <c r="C36" s="142">
        <v>0</v>
      </c>
    </row>
    <row r="37" spans="1:3" x14ac:dyDescent="0.25">
      <c r="A37" s="74">
        <v>115</v>
      </c>
      <c r="B37" s="76">
        <v>0</v>
      </c>
      <c r="C37" s="142">
        <v>0</v>
      </c>
    </row>
    <row r="38" spans="1:3" x14ac:dyDescent="0.25">
      <c r="A38" s="74">
        <v>120</v>
      </c>
      <c r="B38" s="76">
        <v>0</v>
      </c>
      <c r="C38" s="142">
        <v>0</v>
      </c>
    </row>
    <row r="39" spans="1:3" x14ac:dyDescent="0.25">
      <c r="A39" s="74">
        <v>125</v>
      </c>
      <c r="B39" s="76">
        <v>0</v>
      </c>
      <c r="C39" s="142">
        <v>0</v>
      </c>
    </row>
    <row r="40" spans="1:3" x14ac:dyDescent="0.25">
      <c r="A40" s="74">
        <v>130</v>
      </c>
      <c r="B40" s="76">
        <v>0</v>
      </c>
      <c r="C40" s="142">
        <v>0</v>
      </c>
    </row>
    <row r="41" spans="1:3" x14ac:dyDescent="0.25">
      <c r="A41" s="74">
        <v>135</v>
      </c>
      <c r="B41" s="76">
        <v>0</v>
      </c>
      <c r="C41" s="142">
        <v>0</v>
      </c>
    </row>
    <row r="42" spans="1:3" x14ac:dyDescent="0.25">
      <c r="A42" s="74">
        <v>140</v>
      </c>
      <c r="B42" s="76">
        <v>0</v>
      </c>
      <c r="C42" s="142">
        <v>0</v>
      </c>
    </row>
    <row r="43" spans="1:3" x14ac:dyDescent="0.25">
      <c r="A43" s="74">
        <v>145</v>
      </c>
      <c r="B43" s="76">
        <v>0</v>
      </c>
      <c r="C43" s="142">
        <v>0</v>
      </c>
    </row>
    <row r="44" spans="1:3" x14ac:dyDescent="0.25">
      <c r="A44" s="74">
        <v>150</v>
      </c>
      <c r="B44" s="76">
        <v>0</v>
      </c>
      <c r="C44" s="142">
        <v>0</v>
      </c>
    </row>
    <row r="45" spans="1:3" x14ac:dyDescent="0.25">
      <c r="A45" s="74">
        <v>155</v>
      </c>
      <c r="B45" s="76">
        <v>0</v>
      </c>
      <c r="C45" s="142">
        <v>0</v>
      </c>
    </row>
    <row r="46" spans="1:3" x14ac:dyDescent="0.25">
      <c r="A46" s="74">
        <v>160</v>
      </c>
      <c r="B46" s="76">
        <v>0</v>
      </c>
      <c r="C46" s="142">
        <v>0</v>
      </c>
    </row>
    <row r="47" spans="1:3" x14ac:dyDescent="0.25">
      <c r="A47" s="74">
        <v>165</v>
      </c>
      <c r="B47" s="76">
        <v>0</v>
      </c>
      <c r="C47" s="142">
        <v>0</v>
      </c>
    </row>
    <row r="48" spans="1:3" x14ac:dyDescent="0.25">
      <c r="A48" s="74">
        <v>170</v>
      </c>
      <c r="B48" s="76">
        <v>0</v>
      </c>
      <c r="C48" s="142">
        <v>0</v>
      </c>
    </row>
    <row r="49" spans="1:3" x14ac:dyDescent="0.25">
      <c r="A49" s="74">
        <v>175</v>
      </c>
      <c r="B49" s="76">
        <v>0</v>
      </c>
      <c r="C49" s="142">
        <v>0</v>
      </c>
    </row>
    <row r="50" spans="1:3" x14ac:dyDescent="0.25">
      <c r="A50" s="74">
        <v>180</v>
      </c>
      <c r="B50" s="76">
        <v>0</v>
      </c>
      <c r="C50" s="142">
        <v>0</v>
      </c>
    </row>
    <row r="51" spans="1:3" x14ac:dyDescent="0.25">
      <c r="A51" s="74">
        <v>185</v>
      </c>
      <c r="B51" s="76">
        <v>0</v>
      </c>
      <c r="C51" s="142">
        <v>0</v>
      </c>
    </row>
    <row r="52" spans="1:3" x14ac:dyDescent="0.25">
      <c r="A52" s="74">
        <v>190</v>
      </c>
      <c r="B52" s="76">
        <v>0</v>
      </c>
      <c r="C52" s="142">
        <v>0</v>
      </c>
    </row>
    <row r="53" spans="1:3" x14ac:dyDescent="0.25">
      <c r="A53" s="74">
        <v>195</v>
      </c>
      <c r="B53" s="76">
        <v>0</v>
      </c>
      <c r="C53" s="142">
        <v>0</v>
      </c>
    </row>
    <row r="54" spans="1:3" x14ac:dyDescent="0.25">
      <c r="A54" s="74">
        <v>200</v>
      </c>
      <c r="B54" s="76">
        <v>0</v>
      </c>
      <c r="C54" s="142">
        <v>0</v>
      </c>
    </row>
    <row r="55" spans="1:3" x14ac:dyDescent="0.25">
      <c r="A55" s="74">
        <v>205</v>
      </c>
      <c r="B55" s="76">
        <v>0</v>
      </c>
      <c r="C55" s="142">
        <v>0</v>
      </c>
    </row>
    <row r="56" spans="1:3" x14ac:dyDescent="0.25">
      <c r="A56" s="74">
        <v>210</v>
      </c>
      <c r="B56" s="76">
        <v>0</v>
      </c>
      <c r="C56" s="142">
        <v>0</v>
      </c>
    </row>
    <row r="57" spans="1:3" x14ac:dyDescent="0.25">
      <c r="A57" s="74">
        <v>215</v>
      </c>
      <c r="B57" s="76">
        <v>0</v>
      </c>
      <c r="C57" s="142">
        <v>0</v>
      </c>
    </row>
    <row r="58" spans="1:3" x14ac:dyDescent="0.25">
      <c r="A58" s="74">
        <v>220</v>
      </c>
      <c r="B58" s="76">
        <v>0</v>
      </c>
      <c r="C58" s="142">
        <v>0</v>
      </c>
    </row>
    <row r="59" spans="1:3" x14ac:dyDescent="0.25">
      <c r="A59" s="74">
        <v>225</v>
      </c>
      <c r="B59" s="76">
        <v>0</v>
      </c>
      <c r="C59" s="142">
        <v>0</v>
      </c>
    </row>
    <row r="60" spans="1:3" x14ac:dyDescent="0.25">
      <c r="A60" s="74">
        <v>230</v>
      </c>
      <c r="B60" s="76">
        <v>0</v>
      </c>
      <c r="C60" s="142">
        <v>0</v>
      </c>
    </row>
    <row r="61" spans="1:3" x14ac:dyDescent="0.25">
      <c r="A61" s="74">
        <v>235</v>
      </c>
      <c r="B61" s="76">
        <v>0</v>
      </c>
      <c r="C61" s="142">
        <v>0</v>
      </c>
    </row>
    <row r="62" spans="1:3" x14ac:dyDescent="0.25">
      <c r="A62" s="74">
        <v>240</v>
      </c>
      <c r="B62" s="76">
        <v>0</v>
      </c>
      <c r="C62" s="142">
        <v>0</v>
      </c>
    </row>
    <row r="63" spans="1:3" x14ac:dyDescent="0.25">
      <c r="A63" s="74">
        <v>245</v>
      </c>
      <c r="B63" s="76">
        <v>0</v>
      </c>
      <c r="C63" s="142">
        <v>0</v>
      </c>
    </row>
    <row r="64" spans="1:3" x14ac:dyDescent="0.25">
      <c r="A64" s="74">
        <v>250</v>
      </c>
      <c r="B64" s="76">
        <v>0</v>
      </c>
      <c r="C64" s="142">
        <v>0</v>
      </c>
    </row>
    <row r="65" spans="1:3" x14ac:dyDescent="0.25">
      <c r="A65" s="74">
        <v>255</v>
      </c>
      <c r="B65" s="76">
        <v>0</v>
      </c>
      <c r="C65" s="142">
        <v>0</v>
      </c>
    </row>
    <row r="66" spans="1:3" x14ac:dyDescent="0.25">
      <c r="A66" s="74">
        <v>260</v>
      </c>
      <c r="B66" s="76">
        <v>0</v>
      </c>
      <c r="C66" s="142">
        <v>0</v>
      </c>
    </row>
    <row r="67" spans="1:3" x14ac:dyDescent="0.25">
      <c r="A67" s="74">
        <v>265</v>
      </c>
      <c r="B67" s="76">
        <v>0</v>
      </c>
      <c r="C67" s="142">
        <v>0</v>
      </c>
    </row>
    <row r="68" spans="1:3" x14ac:dyDescent="0.25">
      <c r="A68" s="74">
        <v>270</v>
      </c>
      <c r="B68" s="76">
        <v>0</v>
      </c>
      <c r="C68" s="142">
        <v>0</v>
      </c>
    </row>
    <row r="69" spans="1:3" x14ac:dyDescent="0.25">
      <c r="A69" s="74">
        <v>275</v>
      </c>
      <c r="B69" s="76">
        <v>0</v>
      </c>
      <c r="C69" s="142">
        <v>0</v>
      </c>
    </row>
    <row r="70" spans="1:3" x14ac:dyDescent="0.25">
      <c r="A70" s="74">
        <v>280</v>
      </c>
      <c r="B70" s="76">
        <v>0</v>
      </c>
      <c r="C70" s="142">
        <v>0</v>
      </c>
    </row>
    <row r="71" spans="1:3" x14ac:dyDescent="0.25">
      <c r="A71" s="74">
        <v>285</v>
      </c>
      <c r="B71" s="76">
        <v>0</v>
      </c>
      <c r="C71" s="142">
        <v>0</v>
      </c>
    </row>
    <row r="72" spans="1:3" x14ac:dyDescent="0.25">
      <c r="A72" s="74">
        <v>290</v>
      </c>
      <c r="B72" s="76">
        <v>0</v>
      </c>
      <c r="C72" s="142">
        <v>0</v>
      </c>
    </row>
    <row r="73" spans="1:3" x14ac:dyDescent="0.25">
      <c r="A73" s="74">
        <v>295</v>
      </c>
      <c r="B73" s="76">
        <v>0</v>
      </c>
      <c r="C73" s="142">
        <v>0</v>
      </c>
    </row>
    <row r="74" spans="1:3" x14ac:dyDescent="0.25">
      <c r="A74" s="74">
        <v>300</v>
      </c>
      <c r="B74" s="76">
        <v>0</v>
      </c>
      <c r="C74" s="142">
        <v>0</v>
      </c>
    </row>
    <row r="75" spans="1:3" x14ac:dyDescent="0.25">
      <c r="A75" s="74">
        <v>305</v>
      </c>
      <c r="B75" s="76">
        <v>0</v>
      </c>
      <c r="C75" s="142">
        <v>0</v>
      </c>
    </row>
    <row r="76" spans="1:3" x14ac:dyDescent="0.25">
      <c r="A76" s="74">
        <v>310</v>
      </c>
      <c r="B76" s="76">
        <v>0</v>
      </c>
      <c r="C76" s="142">
        <v>0</v>
      </c>
    </row>
    <row r="77" spans="1:3" x14ac:dyDescent="0.25">
      <c r="A77" s="74">
        <v>315</v>
      </c>
      <c r="B77" s="76">
        <v>0</v>
      </c>
      <c r="C77" s="142">
        <v>0</v>
      </c>
    </row>
    <row r="78" spans="1:3" x14ac:dyDescent="0.25">
      <c r="A78" s="74">
        <v>320</v>
      </c>
      <c r="B78" s="76">
        <v>0</v>
      </c>
      <c r="C78" s="142">
        <v>0</v>
      </c>
    </row>
    <row r="79" spans="1:3" x14ac:dyDescent="0.25">
      <c r="A79" s="74">
        <v>325</v>
      </c>
      <c r="B79" s="76">
        <v>0</v>
      </c>
      <c r="C79" s="142">
        <v>0</v>
      </c>
    </row>
    <row r="80" spans="1:3" x14ac:dyDescent="0.25">
      <c r="A80" s="74">
        <v>330</v>
      </c>
      <c r="B80" s="76">
        <v>0</v>
      </c>
      <c r="C80" s="142">
        <v>0</v>
      </c>
    </row>
    <row r="81" spans="1:3" x14ac:dyDescent="0.25">
      <c r="A81" s="74">
        <v>335</v>
      </c>
      <c r="B81" s="76">
        <v>0</v>
      </c>
      <c r="C81" s="142">
        <v>0</v>
      </c>
    </row>
    <row r="82" spans="1:3" x14ac:dyDescent="0.25">
      <c r="A82" s="74">
        <v>340</v>
      </c>
      <c r="B82" s="76">
        <v>0</v>
      </c>
      <c r="C82" s="142">
        <v>0</v>
      </c>
    </row>
    <row r="83" spans="1:3" x14ac:dyDescent="0.25">
      <c r="A83" s="74">
        <v>345</v>
      </c>
      <c r="B83" s="76">
        <v>0</v>
      </c>
      <c r="C83" s="142">
        <v>0</v>
      </c>
    </row>
    <row r="84" spans="1:3" x14ac:dyDescent="0.25">
      <c r="A84" s="74">
        <v>350</v>
      </c>
      <c r="B84" s="76">
        <v>0</v>
      </c>
      <c r="C84" s="142">
        <v>0</v>
      </c>
    </row>
    <row r="85" spans="1:3" x14ac:dyDescent="0.25">
      <c r="A85" s="74">
        <v>355</v>
      </c>
      <c r="B85" s="76">
        <v>0</v>
      </c>
      <c r="C85" s="142">
        <v>0</v>
      </c>
    </row>
    <row r="86" spans="1:3" x14ac:dyDescent="0.25">
      <c r="A86" s="74">
        <v>360</v>
      </c>
      <c r="B86" s="76">
        <v>0</v>
      </c>
      <c r="C86" s="142">
        <v>0</v>
      </c>
    </row>
    <row r="87" spans="1:3" x14ac:dyDescent="0.25">
      <c r="A87" s="74">
        <v>365</v>
      </c>
      <c r="B87" s="76">
        <v>0</v>
      </c>
      <c r="C87" s="142">
        <v>0</v>
      </c>
    </row>
    <row r="88" spans="1:3" x14ac:dyDescent="0.25">
      <c r="A88" s="74">
        <v>370</v>
      </c>
      <c r="B88" s="76">
        <v>0</v>
      </c>
      <c r="C88" s="142">
        <v>0</v>
      </c>
    </row>
    <row r="89" spans="1:3" x14ac:dyDescent="0.25">
      <c r="A89" s="74">
        <v>375</v>
      </c>
      <c r="B89" s="76">
        <v>0</v>
      </c>
      <c r="C89" s="142">
        <v>0</v>
      </c>
    </row>
    <row r="90" spans="1:3" x14ac:dyDescent="0.25">
      <c r="A90" s="74">
        <v>380</v>
      </c>
      <c r="B90" s="76">
        <v>0</v>
      </c>
      <c r="C90" s="142">
        <v>0</v>
      </c>
    </row>
    <row r="91" spans="1:3" x14ac:dyDescent="0.25">
      <c r="A91" s="74">
        <v>385</v>
      </c>
      <c r="B91" s="76">
        <v>0</v>
      </c>
      <c r="C91" s="142">
        <v>0</v>
      </c>
    </row>
    <row r="92" spans="1:3" x14ac:dyDescent="0.25">
      <c r="A92" s="74">
        <v>390</v>
      </c>
      <c r="B92" s="76">
        <v>0</v>
      </c>
      <c r="C92" s="142">
        <v>0</v>
      </c>
    </row>
    <row r="93" spans="1:3" x14ac:dyDescent="0.25">
      <c r="A93" s="74">
        <v>395</v>
      </c>
      <c r="B93" s="76">
        <v>0</v>
      </c>
      <c r="C93" s="142">
        <v>0</v>
      </c>
    </row>
    <row r="94" spans="1:3" x14ac:dyDescent="0.25">
      <c r="A94" s="74">
        <v>400</v>
      </c>
      <c r="B94" s="76">
        <v>0</v>
      </c>
      <c r="C94" s="142">
        <v>0</v>
      </c>
    </row>
    <row r="95" spans="1:3" x14ac:dyDescent="0.25">
      <c r="A95" s="74">
        <v>405</v>
      </c>
      <c r="B95" s="76">
        <v>0</v>
      </c>
      <c r="C95" s="142">
        <v>0</v>
      </c>
    </row>
    <row r="96" spans="1:3" x14ac:dyDescent="0.25">
      <c r="A96" s="74">
        <v>410</v>
      </c>
      <c r="B96" s="76">
        <v>0</v>
      </c>
      <c r="C96" s="142">
        <v>0</v>
      </c>
    </row>
    <row r="97" spans="1:3" x14ac:dyDescent="0.25">
      <c r="A97" s="74">
        <v>415</v>
      </c>
      <c r="B97" s="76">
        <v>0</v>
      </c>
      <c r="C97" s="142">
        <v>0</v>
      </c>
    </row>
    <row r="98" spans="1:3" x14ac:dyDescent="0.25">
      <c r="A98" s="74">
        <v>420</v>
      </c>
      <c r="B98" s="76">
        <v>0</v>
      </c>
      <c r="C98" s="142">
        <v>0</v>
      </c>
    </row>
    <row r="99" spans="1:3" x14ac:dyDescent="0.25">
      <c r="A99" s="74">
        <v>425</v>
      </c>
      <c r="B99" s="76">
        <v>0</v>
      </c>
      <c r="C99" s="142">
        <v>0</v>
      </c>
    </row>
    <row r="100" spans="1:3" x14ac:dyDescent="0.25">
      <c r="A100" s="74">
        <v>430</v>
      </c>
      <c r="B100" s="76">
        <v>0</v>
      </c>
      <c r="C100" s="142">
        <v>0</v>
      </c>
    </row>
    <row r="101" spans="1:3" x14ac:dyDescent="0.25">
      <c r="A101" s="74">
        <v>435</v>
      </c>
      <c r="B101" s="76">
        <v>0</v>
      </c>
      <c r="C101" s="142">
        <v>0</v>
      </c>
    </row>
    <row r="102" spans="1:3" x14ac:dyDescent="0.25">
      <c r="A102" s="74">
        <v>436.46100000000001</v>
      </c>
      <c r="B102" s="76">
        <v>0</v>
      </c>
      <c r="C102" s="142">
        <v>0</v>
      </c>
    </row>
  </sheetData>
  <conditionalFormatting sqref="B12:C12">
    <cfRule type="cellIs" dxfId="0" priority="1" stopIfTrue="1" operator="equal">
      <formula>0</formula>
    </cfRule>
  </conditionalFormatting>
  <pageMargins left="0.75" right="0.75" top="1" bottom="1" header="0" footer="0"/>
  <pageSetup fitToHeight="0"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02"/>
  <sheetViews>
    <sheetView workbookViewId="0">
      <selection activeCell="A2" sqref="A2"/>
    </sheetView>
  </sheetViews>
  <sheetFormatPr baseColWidth="10" defaultColWidth="11.5546875" defaultRowHeight="12" x14ac:dyDescent="0.25"/>
  <cols>
    <col min="1" max="1" width="15.77734375" style="74" customWidth="1"/>
    <col min="2" max="2" width="15.77734375" style="76" customWidth="1"/>
    <col min="3" max="3" width="15.77734375" style="74" customWidth="1"/>
    <col min="4" max="4" width="17.5546875" style="74" customWidth="1"/>
    <col min="5" max="5" width="13.109375" style="51" customWidth="1"/>
    <col min="6" max="6" width="14.44140625" style="51" customWidth="1"/>
    <col min="7" max="7" width="11.5546875" style="51" customWidth="1"/>
    <col min="8" max="16384" width="11.5546875" style="51"/>
  </cols>
  <sheetData>
    <row r="1" spans="1:9" ht="45" customHeight="1" x14ac:dyDescent="0.5">
      <c r="A1" s="48"/>
      <c r="B1" s="48"/>
      <c r="C1" s="49"/>
      <c r="D1" s="48"/>
      <c r="E1" s="48"/>
      <c r="F1" s="48"/>
      <c r="G1" s="48"/>
      <c r="H1" s="48"/>
      <c r="I1" s="48"/>
    </row>
    <row r="2" spans="1:9" ht="16.95" customHeight="1" x14ac:dyDescent="0.35">
      <c r="A2" s="8" t="s">
        <v>6</v>
      </c>
      <c r="B2" s="52"/>
      <c r="C2" s="53"/>
      <c r="D2" s="53"/>
      <c r="E2" s="53"/>
      <c r="F2" s="53"/>
      <c r="G2" s="53"/>
      <c r="H2" s="53"/>
      <c r="I2" s="53"/>
    </row>
    <row r="3" spans="1:9" ht="16.2" customHeight="1" x14ac:dyDescent="0.3">
      <c r="A3" s="153" t="s">
        <v>56</v>
      </c>
      <c r="B3" s="55"/>
      <c r="C3" s="56"/>
      <c r="D3" s="56"/>
      <c r="E3" s="56"/>
      <c r="F3" s="56"/>
      <c r="G3" s="53"/>
      <c r="H3" s="53"/>
      <c r="I3" s="53"/>
    </row>
    <row r="4" spans="1:9" ht="16.2" customHeight="1" x14ac:dyDescent="0.3">
      <c r="A4" s="55" t="s">
        <v>8</v>
      </c>
      <c r="B4" s="55" t="str">
        <f>Sammendrag!B4</f>
        <v>Granlien_andre</v>
      </c>
      <c r="C4" s="56"/>
      <c r="D4" s="56"/>
      <c r="E4" s="56"/>
      <c r="F4" s="56"/>
      <c r="G4" s="56"/>
      <c r="H4" s="56"/>
      <c r="I4" s="53"/>
    </row>
    <row r="5" spans="1:9" ht="15" customHeight="1" x14ac:dyDescent="0.25">
      <c r="A5" s="56"/>
      <c r="B5" s="56" t="str">
        <f>IF(Sammendrag!B5="","",Sammendrag!B5)</f>
        <v/>
      </c>
      <c r="C5" s="56"/>
      <c r="D5" s="56"/>
      <c r="E5" s="56"/>
      <c r="F5" s="56" t="str">
        <f>Sammendrag!F5</f>
        <v>Start profil:</v>
      </c>
      <c r="G5" s="15"/>
      <c r="H5" s="15">
        <f>Sammendrag!H5</f>
        <v>3.5</v>
      </c>
      <c r="I5" s="53"/>
    </row>
    <row r="6" spans="1:9" ht="15" customHeight="1" x14ac:dyDescent="0.25">
      <c r="A6" s="56"/>
      <c r="B6" s="56"/>
      <c r="C6" s="56"/>
      <c r="D6" s="56"/>
      <c r="E6" s="56"/>
      <c r="F6" s="56" t="str">
        <f>Sammendrag!F6</f>
        <v>Slutt profil:</v>
      </c>
      <c r="G6" s="15"/>
      <c r="H6" s="15">
        <f>Sammendrag!H6</f>
        <v>436.46100000000001</v>
      </c>
      <c r="I6" s="53"/>
    </row>
    <row r="7" spans="1:9" ht="15" customHeight="1" x14ac:dyDescent="0.25">
      <c r="A7" s="56"/>
      <c r="B7" s="56"/>
      <c r="C7" s="56"/>
      <c r="D7" s="56"/>
      <c r="E7" s="56"/>
      <c r="F7" s="56" t="str">
        <f>Sammendrag!F7</f>
        <v>Dato sist endret:</v>
      </c>
      <c r="G7" s="58"/>
      <c r="H7" s="58" t="str">
        <f>Sammendrag!H7</f>
        <v>5/19/2020 9:27:49 AM</v>
      </c>
      <c r="I7" s="53"/>
    </row>
    <row r="8" spans="1:9" ht="15" customHeight="1" x14ac:dyDescent="0.25">
      <c r="A8" s="56"/>
      <c r="B8" s="56"/>
      <c r="C8" s="56"/>
      <c r="D8" s="56"/>
      <c r="E8" s="56"/>
      <c r="F8" s="15"/>
      <c r="G8" s="53"/>
      <c r="H8" s="53"/>
      <c r="I8" s="53"/>
    </row>
    <row r="9" spans="1:9" ht="15" customHeight="1" x14ac:dyDescent="0.25">
      <c r="A9" s="19"/>
      <c r="B9" s="19"/>
      <c r="C9" s="19"/>
      <c r="D9" s="19"/>
      <c r="E9" s="19"/>
      <c r="F9" s="19"/>
    </row>
    <row r="10" spans="1:9" ht="15" customHeight="1" x14ac:dyDescent="0.25">
      <c r="A10" s="19"/>
      <c r="B10" s="19"/>
      <c r="C10" s="19"/>
      <c r="D10" s="19"/>
      <c r="E10" s="19"/>
      <c r="F10" s="19"/>
    </row>
    <row r="11" spans="1:9" x14ac:dyDescent="0.25">
      <c r="A11" s="60"/>
      <c r="B11" s="61"/>
      <c r="C11" s="61"/>
      <c r="D11" s="77"/>
      <c r="E11" s="19"/>
      <c r="F11" s="19"/>
    </row>
    <row r="12" spans="1:9" ht="45.9" customHeight="1" thickBot="1" x14ac:dyDescent="0.3">
      <c r="A12" s="66" t="s">
        <v>25</v>
      </c>
      <c r="B12" s="129" t="s">
        <v>66</v>
      </c>
      <c r="C12" s="129" t="s">
        <v>67</v>
      </c>
      <c r="D12" s="130" t="s">
        <v>70</v>
      </c>
      <c r="E12" s="78"/>
      <c r="F12" s="78"/>
    </row>
    <row r="13" spans="1:9" ht="16.2" customHeight="1" thickTop="1" x14ac:dyDescent="0.25">
      <c r="A13" s="69" t="s">
        <v>26</v>
      </c>
      <c r="B13" s="71">
        <f ca="1">SUM(Flåsprengning!Lengths_SD_Soil)</f>
        <v>619.62727051706383</v>
      </c>
      <c r="C13" s="71">
        <f ca="1">SUM(Flåsprengning!Lengths_SD_Rock)</f>
        <v>12163.950724658525</v>
      </c>
      <c r="D13" s="71">
        <f ca="1">SUM(Flåsprengning!Lengths_CD_Fill)</f>
        <v>1827.9667480370642</v>
      </c>
      <c r="E13" s="79"/>
      <c r="F13" s="68"/>
    </row>
    <row r="14" spans="1:9" x14ac:dyDescent="0.25">
      <c r="A14" s="74">
        <v>3.5</v>
      </c>
      <c r="B14" s="76">
        <v>0</v>
      </c>
      <c r="C14" s="74">
        <v>6.8575580502234601</v>
      </c>
      <c r="D14" s="74">
        <f>1.0872846+$B14*1</f>
        <v>1.0872846</v>
      </c>
    </row>
    <row r="15" spans="1:9" ht="13.8" x14ac:dyDescent="0.3">
      <c r="A15" s="74">
        <v>5</v>
      </c>
      <c r="B15" s="76">
        <v>0</v>
      </c>
      <c r="C15" s="74">
        <v>30.414999361987601</v>
      </c>
      <c r="D15" s="74">
        <f>0.29617423+$B15*1</f>
        <v>0.29617422999999998</v>
      </c>
      <c r="F15" s="81"/>
    </row>
    <row r="16" spans="1:9" ht="13.8" x14ac:dyDescent="0.3">
      <c r="A16" s="74">
        <v>10</v>
      </c>
      <c r="B16" s="76">
        <v>0</v>
      </c>
      <c r="C16" s="74">
        <v>37.165427940191897</v>
      </c>
      <c r="D16" s="74">
        <f>0+$B16*1</f>
        <v>0</v>
      </c>
      <c r="F16" s="81"/>
    </row>
    <row r="17" spans="1:6" ht="13.8" x14ac:dyDescent="0.3">
      <c r="A17" s="74">
        <v>15</v>
      </c>
      <c r="B17" s="76">
        <v>24.210147093316799</v>
      </c>
      <c r="C17" s="74">
        <v>541.482602249764</v>
      </c>
      <c r="D17" s="74">
        <f>23.48449635+$B17*1</f>
        <v>47.694643443316799</v>
      </c>
      <c r="F17" s="81"/>
    </row>
    <row r="18" spans="1:6" ht="13.8" x14ac:dyDescent="0.3">
      <c r="A18" s="74">
        <v>20</v>
      </c>
      <c r="B18" s="76">
        <v>117.71251587813801</v>
      </c>
      <c r="C18" s="74">
        <v>1989.8061183421901</v>
      </c>
      <c r="D18" s="74">
        <f>322.92384434+$B18*1</f>
        <v>440.63636021813801</v>
      </c>
      <c r="F18" s="81"/>
    </row>
    <row r="19" spans="1:6" ht="13.8" x14ac:dyDescent="0.3">
      <c r="A19" s="74">
        <v>25</v>
      </c>
      <c r="B19" s="76">
        <v>29.4357431475506</v>
      </c>
      <c r="C19" s="74">
        <v>384.50583865916599</v>
      </c>
      <c r="D19" s="74">
        <f>50.75126575+$B19*1</f>
        <v>80.187008897550598</v>
      </c>
      <c r="F19" s="81"/>
    </row>
    <row r="20" spans="1:6" x14ac:dyDescent="0.25">
      <c r="A20" s="74">
        <v>30</v>
      </c>
      <c r="B20" s="76">
        <v>7.7879740539487097</v>
      </c>
      <c r="C20" s="74">
        <v>157.56949951552599</v>
      </c>
      <c r="D20" s="74">
        <f>1.4780968+$B20*1</f>
        <v>9.26607085394871</v>
      </c>
    </row>
    <row r="21" spans="1:6" x14ac:dyDescent="0.25">
      <c r="A21" s="74">
        <v>35</v>
      </c>
      <c r="B21" s="76">
        <v>6.9007510714211397</v>
      </c>
      <c r="C21" s="74">
        <v>164.56033700945</v>
      </c>
      <c r="D21" s="74">
        <f>1.31691773+$B21*1</f>
        <v>8.217668801421139</v>
      </c>
    </row>
    <row r="22" spans="1:6" x14ac:dyDescent="0.25">
      <c r="A22" s="74">
        <v>40</v>
      </c>
      <c r="B22" s="76">
        <v>56.876188075005601</v>
      </c>
      <c r="C22" s="74">
        <v>985.08498120214301</v>
      </c>
      <c r="D22" s="74">
        <f>238.73520872+$B22*1</f>
        <v>295.61139679500559</v>
      </c>
    </row>
    <row r="23" spans="1:6" x14ac:dyDescent="0.25">
      <c r="A23" s="74">
        <v>45</v>
      </c>
      <c r="B23" s="76">
        <v>52.909887575985898</v>
      </c>
      <c r="C23" s="74">
        <v>883.63410175422996</v>
      </c>
      <c r="D23" s="74">
        <f>203.08497026+$B23*1</f>
        <v>255.9948578359859</v>
      </c>
    </row>
    <row r="24" spans="1:6" x14ac:dyDescent="0.25">
      <c r="A24" s="74">
        <v>50</v>
      </c>
      <c r="B24" s="76">
        <v>51.291949893436197</v>
      </c>
      <c r="C24" s="74">
        <v>814.42654787041602</v>
      </c>
      <c r="D24" s="74">
        <f>135.11112615+$B24*1</f>
        <v>186.40307604343619</v>
      </c>
    </row>
    <row r="25" spans="1:6" x14ac:dyDescent="0.25">
      <c r="A25" s="74">
        <v>55</v>
      </c>
      <c r="B25" s="76">
        <v>8.8651869370799901</v>
      </c>
      <c r="C25" s="74">
        <v>178.49880584434601</v>
      </c>
      <c r="D25" s="74">
        <f>0.29940105+$B25*1</f>
        <v>9.1645879870799902</v>
      </c>
    </row>
    <row r="26" spans="1:6" x14ac:dyDescent="0.25">
      <c r="A26" s="74">
        <v>60</v>
      </c>
      <c r="B26" s="76">
        <v>20.3503130481709</v>
      </c>
      <c r="C26" s="74">
        <v>366.992858888451</v>
      </c>
      <c r="D26" s="74">
        <f>36.70029114+$B26*1</f>
        <v>57.050604188170894</v>
      </c>
    </row>
    <row r="27" spans="1:6" x14ac:dyDescent="0.25">
      <c r="A27" s="74">
        <v>65</v>
      </c>
      <c r="B27" s="76">
        <v>30.2302026670807</v>
      </c>
      <c r="C27" s="74">
        <v>426.40352113288799</v>
      </c>
      <c r="D27" s="74">
        <f>27.54323251+$B27*1</f>
        <v>57.7734351770807</v>
      </c>
    </row>
    <row r="28" spans="1:6" x14ac:dyDescent="0.25">
      <c r="A28" s="74">
        <v>70</v>
      </c>
      <c r="B28" s="76">
        <v>16.449655203320901</v>
      </c>
      <c r="C28" s="74">
        <v>360.18274519310501</v>
      </c>
      <c r="D28" s="74">
        <f>20.06109724+$B28*1</f>
        <v>36.510752443320897</v>
      </c>
    </row>
    <row r="29" spans="1:6" x14ac:dyDescent="0.25">
      <c r="A29" s="74">
        <v>75</v>
      </c>
      <c r="B29" s="76">
        <v>6.6406939892953103</v>
      </c>
      <c r="C29" s="74">
        <v>261.46489660856201</v>
      </c>
      <c r="D29" s="74">
        <f>12.15155702+$B29*1</f>
        <v>18.79225100929531</v>
      </c>
    </row>
    <row r="30" spans="1:6" x14ac:dyDescent="0.25">
      <c r="A30" s="74">
        <v>80</v>
      </c>
      <c r="B30" s="76">
        <v>15.600663901363101</v>
      </c>
      <c r="C30" s="74">
        <v>248.74578311342501</v>
      </c>
      <c r="D30" s="74">
        <f>0.09492182+$B30*1</f>
        <v>15.6955857213631</v>
      </c>
    </row>
    <row r="31" spans="1:6" x14ac:dyDescent="0.25">
      <c r="A31" s="74">
        <v>85</v>
      </c>
      <c r="B31" s="76">
        <v>34.344870056534198</v>
      </c>
      <c r="C31" s="74">
        <v>369.96106629101098</v>
      </c>
      <c r="D31" s="74">
        <f t="shared" ref="D31:D40" si="0">0+$B31*1</f>
        <v>34.344870056534198</v>
      </c>
    </row>
    <row r="32" spans="1:6" x14ac:dyDescent="0.25">
      <c r="A32" s="74">
        <v>90</v>
      </c>
      <c r="B32" s="76">
        <v>39.879712316406298</v>
      </c>
      <c r="C32" s="74">
        <v>387.02269597460901</v>
      </c>
      <c r="D32" s="74">
        <f t="shared" si="0"/>
        <v>39.879712316406298</v>
      </c>
    </row>
    <row r="33" spans="1:4" x14ac:dyDescent="0.25">
      <c r="A33" s="74">
        <v>95</v>
      </c>
      <c r="B33" s="76">
        <v>32.842502226239198</v>
      </c>
      <c r="C33" s="74">
        <v>344.019727241282</v>
      </c>
      <c r="D33" s="74">
        <f t="shared" si="0"/>
        <v>32.842502226239198</v>
      </c>
    </row>
    <row r="34" spans="1:4" x14ac:dyDescent="0.25">
      <c r="A34" s="74">
        <v>100</v>
      </c>
      <c r="B34" s="76">
        <v>24.7372547479982</v>
      </c>
      <c r="C34" s="74">
        <v>290.902367558366</v>
      </c>
      <c r="D34" s="74">
        <f t="shared" si="0"/>
        <v>24.7372547479982</v>
      </c>
    </row>
    <row r="35" spans="1:4" x14ac:dyDescent="0.25">
      <c r="A35" s="74">
        <v>105</v>
      </c>
      <c r="B35" s="76">
        <v>11.7236840395908</v>
      </c>
      <c r="C35" s="74">
        <v>235.25315702476499</v>
      </c>
      <c r="D35" s="74">
        <f t="shared" si="0"/>
        <v>11.7236840395908</v>
      </c>
    </row>
    <row r="36" spans="1:4" x14ac:dyDescent="0.25">
      <c r="A36" s="74">
        <v>110</v>
      </c>
      <c r="B36" s="76">
        <v>11.4908580464145</v>
      </c>
      <c r="C36" s="74">
        <v>178.859232999916</v>
      </c>
      <c r="D36" s="74">
        <f t="shared" si="0"/>
        <v>11.4908580464145</v>
      </c>
    </row>
    <row r="37" spans="1:4" x14ac:dyDescent="0.25">
      <c r="A37" s="74">
        <v>115</v>
      </c>
      <c r="B37" s="76">
        <v>12.575866982493899</v>
      </c>
      <c r="C37" s="74">
        <v>140.44140743891799</v>
      </c>
      <c r="D37" s="74">
        <f t="shared" si="0"/>
        <v>12.575866982493899</v>
      </c>
    </row>
    <row r="38" spans="1:4" x14ac:dyDescent="0.25">
      <c r="A38" s="74">
        <v>120</v>
      </c>
      <c r="B38" s="76">
        <v>6.7696993030055301</v>
      </c>
      <c r="C38" s="74">
        <v>92.671816795507894</v>
      </c>
      <c r="D38" s="74">
        <f t="shared" si="0"/>
        <v>6.7696993030055301</v>
      </c>
    </row>
    <row r="39" spans="1:4" x14ac:dyDescent="0.25">
      <c r="A39" s="74">
        <v>125</v>
      </c>
      <c r="B39" s="76">
        <v>0</v>
      </c>
      <c r="C39" s="74">
        <v>60.732536026461297</v>
      </c>
      <c r="D39" s="74">
        <f t="shared" si="0"/>
        <v>0</v>
      </c>
    </row>
    <row r="40" spans="1:4" x14ac:dyDescent="0.25">
      <c r="A40" s="74">
        <v>130</v>
      </c>
      <c r="B40" s="76">
        <v>0</v>
      </c>
      <c r="C40" s="74">
        <v>46.693372612356903</v>
      </c>
      <c r="D40" s="74">
        <f t="shared" si="0"/>
        <v>0</v>
      </c>
    </row>
    <row r="41" spans="1:4" x14ac:dyDescent="0.25">
      <c r="A41" s="74">
        <v>135</v>
      </c>
      <c r="B41" s="76">
        <v>5.17218933124824E-4</v>
      </c>
      <c r="C41" s="74">
        <v>39.202694244701199</v>
      </c>
      <c r="D41" s="74">
        <f>0.97442156+$B41*1</f>
        <v>0.97493877893312486</v>
      </c>
    </row>
    <row r="42" spans="1:4" x14ac:dyDescent="0.25">
      <c r="A42" s="74">
        <v>140</v>
      </c>
      <c r="B42" s="76">
        <v>0</v>
      </c>
      <c r="C42" s="74">
        <v>47.980913273651602</v>
      </c>
      <c r="D42" s="74">
        <f>13.63902923+$B42*1</f>
        <v>13.63902923</v>
      </c>
    </row>
    <row r="43" spans="1:4" x14ac:dyDescent="0.25">
      <c r="A43" s="74">
        <v>145</v>
      </c>
      <c r="B43" s="76">
        <v>0</v>
      </c>
      <c r="C43" s="74">
        <v>47.453966557405998</v>
      </c>
      <c r="D43" s="74">
        <f>14.65124328+$B43*1</f>
        <v>14.651243279999999</v>
      </c>
    </row>
    <row r="44" spans="1:4" x14ac:dyDescent="0.25">
      <c r="A44" s="74">
        <v>150</v>
      </c>
      <c r="B44" s="76">
        <v>0</v>
      </c>
      <c r="C44" s="74">
        <v>46.418710572770401</v>
      </c>
      <c r="D44" s="74">
        <f>13.29707463+$B44*1</f>
        <v>13.297074629999999</v>
      </c>
    </row>
    <row r="45" spans="1:4" x14ac:dyDescent="0.25">
      <c r="A45" s="74">
        <v>155</v>
      </c>
      <c r="B45" s="76">
        <v>0</v>
      </c>
      <c r="C45" s="74">
        <v>42.504160902260999</v>
      </c>
      <c r="D45" s="74">
        <f>7.31694618+$B45*1</f>
        <v>7.3169461800000004</v>
      </c>
    </row>
    <row r="46" spans="1:4" x14ac:dyDescent="0.25">
      <c r="A46" s="74">
        <v>160</v>
      </c>
      <c r="B46" s="76">
        <v>0</v>
      </c>
      <c r="C46" s="74">
        <v>35.367722270590903</v>
      </c>
      <c r="D46" s="74">
        <f>0+$B46*1</f>
        <v>0</v>
      </c>
    </row>
    <row r="47" spans="1:4" x14ac:dyDescent="0.25">
      <c r="A47" s="74">
        <v>165</v>
      </c>
      <c r="B47" s="76">
        <v>0</v>
      </c>
      <c r="C47" s="74">
        <v>36.1320658273684</v>
      </c>
      <c r="D47" s="74">
        <f>0.65376646+$B47*1</f>
        <v>0.65376646000000005</v>
      </c>
    </row>
    <row r="48" spans="1:4" x14ac:dyDescent="0.25">
      <c r="A48" s="74">
        <v>170</v>
      </c>
      <c r="B48" s="76">
        <v>0</v>
      </c>
      <c r="C48" s="74">
        <v>43.708866487607999</v>
      </c>
      <c r="D48" s="74">
        <f>4.53049594+$B48*1</f>
        <v>4.5304959399999998</v>
      </c>
    </row>
    <row r="49" spans="1:4" x14ac:dyDescent="0.25">
      <c r="A49" s="74">
        <v>175</v>
      </c>
      <c r="B49" s="76">
        <v>0</v>
      </c>
      <c r="C49" s="74">
        <v>37.380821440622398</v>
      </c>
      <c r="D49" s="74">
        <f>0+$B49*1</f>
        <v>0</v>
      </c>
    </row>
    <row r="50" spans="1:4" x14ac:dyDescent="0.25">
      <c r="A50" s="74">
        <v>180</v>
      </c>
      <c r="B50" s="76">
        <v>0</v>
      </c>
      <c r="C50" s="74">
        <v>37.927869364482603</v>
      </c>
      <c r="D50" s="74">
        <f>0+$B50*1</f>
        <v>0</v>
      </c>
    </row>
    <row r="51" spans="1:4" x14ac:dyDescent="0.25">
      <c r="A51" s="74">
        <v>185</v>
      </c>
      <c r="B51" s="76">
        <v>0</v>
      </c>
      <c r="C51" s="74">
        <v>38.9493395063243</v>
      </c>
      <c r="D51" s="74">
        <f>2.27296801+$B51*1</f>
        <v>2.27296801</v>
      </c>
    </row>
    <row r="52" spans="1:4" x14ac:dyDescent="0.25">
      <c r="A52" s="74">
        <v>190</v>
      </c>
      <c r="B52" s="76">
        <v>0</v>
      </c>
      <c r="C52" s="74">
        <v>38.492733682418503</v>
      </c>
      <c r="D52" s="74">
        <f>0.5833362+$B52*1</f>
        <v>0.58333619999999997</v>
      </c>
    </row>
    <row r="53" spans="1:4" x14ac:dyDescent="0.25">
      <c r="A53" s="74">
        <v>195</v>
      </c>
      <c r="B53" s="76">
        <v>0</v>
      </c>
      <c r="C53" s="74">
        <v>39.576715027127896</v>
      </c>
      <c r="D53" s="74">
        <f t="shared" ref="D53:D60" si="1">0+$B53*1</f>
        <v>0</v>
      </c>
    </row>
    <row r="54" spans="1:4" x14ac:dyDescent="0.25">
      <c r="A54" s="74">
        <v>200</v>
      </c>
      <c r="B54" s="76">
        <v>3.5153078824213399E-5</v>
      </c>
      <c r="C54" s="74">
        <v>38.762792396447502</v>
      </c>
      <c r="D54" s="74">
        <f t="shared" si="1"/>
        <v>3.5153078824213399E-5</v>
      </c>
    </row>
    <row r="55" spans="1:4" x14ac:dyDescent="0.25">
      <c r="A55" s="74">
        <v>205</v>
      </c>
      <c r="B55" s="76">
        <v>0</v>
      </c>
      <c r="C55" s="74">
        <v>36.9732748528127</v>
      </c>
      <c r="D55" s="74">
        <f t="shared" si="1"/>
        <v>0</v>
      </c>
    </row>
    <row r="56" spans="1:4" x14ac:dyDescent="0.25">
      <c r="A56" s="74">
        <v>210</v>
      </c>
      <c r="B56" s="76">
        <v>0</v>
      </c>
      <c r="C56" s="74">
        <v>39.408940692923998</v>
      </c>
      <c r="D56" s="74">
        <f t="shared" si="1"/>
        <v>0</v>
      </c>
    </row>
    <row r="57" spans="1:4" x14ac:dyDescent="0.25">
      <c r="A57" s="74">
        <v>215</v>
      </c>
      <c r="B57" s="76">
        <v>0</v>
      </c>
      <c r="C57" s="74">
        <v>42.362361875873297</v>
      </c>
      <c r="D57" s="74">
        <f t="shared" si="1"/>
        <v>0</v>
      </c>
    </row>
    <row r="58" spans="1:4" x14ac:dyDescent="0.25">
      <c r="A58" s="74">
        <v>220</v>
      </c>
      <c r="B58" s="76">
        <v>0</v>
      </c>
      <c r="C58" s="74">
        <v>42.615813092706802</v>
      </c>
      <c r="D58" s="74">
        <f t="shared" si="1"/>
        <v>0</v>
      </c>
    </row>
    <row r="59" spans="1:4" x14ac:dyDescent="0.25">
      <c r="A59" s="74">
        <v>225</v>
      </c>
      <c r="B59" s="76">
        <v>0</v>
      </c>
      <c r="C59" s="74">
        <v>37.7529181625939</v>
      </c>
      <c r="D59" s="74">
        <f t="shared" si="1"/>
        <v>0</v>
      </c>
    </row>
    <row r="60" spans="1:4" x14ac:dyDescent="0.25">
      <c r="A60" s="74">
        <v>230</v>
      </c>
      <c r="B60" s="76">
        <v>0</v>
      </c>
      <c r="C60" s="74">
        <v>32.387787599258502</v>
      </c>
      <c r="D60" s="74">
        <f t="shared" si="1"/>
        <v>0</v>
      </c>
    </row>
    <row r="61" spans="1:4" x14ac:dyDescent="0.25">
      <c r="A61" s="74">
        <v>235</v>
      </c>
      <c r="B61" s="76">
        <v>0</v>
      </c>
      <c r="C61" s="74">
        <v>29.074203473379999</v>
      </c>
      <c r="D61" s="74">
        <f>0.37938689+$B61*1</f>
        <v>0.37938688999999998</v>
      </c>
    </row>
    <row r="62" spans="1:4" x14ac:dyDescent="0.25">
      <c r="A62" s="74">
        <v>240</v>
      </c>
      <c r="B62" s="76">
        <v>0</v>
      </c>
      <c r="C62" s="74">
        <v>25.243888240095799</v>
      </c>
      <c r="D62" s="74">
        <f>0.0887872+$B62*1</f>
        <v>8.8787199999999997E-2</v>
      </c>
    </row>
    <row r="63" spans="1:4" x14ac:dyDescent="0.25">
      <c r="A63" s="74">
        <v>245</v>
      </c>
      <c r="B63" s="76">
        <v>0</v>
      </c>
      <c r="C63" s="74">
        <v>23.1923536253713</v>
      </c>
      <c r="D63" s="74">
        <f>2.39955691+$B63*1</f>
        <v>2.3995569099999998</v>
      </c>
    </row>
    <row r="64" spans="1:4" x14ac:dyDescent="0.25">
      <c r="A64" s="74">
        <v>250</v>
      </c>
      <c r="B64" s="76">
        <v>0</v>
      </c>
      <c r="C64" s="74">
        <v>17.992027165000302</v>
      </c>
      <c r="D64" s="74">
        <f>2.64579367+$B64*1</f>
        <v>2.6457936700000002</v>
      </c>
    </row>
    <row r="65" spans="1:4" x14ac:dyDescent="0.25">
      <c r="A65" s="74">
        <v>255</v>
      </c>
      <c r="B65" s="76">
        <v>0</v>
      </c>
      <c r="C65" s="74">
        <v>15.524985039192099</v>
      </c>
      <c r="D65" s="74">
        <f>3.19197875+$B65*1</f>
        <v>3.1919787500000001</v>
      </c>
    </row>
    <row r="66" spans="1:4" x14ac:dyDescent="0.25">
      <c r="A66" s="74">
        <v>260</v>
      </c>
      <c r="B66" s="76">
        <v>0</v>
      </c>
      <c r="C66" s="74">
        <v>11.5664258700529</v>
      </c>
      <c r="D66" s="74">
        <f>1.15123+$B66*1</f>
        <v>1.15123</v>
      </c>
    </row>
    <row r="67" spans="1:4" x14ac:dyDescent="0.25">
      <c r="A67" s="74">
        <v>265</v>
      </c>
      <c r="B67" s="76">
        <v>0</v>
      </c>
      <c r="C67" s="74">
        <v>9.00531724185754</v>
      </c>
      <c r="D67" s="74">
        <f>1.12678331+$B67*1</f>
        <v>1.12678331</v>
      </c>
    </row>
    <row r="68" spans="1:4" x14ac:dyDescent="0.25">
      <c r="A68" s="74">
        <v>270</v>
      </c>
      <c r="B68" s="76">
        <v>0</v>
      </c>
      <c r="C68" s="74">
        <v>7.5354174986042901</v>
      </c>
      <c r="D68" s="74">
        <f>0.39723613+$B68*1</f>
        <v>0.39723613000000002</v>
      </c>
    </row>
    <row r="69" spans="1:4" x14ac:dyDescent="0.25">
      <c r="A69" s="74">
        <v>275</v>
      </c>
      <c r="B69" s="76">
        <v>0</v>
      </c>
      <c r="C69" s="74">
        <v>9.6122361062171393</v>
      </c>
      <c r="D69" s="74">
        <f>0.13350206+$B69*1</f>
        <v>0.13350206000000001</v>
      </c>
    </row>
    <row r="70" spans="1:4" x14ac:dyDescent="0.25">
      <c r="A70" s="74">
        <v>280</v>
      </c>
      <c r="B70" s="76">
        <v>0</v>
      </c>
      <c r="C70" s="74">
        <v>9.4328524120396899</v>
      </c>
      <c r="D70" s="74">
        <f>0+$B70*1</f>
        <v>0</v>
      </c>
    </row>
    <row r="71" spans="1:4" x14ac:dyDescent="0.25">
      <c r="A71" s="74">
        <v>285</v>
      </c>
      <c r="B71" s="76">
        <v>0</v>
      </c>
      <c r="C71" s="74">
        <v>12.407990621860399</v>
      </c>
      <c r="D71" s="74">
        <f>0+$B71*1</f>
        <v>0</v>
      </c>
    </row>
    <row r="72" spans="1:4" x14ac:dyDescent="0.25">
      <c r="A72" s="74">
        <v>290</v>
      </c>
      <c r="B72" s="76">
        <v>0</v>
      </c>
      <c r="C72" s="74">
        <v>14.632196365103001</v>
      </c>
      <c r="D72" s="74">
        <f>0+$B72*1</f>
        <v>0</v>
      </c>
    </row>
    <row r="73" spans="1:4" x14ac:dyDescent="0.25">
      <c r="A73" s="74">
        <v>295</v>
      </c>
      <c r="B73" s="76">
        <v>0</v>
      </c>
      <c r="C73" s="74">
        <v>23.088586456757699</v>
      </c>
      <c r="D73" s="74">
        <f>0+$B73*1</f>
        <v>0</v>
      </c>
    </row>
    <row r="74" spans="1:4" x14ac:dyDescent="0.25">
      <c r="A74" s="74">
        <v>300</v>
      </c>
      <c r="B74" s="76">
        <v>0</v>
      </c>
      <c r="C74" s="74">
        <v>34.291182060437698</v>
      </c>
      <c r="D74" s="74">
        <f>0.19265322+$B74*1</f>
        <v>0.19265321999999999</v>
      </c>
    </row>
    <row r="75" spans="1:4" x14ac:dyDescent="0.25">
      <c r="A75" s="74">
        <v>305</v>
      </c>
      <c r="B75" s="76">
        <v>0</v>
      </c>
      <c r="C75" s="74">
        <v>42.305127540550203</v>
      </c>
      <c r="D75" s="74">
        <f>6.17440724+$B75*1</f>
        <v>6.1744072399999999</v>
      </c>
    </row>
    <row r="76" spans="1:4" x14ac:dyDescent="0.25">
      <c r="A76" s="74">
        <v>310</v>
      </c>
      <c r="B76" s="76">
        <v>0</v>
      </c>
      <c r="C76" s="74">
        <v>50.757731397199599</v>
      </c>
      <c r="D76" s="74">
        <f>7.93852711+$B76*1</f>
        <v>7.9385271099999999</v>
      </c>
    </row>
    <row r="77" spans="1:4" x14ac:dyDescent="0.25">
      <c r="A77" s="74">
        <v>315</v>
      </c>
      <c r="B77" s="76">
        <v>0</v>
      </c>
      <c r="C77" s="74">
        <v>52.713150327393699</v>
      </c>
      <c r="D77" s="74">
        <f>9.95511825+$B77*1</f>
        <v>9.9551182499999999</v>
      </c>
    </row>
    <row r="78" spans="1:4" x14ac:dyDescent="0.25">
      <c r="A78" s="74">
        <v>320</v>
      </c>
      <c r="B78" s="76">
        <v>0</v>
      </c>
      <c r="C78" s="74">
        <v>56.5167742764216</v>
      </c>
      <c r="D78" s="74">
        <f>12.63590977+$B78*1</f>
        <v>12.63590977</v>
      </c>
    </row>
    <row r="79" spans="1:4" x14ac:dyDescent="0.25">
      <c r="A79" s="74">
        <v>325</v>
      </c>
      <c r="B79" s="76">
        <v>0</v>
      </c>
      <c r="C79" s="74">
        <v>58.917324392705602</v>
      </c>
      <c r="D79" s="74">
        <f>12.55638279+$B79*1</f>
        <v>12.556382790000001</v>
      </c>
    </row>
    <row r="80" spans="1:4" x14ac:dyDescent="0.25">
      <c r="A80" s="74">
        <v>330</v>
      </c>
      <c r="B80" s="76">
        <v>0</v>
      </c>
      <c r="C80" s="74">
        <v>63.377614218786398</v>
      </c>
      <c r="D80" s="74">
        <f>11.62380263+$B80*1</f>
        <v>11.62380263</v>
      </c>
    </row>
    <row r="81" spans="1:4" x14ac:dyDescent="0.25">
      <c r="A81" s="74">
        <v>335</v>
      </c>
      <c r="B81" s="76">
        <v>0</v>
      </c>
      <c r="C81" s="74">
        <v>64.368207800234401</v>
      </c>
      <c r="D81" s="74">
        <f>1.13120663+$B81*1</f>
        <v>1.1312066300000001</v>
      </c>
    </row>
    <row r="82" spans="1:4" x14ac:dyDescent="0.25">
      <c r="A82" s="74">
        <v>340</v>
      </c>
      <c r="B82" s="76">
        <v>0</v>
      </c>
      <c r="C82" s="74">
        <v>66.490554179315595</v>
      </c>
      <c r="D82" s="74">
        <f t="shared" ref="D82:D99" si="2">0+$B82*1</f>
        <v>0</v>
      </c>
    </row>
    <row r="83" spans="1:4" x14ac:dyDescent="0.25">
      <c r="A83" s="74">
        <v>345</v>
      </c>
      <c r="B83" s="76">
        <v>0</v>
      </c>
      <c r="C83" s="74">
        <v>72.059747219016202</v>
      </c>
      <c r="D83" s="74">
        <f t="shared" si="2"/>
        <v>0</v>
      </c>
    </row>
    <row r="84" spans="1:4" x14ac:dyDescent="0.25">
      <c r="A84" s="74">
        <v>350</v>
      </c>
      <c r="B84" s="76">
        <v>0</v>
      </c>
      <c r="C84" s="74">
        <v>68.023736841555703</v>
      </c>
      <c r="D84" s="74">
        <f t="shared" si="2"/>
        <v>0</v>
      </c>
    </row>
    <row r="85" spans="1:4" x14ac:dyDescent="0.25">
      <c r="A85" s="74">
        <v>355</v>
      </c>
      <c r="B85" s="76">
        <v>0</v>
      </c>
      <c r="C85" s="74">
        <v>64.057005334248103</v>
      </c>
      <c r="D85" s="74">
        <f t="shared" si="2"/>
        <v>0</v>
      </c>
    </row>
    <row r="86" spans="1:4" x14ac:dyDescent="0.25">
      <c r="A86" s="74">
        <v>360</v>
      </c>
      <c r="B86" s="76">
        <v>0</v>
      </c>
      <c r="C86" s="74">
        <v>58.611432017816099</v>
      </c>
      <c r="D86" s="74">
        <f t="shared" si="2"/>
        <v>0</v>
      </c>
    </row>
    <row r="87" spans="1:4" x14ac:dyDescent="0.25">
      <c r="A87" s="74">
        <v>365</v>
      </c>
      <c r="B87" s="76">
        <v>0</v>
      </c>
      <c r="C87" s="74">
        <v>51.159852263757003</v>
      </c>
      <c r="D87" s="74">
        <f t="shared" si="2"/>
        <v>0</v>
      </c>
    </row>
    <row r="88" spans="1:4" x14ac:dyDescent="0.25">
      <c r="A88" s="74">
        <v>370</v>
      </c>
      <c r="B88" s="76">
        <v>0</v>
      </c>
      <c r="C88" s="74">
        <v>45.424534367355101</v>
      </c>
      <c r="D88" s="74">
        <f t="shared" si="2"/>
        <v>0</v>
      </c>
    </row>
    <row r="89" spans="1:4" x14ac:dyDescent="0.25">
      <c r="A89" s="74">
        <v>375</v>
      </c>
      <c r="B89" s="76">
        <v>0</v>
      </c>
      <c r="C89" s="74">
        <v>44.932264980142897</v>
      </c>
      <c r="D89" s="74">
        <f t="shared" si="2"/>
        <v>0</v>
      </c>
    </row>
    <row r="90" spans="1:4" x14ac:dyDescent="0.25">
      <c r="A90" s="74">
        <v>380</v>
      </c>
      <c r="B90" s="76">
        <v>0</v>
      </c>
      <c r="C90" s="74">
        <v>37.193793531814798</v>
      </c>
      <c r="D90" s="74">
        <f t="shared" si="2"/>
        <v>0</v>
      </c>
    </row>
    <row r="91" spans="1:4" x14ac:dyDescent="0.25">
      <c r="A91" s="74">
        <v>385</v>
      </c>
      <c r="B91" s="76">
        <v>0</v>
      </c>
      <c r="C91" s="74">
        <v>30.413261036617001</v>
      </c>
      <c r="D91" s="74">
        <f t="shared" si="2"/>
        <v>0</v>
      </c>
    </row>
    <row r="92" spans="1:4" x14ac:dyDescent="0.25">
      <c r="A92" s="74">
        <v>390</v>
      </c>
      <c r="B92" s="76">
        <v>0</v>
      </c>
      <c r="C92" s="74">
        <v>24.302395270413299</v>
      </c>
      <c r="D92" s="74">
        <f t="shared" si="2"/>
        <v>0</v>
      </c>
    </row>
    <row r="93" spans="1:4" x14ac:dyDescent="0.25">
      <c r="A93" s="74">
        <v>395</v>
      </c>
      <c r="B93" s="76">
        <v>0</v>
      </c>
      <c r="C93" s="74">
        <v>18.944753012130501</v>
      </c>
      <c r="D93" s="74">
        <f t="shared" si="2"/>
        <v>0</v>
      </c>
    </row>
    <row r="94" spans="1:4" x14ac:dyDescent="0.25">
      <c r="A94" s="74">
        <v>400</v>
      </c>
      <c r="B94" s="76">
        <v>3.9789125551085899E-4</v>
      </c>
      <c r="C94" s="74">
        <v>19.841220902915399</v>
      </c>
      <c r="D94" s="74">
        <f t="shared" si="2"/>
        <v>3.9789125551085899E-4</v>
      </c>
    </row>
    <row r="95" spans="1:4" x14ac:dyDescent="0.25">
      <c r="A95" s="74">
        <v>405</v>
      </c>
      <c r="B95" s="76">
        <v>0</v>
      </c>
      <c r="C95" s="74">
        <v>16.816642967043599</v>
      </c>
      <c r="D95" s="74">
        <f t="shared" si="2"/>
        <v>0</v>
      </c>
    </row>
    <row r="96" spans="1:4" x14ac:dyDescent="0.25">
      <c r="A96" s="74">
        <v>410</v>
      </c>
      <c r="B96" s="76">
        <v>0</v>
      </c>
      <c r="C96" s="74">
        <v>20.069197931810798</v>
      </c>
      <c r="D96" s="74">
        <f t="shared" si="2"/>
        <v>0</v>
      </c>
    </row>
    <row r="97" spans="1:4" x14ac:dyDescent="0.25">
      <c r="A97" s="74">
        <v>415</v>
      </c>
      <c r="B97" s="76">
        <v>0</v>
      </c>
      <c r="C97" s="74">
        <v>19.942798078500299</v>
      </c>
      <c r="D97" s="74">
        <f t="shared" si="2"/>
        <v>0</v>
      </c>
    </row>
    <row r="98" spans="1:4" x14ac:dyDescent="0.25">
      <c r="A98" s="74">
        <v>420</v>
      </c>
      <c r="B98" s="76">
        <v>0</v>
      </c>
      <c r="C98" s="74">
        <v>24.007398801375601</v>
      </c>
      <c r="D98" s="74">
        <f t="shared" si="2"/>
        <v>0</v>
      </c>
    </row>
    <row r="99" spans="1:4" x14ac:dyDescent="0.25">
      <c r="A99" s="74">
        <v>425</v>
      </c>
      <c r="B99" s="76">
        <v>0</v>
      </c>
      <c r="C99" s="74">
        <v>22.808930382512902</v>
      </c>
      <c r="D99" s="74">
        <f t="shared" si="2"/>
        <v>0</v>
      </c>
    </row>
    <row r="100" spans="1:4" x14ac:dyDescent="0.25">
      <c r="A100" s="74">
        <v>430</v>
      </c>
      <c r="B100" s="76">
        <v>0</v>
      </c>
      <c r="C100" s="74">
        <v>24.172836760270702</v>
      </c>
      <c r="D100" s="74">
        <f>1.52542045+$B100*1</f>
        <v>1.5254204499999999</v>
      </c>
    </row>
    <row r="101" spans="1:4" x14ac:dyDescent="0.25">
      <c r="A101" s="74">
        <v>435</v>
      </c>
      <c r="B101" s="76">
        <v>0</v>
      </c>
      <c r="C101" s="74">
        <v>14.259680579035701</v>
      </c>
      <c r="D101" s="74">
        <f>0.0069494+$B101*1</f>
        <v>6.9493999999999997E-3</v>
      </c>
    </row>
    <row r="102" spans="1:4" x14ac:dyDescent="0.25">
      <c r="A102" s="74">
        <v>436.46100000000001</v>
      </c>
      <c r="B102" s="76">
        <v>0</v>
      </c>
      <c r="C102" s="74">
        <v>3.1486255423961</v>
      </c>
      <c r="D102" s="74">
        <f>0.04567791+$B102*1</f>
        <v>4.5677910000000002E-2</v>
      </c>
    </row>
  </sheetData>
  <pageMargins left="0.75" right="0.75" top="1" bottom="1" header="0" footer="0"/>
  <pageSetup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B1B31A18744364286DC5F33C6C85753" ma:contentTypeVersion="13" ma:contentTypeDescription="Opprett et nytt dokument." ma:contentTypeScope="" ma:versionID="05169c1c98366198eeb54649055332e5">
  <xsd:schema xmlns:xsd="http://www.w3.org/2001/XMLSchema" xmlns:xs="http://www.w3.org/2001/XMLSchema" xmlns:p="http://schemas.microsoft.com/office/2006/metadata/properties" xmlns:ns3="4c163a46-97b5-4d96-80cd-189a70d953c8" xmlns:ns4="3b91e286-f84d-40a5-b3a8-374b99d6523c" targetNamespace="http://schemas.microsoft.com/office/2006/metadata/properties" ma:root="true" ma:fieldsID="1eb24dc9d60c94cc7b74655c1c31e28d" ns3:_="" ns4:_="">
    <xsd:import namespace="4c163a46-97b5-4d96-80cd-189a70d953c8"/>
    <xsd:import namespace="3b91e286-f84d-40a5-b3a8-374b99d6523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163a46-97b5-4d96-80cd-189a70d953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91e286-f84d-40a5-b3a8-374b99d6523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59AF94C-324D-4EEF-9399-8BF91985A2E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9BBD657-C1C9-4FB4-BA59-C77283F38D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163a46-97b5-4d96-80cd-189a70d953c8"/>
    <ds:schemaRef ds:uri="3b91e286-f84d-40a5-b3a8-374b99d652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A22028B-37DC-4863-88F2-661DA5AAFDA2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4c163a46-97b5-4d96-80cd-189a70d953c8"/>
    <ds:schemaRef ds:uri="3b91e286-f84d-40a5-b3a8-374b99d6523c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Sammendrag</vt:lpstr>
      <vt:lpstr>Planering</vt:lpstr>
      <vt:lpstr>Diverse_mengder</vt:lpstr>
      <vt:lpstr>Inngår_i_planering</vt:lpstr>
      <vt:lpstr>Overbygning</vt:lpstr>
      <vt:lpstr>Areal</vt:lpstr>
      <vt:lpstr>Lengde</vt:lpstr>
      <vt:lpstr>Flåsprengning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Jakkaphan Aiemcharoenjit</dc:creator>
  <cp:lastModifiedBy>Kristina Rolland</cp:lastModifiedBy>
  <cp:lastPrinted>2020-05-22T14:09:57Z</cp:lastPrinted>
  <dcterms:created xsi:type="dcterms:W3CDTF">2017-06-07T03:21:20Z</dcterms:created>
  <dcterms:modified xsi:type="dcterms:W3CDTF">2020-05-22T14:12:46Z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  <property fmtid="{D5CDD505-2E9C-101B-9397-08002B2CF9AE}" pid="4" name="ContentTypeId">
    <vt:lpwstr>0x010100EB1B31A18744364286DC5F33C6C85753</vt:lpwstr>
  </property>
</Properties>
</file>