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koneikefet/Desktop/"/>
    </mc:Choice>
  </mc:AlternateContent>
  <xr:revisionPtr revIDLastSave="0" documentId="13_ncr:1_{3B787504-6DC0-E44D-8CDB-A3D50298D5E6}" xr6:coauthVersionLast="47" xr6:coauthVersionMax="47" xr10:uidLastSave="{00000000-0000-0000-0000-000000000000}"/>
  <bookViews>
    <workbookView xWindow="0" yWindow="500" windowWidth="25600" windowHeight="14040" xr2:uid="{83C20795-2D7C-1944-A86C-2A56EA3322F4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5" i="1" l="1"/>
  <c r="V10" i="1"/>
  <c r="V18" i="1"/>
  <c r="V123" i="1"/>
  <c r="V7" i="1"/>
  <c r="V6" i="1"/>
  <c r="V5" i="1"/>
  <c r="V110" i="1"/>
  <c r="V84" i="1"/>
  <c r="V75" i="1"/>
  <c r="V70" i="1"/>
  <c r="V64" i="1"/>
  <c r="V63" i="1"/>
  <c r="V54" i="1"/>
  <c r="V49" i="1"/>
  <c r="V48" i="1"/>
  <c r="V47" i="1"/>
  <c r="V17" i="1"/>
  <c r="V12" i="1"/>
  <c r="V51" i="1"/>
  <c r="V52" i="1"/>
  <c r="AG154" i="1"/>
  <c r="AI148" i="1"/>
  <c r="AG148" i="1"/>
  <c r="AG157" i="1"/>
  <c r="AH157" i="1"/>
  <c r="AH156" i="1"/>
  <c r="AH155" i="1"/>
  <c r="AH154" i="1"/>
  <c r="AH153" i="1"/>
  <c r="AH152" i="1"/>
  <c r="AG156" i="1"/>
  <c r="AG155" i="1"/>
  <c r="AG153" i="1"/>
  <c r="AG144" i="1"/>
  <c r="AG152" i="1"/>
  <c r="AG143" i="1"/>
  <c r="AG145" i="1"/>
  <c r="J123" i="1"/>
  <c r="Q70" i="1"/>
  <c r="Q71" i="1"/>
  <c r="Q79" i="1"/>
  <c r="Q87" i="1"/>
  <c r="Q95" i="1"/>
  <c r="Q103" i="1"/>
  <c r="Q111" i="1"/>
  <c r="Q119" i="1"/>
  <c r="P75" i="1"/>
  <c r="P83" i="1"/>
  <c r="P84" i="1"/>
  <c r="P91" i="1"/>
  <c r="P92" i="1"/>
  <c r="P99" i="1"/>
  <c r="P100" i="1"/>
  <c r="P107" i="1"/>
  <c r="P108" i="1"/>
  <c r="P115" i="1"/>
  <c r="P116" i="1"/>
  <c r="P43" i="1"/>
  <c r="K77" i="1"/>
  <c r="K78" i="1"/>
  <c r="K79" i="1"/>
  <c r="P79" i="1" s="1"/>
  <c r="K80" i="1"/>
  <c r="Q80" i="1" s="1"/>
  <c r="K81" i="1"/>
  <c r="K82" i="1"/>
  <c r="K83" i="1"/>
  <c r="Q83" i="1" s="1"/>
  <c r="K84" i="1"/>
  <c r="Q84" i="1" s="1"/>
  <c r="K85" i="1"/>
  <c r="K86" i="1"/>
  <c r="K87" i="1"/>
  <c r="P87" i="1" s="1"/>
  <c r="K88" i="1"/>
  <c r="Q88" i="1" s="1"/>
  <c r="K89" i="1"/>
  <c r="K90" i="1"/>
  <c r="K91" i="1"/>
  <c r="Q91" i="1" s="1"/>
  <c r="K92" i="1"/>
  <c r="Q92" i="1" s="1"/>
  <c r="K93" i="1"/>
  <c r="K94" i="1"/>
  <c r="K95" i="1"/>
  <c r="P95" i="1" s="1"/>
  <c r="K96" i="1"/>
  <c r="Q96" i="1" s="1"/>
  <c r="K97" i="1"/>
  <c r="K98" i="1"/>
  <c r="K99" i="1"/>
  <c r="Q99" i="1" s="1"/>
  <c r="K100" i="1"/>
  <c r="Q100" i="1" s="1"/>
  <c r="K101" i="1"/>
  <c r="K102" i="1"/>
  <c r="K103" i="1"/>
  <c r="P103" i="1" s="1"/>
  <c r="K104" i="1"/>
  <c r="Q104" i="1" s="1"/>
  <c r="K105" i="1"/>
  <c r="K106" i="1"/>
  <c r="K107" i="1"/>
  <c r="Q107" i="1" s="1"/>
  <c r="K108" i="1"/>
  <c r="Q108" i="1" s="1"/>
  <c r="K109" i="1"/>
  <c r="K110" i="1"/>
  <c r="K111" i="1"/>
  <c r="P111" i="1" s="1"/>
  <c r="K112" i="1"/>
  <c r="Q112" i="1" s="1"/>
  <c r="K113" i="1"/>
  <c r="K114" i="1"/>
  <c r="K115" i="1"/>
  <c r="Q115" i="1" s="1"/>
  <c r="K116" i="1"/>
  <c r="Q116" i="1" s="1"/>
  <c r="K117" i="1"/>
  <c r="K118" i="1"/>
  <c r="K119" i="1"/>
  <c r="P119" i="1" s="1"/>
  <c r="K120" i="1"/>
  <c r="Q120" i="1" s="1"/>
  <c r="K121" i="1"/>
  <c r="K122" i="1"/>
  <c r="K70" i="1"/>
  <c r="P70" i="1" s="1"/>
  <c r="K71" i="1"/>
  <c r="P71" i="1" s="1"/>
  <c r="K72" i="1"/>
  <c r="K73" i="1"/>
  <c r="K74" i="1"/>
  <c r="P74" i="1" s="1"/>
  <c r="K75" i="1"/>
  <c r="Q75" i="1" s="1"/>
  <c r="K76" i="1"/>
  <c r="Q76" i="1" s="1"/>
  <c r="K64" i="1"/>
  <c r="K65" i="1"/>
  <c r="K66" i="1"/>
  <c r="P66" i="1" s="1"/>
  <c r="K67" i="1"/>
  <c r="K68" i="1"/>
  <c r="Q68" i="1" s="1"/>
  <c r="K69" i="1"/>
  <c r="K63" i="1"/>
  <c r="K61" i="1"/>
  <c r="P61" i="1" s="1"/>
  <c r="K60" i="1"/>
  <c r="K54" i="1"/>
  <c r="Q54" i="1" s="1"/>
  <c r="K55" i="1"/>
  <c r="K56" i="1"/>
  <c r="K53" i="1"/>
  <c r="K43" i="1"/>
  <c r="Q43" i="1" s="1"/>
  <c r="K44" i="1"/>
  <c r="P44" i="1" s="1"/>
  <c r="K42" i="1"/>
  <c r="S124" i="1"/>
  <c r="S6" i="1"/>
  <c r="T6" i="1" s="1"/>
  <c r="AC6" i="1" s="1"/>
  <c r="S7" i="1"/>
  <c r="S8" i="1"/>
  <c r="S10" i="1"/>
  <c r="S11" i="1"/>
  <c r="S12" i="1"/>
  <c r="S13" i="1"/>
  <c r="S14" i="1"/>
  <c r="T14" i="1" s="1"/>
  <c r="S15" i="1"/>
  <c r="T15" i="1" s="1"/>
  <c r="S16" i="1"/>
  <c r="S17" i="1"/>
  <c r="S18" i="1"/>
  <c r="S19" i="1"/>
  <c r="S20" i="1"/>
  <c r="S21" i="1"/>
  <c r="T21" i="1" s="1"/>
  <c r="AI21" i="1" s="1"/>
  <c r="S22" i="1"/>
  <c r="T22" i="1" s="1"/>
  <c r="AI22" i="1" s="1"/>
  <c r="S23" i="1"/>
  <c r="S24" i="1"/>
  <c r="S25" i="1"/>
  <c r="S26" i="1"/>
  <c r="S28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6" i="1"/>
  <c r="S47" i="1"/>
  <c r="S48" i="1"/>
  <c r="S49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T122" i="1" s="1"/>
  <c r="S5" i="1"/>
  <c r="I14" i="1"/>
  <c r="I15" i="1"/>
  <c r="I9" i="1"/>
  <c r="R9" i="1"/>
  <c r="S9" i="1" s="1"/>
  <c r="I6" i="1"/>
  <c r="Q42" i="1" l="1"/>
  <c r="Q123" i="1" s="1"/>
  <c r="Q125" i="1" s="1"/>
  <c r="P42" i="1"/>
  <c r="P56" i="1"/>
  <c r="Q56" i="1"/>
  <c r="P121" i="1"/>
  <c r="Q121" i="1"/>
  <c r="P113" i="1"/>
  <c r="Q113" i="1"/>
  <c r="P105" i="1"/>
  <c r="Q105" i="1"/>
  <c r="P97" i="1"/>
  <c r="Q97" i="1"/>
  <c r="P89" i="1"/>
  <c r="Q89" i="1"/>
  <c r="P81" i="1"/>
  <c r="Q81" i="1"/>
  <c r="P76" i="1"/>
  <c r="Q61" i="1"/>
  <c r="P67" i="1"/>
  <c r="Q67" i="1"/>
  <c r="Q72" i="1"/>
  <c r="P72" i="1"/>
  <c r="P117" i="1"/>
  <c r="Q117" i="1"/>
  <c r="P109" i="1"/>
  <c r="Q109" i="1"/>
  <c r="P101" i="1"/>
  <c r="Q101" i="1"/>
  <c r="P93" i="1"/>
  <c r="Q93" i="1"/>
  <c r="P85" i="1"/>
  <c r="Q85" i="1"/>
  <c r="P77" i="1"/>
  <c r="Q77" i="1"/>
  <c r="P123" i="1"/>
  <c r="P125" i="1" s="1"/>
  <c r="K123" i="1"/>
  <c r="K125" i="1" s="1"/>
  <c r="P53" i="1"/>
  <c r="Q53" i="1"/>
  <c r="Q60" i="1"/>
  <c r="P60" i="1"/>
  <c r="Q64" i="1"/>
  <c r="P64" i="1"/>
  <c r="P73" i="1"/>
  <c r="Q73" i="1"/>
  <c r="P122" i="1"/>
  <c r="Q122" i="1"/>
  <c r="P118" i="1"/>
  <c r="Q118" i="1"/>
  <c r="P114" i="1"/>
  <c r="Q114" i="1"/>
  <c r="P110" i="1"/>
  <c r="Q110" i="1"/>
  <c r="P106" i="1"/>
  <c r="Q106" i="1"/>
  <c r="P102" i="1"/>
  <c r="Q102" i="1"/>
  <c r="P98" i="1"/>
  <c r="Q98" i="1"/>
  <c r="P94" i="1"/>
  <c r="Q94" i="1"/>
  <c r="P90" i="1"/>
  <c r="Q90" i="1"/>
  <c r="P86" i="1"/>
  <c r="Q86" i="1"/>
  <c r="P82" i="1"/>
  <c r="Q82" i="1"/>
  <c r="P78" i="1"/>
  <c r="Q78" i="1"/>
  <c r="P68" i="1"/>
  <c r="P55" i="1"/>
  <c r="Q55" i="1"/>
  <c r="Q63" i="1"/>
  <c r="P63" i="1"/>
  <c r="Q44" i="1"/>
  <c r="P54" i="1"/>
  <c r="P120" i="1"/>
  <c r="P112" i="1"/>
  <c r="P104" i="1"/>
  <c r="P96" i="1"/>
  <c r="P88" i="1"/>
  <c r="P80" i="1"/>
  <c r="P69" i="1"/>
  <c r="Q69" i="1"/>
  <c r="P65" i="1"/>
  <c r="Q65" i="1"/>
  <c r="Q74" i="1"/>
  <c r="Q66" i="1"/>
  <c r="AG6" i="1"/>
  <c r="AI6" i="1"/>
  <c r="T9" i="1"/>
  <c r="V9" i="1" s="1"/>
  <c r="V15" i="1"/>
  <c r="AG15" i="1"/>
  <c r="AH15" i="1"/>
  <c r="AI15" i="1"/>
  <c r="V14" i="1"/>
  <c r="AI14" i="1"/>
  <c r="AG14" i="1"/>
  <c r="AH14" i="1"/>
  <c r="AH6" i="1"/>
  <c r="AI9" i="1" l="1"/>
  <c r="AH9" i="1"/>
  <c r="AG9" i="1"/>
  <c r="AE14" i="1"/>
  <c r="AB14" i="1"/>
  <c r="AD14" i="1"/>
  <c r="AC14" i="1"/>
  <c r="U14" i="1"/>
  <c r="AE15" i="1"/>
  <c r="AD15" i="1"/>
  <c r="AB15" i="1"/>
  <c r="U15" i="1"/>
  <c r="AC15" i="1"/>
  <c r="U9" i="1"/>
  <c r="AD9" i="1"/>
  <c r="AE9" i="1"/>
  <c r="AC9" i="1"/>
  <c r="AB9" i="1"/>
  <c r="AE6" i="1"/>
  <c r="AD6" i="1"/>
  <c r="AB6" i="1"/>
  <c r="U6" i="1"/>
  <c r="I121" i="1"/>
  <c r="D147" i="1"/>
  <c r="E147" i="1"/>
  <c r="F123" i="1"/>
  <c r="F125" i="1" s="1"/>
  <c r="AH21" i="1"/>
  <c r="AH22" i="1"/>
  <c r="AG21" i="1"/>
  <c r="AG22" i="1"/>
  <c r="AN28" i="1"/>
  <c r="AN25" i="1"/>
  <c r="AP13" i="1"/>
  <c r="I124" i="1"/>
  <c r="I7" i="1"/>
  <c r="I8" i="1"/>
  <c r="I10" i="1"/>
  <c r="I11" i="1"/>
  <c r="I12" i="1"/>
  <c r="I13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2" i="1"/>
  <c r="I5" i="1"/>
  <c r="T8" i="1"/>
  <c r="R27" i="1"/>
  <c r="R29" i="1"/>
  <c r="T36" i="1"/>
  <c r="R50" i="1"/>
  <c r="R45" i="1"/>
  <c r="T59" i="1"/>
  <c r="T88" i="1"/>
  <c r="T110" i="1"/>
  <c r="T5" i="1"/>
  <c r="T7" i="1"/>
  <c r="AG7" i="1" s="1"/>
  <c r="T10" i="1"/>
  <c r="T11" i="1"/>
  <c r="T12" i="1"/>
  <c r="T13" i="1"/>
  <c r="T16" i="1"/>
  <c r="T17" i="1"/>
  <c r="T18" i="1"/>
  <c r="T19" i="1"/>
  <c r="V19" i="1" s="1"/>
  <c r="T20" i="1"/>
  <c r="V21" i="1"/>
  <c r="AE21" i="1" s="1"/>
  <c r="V22" i="1"/>
  <c r="AB22" i="1" s="1"/>
  <c r="T23" i="1"/>
  <c r="T24" i="1"/>
  <c r="T25" i="1"/>
  <c r="T26" i="1"/>
  <c r="T28" i="1"/>
  <c r="T30" i="1"/>
  <c r="T31" i="1"/>
  <c r="T32" i="1"/>
  <c r="T33" i="1"/>
  <c r="T34" i="1"/>
  <c r="T35" i="1"/>
  <c r="T37" i="1"/>
  <c r="T38" i="1"/>
  <c r="T39" i="1"/>
  <c r="T40" i="1"/>
  <c r="T41" i="1"/>
  <c r="T42" i="1"/>
  <c r="T43" i="1"/>
  <c r="T44" i="1"/>
  <c r="T46" i="1"/>
  <c r="T47" i="1"/>
  <c r="T48" i="1"/>
  <c r="T49" i="1"/>
  <c r="T51" i="1"/>
  <c r="T52" i="1"/>
  <c r="T53" i="1"/>
  <c r="T54" i="1"/>
  <c r="T55" i="1"/>
  <c r="T56" i="1"/>
  <c r="T57" i="1"/>
  <c r="T58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1" i="1"/>
  <c r="T112" i="1"/>
  <c r="T113" i="1"/>
  <c r="T114" i="1"/>
  <c r="T115" i="1"/>
  <c r="T116" i="1"/>
  <c r="T117" i="1"/>
  <c r="T118" i="1"/>
  <c r="T119" i="1"/>
  <c r="T120" i="1"/>
  <c r="T121" i="1"/>
  <c r="AI41" i="1" l="1"/>
  <c r="V41" i="1"/>
  <c r="AC5" i="1"/>
  <c r="AI5" i="1"/>
  <c r="AB21" i="1"/>
  <c r="S45" i="1"/>
  <c r="T45" i="1" s="1"/>
  <c r="S27" i="1"/>
  <c r="T27" i="1" s="1"/>
  <c r="AE22" i="1"/>
  <c r="S29" i="1"/>
  <c r="T29" i="1" s="1"/>
  <c r="S50" i="1"/>
  <c r="T50" i="1" s="1"/>
  <c r="AE19" i="1"/>
  <c r="AC19" i="1"/>
  <c r="AD19" i="1"/>
  <c r="AB19" i="1"/>
  <c r="V112" i="1"/>
  <c r="AI112" i="1"/>
  <c r="AG112" i="1"/>
  <c r="AH112" i="1"/>
  <c r="V95" i="1"/>
  <c r="AI95" i="1"/>
  <c r="AG95" i="1"/>
  <c r="AH95" i="1"/>
  <c r="AI78" i="1"/>
  <c r="AH78" i="1"/>
  <c r="AG78" i="1"/>
  <c r="AI57" i="1"/>
  <c r="V57" i="1"/>
  <c r="AE57" i="1" s="1"/>
  <c r="AH57" i="1"/>
  <c r="AG57" i="1"/>
  <c r="V111" i="1"/>
  <c r="AI111" i="1"/>
  <c r="AG111" i="1"/>
  <c r="AH111" i="1"/>
  <c r="V94" i="1"/>
  <c r="AI94" i="1"/>
  <c r="AH94" i="1"/>
  <c r="AG94" i="1"/>
  <c r="V81" i="1"/>
  <c r="L81" i="1" s="1"/>
  <c r="AI81" i="1"/>
  <c r="AH81" i="1"/>
  <c r="AG81" i="1"/>
  <c r="V65" i="1"/>
  <c r="AI65" i="1"/>
  <c r="AH65" i="1"/>
  <c r="AG65" i="1"/>
  <c r="V42" i="1"/>
  <c r="L42" i="1" s="1"/>
  <c r="AI42" i="1"/>
  <c r="AG42" i="1"/>
  <c r="AH42" i="1"/>
  <c r="U7" i="1"/>
  <c r="AI7" i="1"/>
  <c r="AH7" i="1"/>
  <c r="V116" i="1"/>
  <c r="AI116" i="1"/>
  <c r="AG116" i="1"/>
  <c r="AH116" i="1"/>
  <c r="V103" i="1"/>
  <c r="L103" i="1" s="1"/>
  <c r="AI103" i="1"/>
  <c r="AG103" i="1"/>
  <c r="AH103" i="1"/>
  <c r="V86" i="1"/>
  <c r="L86" i="1" s="1"/>
  <c r="AI86" i="1"/>
  <c r="AH86" i="1"/>
  <c r="AG86" i="1"/>
  <c r="AI70" i="1"/>
  <c r="AH70" i="1"/>
  <c r="AG70" i="1"/>
  <c r="U48" i="1"/>
  <c r="AI48" i="1"/>
  <c r="AH48" i="1"/>
  <c r="AG48" i="1"/>
  <c r="V115" i="1"/>
  <c r="L115" i="1" s="1"/>
  <c r="AI115" i="1"/>
  <c r="AG115" i="1"/>
  <c r="AH115" i="1"/>
  <c r="AI102" i="1"/>
  <c r="AH102" i="1"/>
  <c r="AG102" i="1"/>
  <c r="AI90" i="1"/>
  <c r="AH90" i="1"/>
  <c r="AG90" i="1"/>
  <c r="V77" i="1"/>
  <c r="L77" i="1" s="1"/>
  <c r="AI77" i="1"/>
  <c r="AH77" i="1"/>
  <c r="AG77" i="1"/>
  <c r="V69" i="1"/>
  <c r="AI69" i="1"/>
  <c r="AH69" i="1"/>
  <c r="AG69" i="1"/>
  <c r="V56" i="1"/>
  <c r="AI56" i="1"/>
  <c r="AG56" i="1"/>
  <c r="AH56" i="1"/>
  <c r="U47" i="1"/>
  <c r="AI47" i="1"/>
  <c r="AG47" i="1"/>
  <c r="AH47" i="1"/>
  <c r="V33" i="1"/>
  <c r="AI33" i="1"/>
  <c r="AG33" i="1"/>
  <c r="AH33" i="1"/>
  <c r="V23" i="1"/>
  <c r="U23" i="1" s="1"/>
  <c r="AI23" i="1"/>
  <c r="AH23" i="1"/>
  <c r="AG23" i="1"/>
  <c r="V13" i="1"/>
  <c r="U13" i="1" s="1"/>
  <c r="AI13" i="1"/>
  <c r="AH13" i="1"/>
  <c r="AG13" i="1"/>
  <c r="V122" i="1"/>
  <c r="AI122" i="1"/>
  <c r="AH122" i="1"/>
  <c r="AG122" i="1"/>
  <c r="V118" i="1"/>
  <c r="AI118" i="1"/>
  <c r="AH118" i="1"/>
  <c r="AG118" i="1"/>
  <c r="V114" i="1"/>
  <c r="L114" i="1" s="1"/>
  <c r="AI114" i="1"/>
  <c r="AH114" i="1"/>
  <c r="AG114" i="1"/>
  <c r="V109" i="1"/>
  <c r="AI109" i="1"/>
  <c r="AH109" i="1"/>
  <c r="AG109" i="1"/>
  <c r="V105" i="1"/>
  <c r="AI105" i="1"/>
  <c r="AH105" i="1"/>
  <c r="AG105" i="1"/>
  <c r="AI101" i="1"/>
  <c r="AH101" i="1"/>
  <c r="AG101" i="1"/>
  <c r="V97" i="1"/>
  <c r="AI97" i="1"/>
  <c r="AH97" i="1"/>
  <c r="AG97" i="1"/>
  <c r="AI93" i="1"/>
  <c r="AH93" i="1"/>
  <c r="AG93" i="1"/>
  <c r="V89" i="1"/>
  <c r="L89" i="1" s="1"/>
  <c r="AI89" i="1"/>
  <c r="AH89" i="1"/>
  <c r="AG89" i="1"/>
  <c r="L84" i="1"/>
  <c r="AI84" i="1"/>
  <c r="AG84" i="1"/>
  <c r="AH84" i="1"/>
  <c r="V80" i="1"/>
  <c r="L80" i="1" s="1"/>
  <c r="AI80" i="1"/>
  <c r="AG80" i="1"/>
  <c r="AH80" i="1"/>
  <c r="V76" i="1"/>
  <c r="L76" i="1" s="1"/>
  <c r="AI76" i="1"/>
  <c r="AG76" i="1"/>
  <c r="AH76" i="1"/>
  <c r="V72" i="1"/>
  <c r="L72" i="1" s="1"/>
  <c r="AI72" i="1"/>
  <c r="AG72" i="1"/>
  <c r="AH72" i="1"/>
  <c r="V68" i="1"/>
  <c r="L68" i="1" s="1"/>
  <c r="AI68" i="1"/>
  <c r="AG68" i="1"/>
  <c r="AH68" i="1"/>
  <c r="L64" i="1"/>
  <c r="AI64" i="1"/>
  <c r="AG64" i="1"/>
  <c r="AH64" i="1"/>
  <c r="V60" i="1"/>
  <c r="L60" i="1" s="1"/>
  <c r="AI60" i="1"/>
  <c r="AG60" i="1"/>
  <c r="AH60" i="1"/>
  <c r="V55" i="1"/>
  <c r="L55" i="1" s="1"/>
  <c r="AI55" i="1"/>
  <c r="AG55" i="1"/>
  <c r="AH55" i="1"/>
  <c r="AI51" i="1"/>
  <c r="AG51" i="1"/>
  <c r="AH51" i="1"/>
  <c r="V46" i="1"/>
  <c r="AI46" i="1"/>
  <c r="AG46" i="1"/>
  <c r="AH46" i="1"/>
  <c r="U41" i="1"/>
  <c r="V37" i="1"/>
  <c r="AI37" i="1"/>
  <c r="AG37" i="1"/>
  <c r="AH37" i="1"/>
  <c r="V32" i="1"/>
  <c r="AI32" i="1"/>
  <c r="AH32" i="1"/>
  <c r="AG32" i="1"/>
  <c r="V26" i="1"/>
  <c r="U26" i="1" s="1"/>
  <c r="AI26" i="1"/>
  <c r="AG26" i="1"/>
  <c r="AH26" i="1"/>
  <c r="AC22" i="1"/>
  <c r="AD22" i="1"/>
  <c r="U18" i="1"/>
  <c r="AI18" i="1"/>
  <c r="AG18" i="1"/>
  <c r="AH18" i="1"/>
  <c r="AI12" i="1"/>
  <c r="AG12" i="1"/>
  <c r="AH12" i="1"/>
  <c r="V120" i="1"/>
  <c r="L120" i="1" s="1"/>
  <c r="AI120" i="1"/>
  <c r="AG120" i="1"/>
  <c r="AH120" i="1"/>
  <c r="V107" i="1"/>
  <c r="L107" i="1" s="1"/>
  <c r="AI107" i="1"/>
  <c r="AG107" i="1"/>
  <c r="AH107" i="1"/>
  <c r="V91" i="1"/>
  <c r="L91" i="1" s="1"/>
  <c r="AI91" i="1"/>
  <c r="AG91" i="1"/>
  <c r="AH91" i="1"/>
  <c r="AI74" i="1"/>
  <c r="AH74" i="1"/>
  <c r="AG74" i="1"/>
  <c r="AI62" i="1"/>
  <c r="AH62" i="1"/>
  <c r="AG62" i="1"/>
  <c r="V119" i="1"/>
  <c r="AI119" i="1"/>
  <c r="AG119" i="1"/>
  <c r="AH119" i="1"/>
  <c r="V106" i="1"/>
  <c r="AI106" i="1"/>
  <c r="AH106" i="1"/>
  <c r="AG106" i="1"/>
  <c r="AI98" i="1"/>
  <c r="AH98" i="1"/>
  <c r="AG98" i="1"/>
  <c r="V85" i="1"/>
  <c r="AI85" i="1"/>
  <c r="AH85" i="1"/>
  <c r="AG85" i="1"/>
  <c r="V73" i="1"/>
  <c r="AI73" i="1"/>
  <c r="AH73" i="1"/>
  <c r="AG73" i="1"/>
  <c r="V61" i="1"/>
  <c r="L61" i="1" s="1"/>
  <c r="N61" i="1" s="1"/>
  <c r="AI61" i="1"/>
  <c r="AH61" i="1"/>
  <c r="AG61" i="1"/>
  <c r="U52" i="1"/>
  <c r="AI52" i="1"/>
  <c r="AH52" i="1"/>
  <c r="AG52" i="1"/>
  <c r="V38" i="1"/>
  <c r="AE38" i="1" s="1"/>
  <c r="AI38" i="1"/>
  <c r="AG38" i="1"/>
  <c r="AH38" i="1"/>
  <c r="V28" i="1"/>
  <c r="U28" i="1" s="1"/>
  <c r="AI28" i="1"/>
  <c r="AH28" i="1"/>
  <c r="AG28" i="1"/>
  <c r="AI19" i="1"/>
  <c r="AH19" i="1"/>
  <c r="AG19" i="1"/>
  <c r="AI59" i="1"/>
  <c r="AG59" i="1"/>
  <c r="AH59" i="1"/>
  <c r="AI121" i="1"/>
  <c r="AH121" i="1"/>
  <c r="AG121" i="1"/>
  <c r="V117" i="1"/>
  <c r="AI117" i="1"/>
  <c r="AH117" i="1"/>
  <c r="AG117" i="1"/>
  <c r="AI113" i="1"/>
  <c r="AH113" i="1"/>
  <c r="AG113" i="1"/>
  <c r="AI108" i="1"/>
  <c r="AG108" i="1"/>
  <c r="AH108" i="1"/>
  <c r="AI104" i="1"/>
  <c r="AG104" i="1"/>
  <c r="AH104" i="1"/>
  <c r="V100" i="1"/>
  <c r="AI100" i="1"/>
  <c r="AG100" i="1"/>
  <c r="AH100" i="1"/>
  <c r="V96" i="1"/>
  <c r="AI96" i="1"/>
  <c r="AG96" i="1"/>
  <c r="AH96" i="1"/>
  <c r="AI92" i="1"/>
  <c r="AG92" i="1"/>
  <c r="AH92" i="1"/>
  <c r="V87" i="1"/>
  <c r="AI87" i="1"/>
  <c r="AG87" i="1"/>
  <c r="AH87" i="1"/>
  <c r="V83" i="1"/>
  <c r="AI83" i="1"/>
  <c r="AG83" i="1"/>
  <c r="AH83" i="1"/>
  <c r="V79" i="1"/>
  <c r="AI79" i="1"/>
  <c r="AG79" i="1"/>
  <c r="AH79" i="1"/>
  <c r="AI75" i="1"/>
  <c r="AG75" i="1"/>
  <c r="AH75" i="1"/>
  <c r="V71" i="1"/>
  <c r="AI71" i="1"/>
  <c r="AG71" i="1"/>
  <c r="AH71" i="1"/>
  <c r="V67" i="1"/>
  <c r="AI67" i="1"/>
  <c r="AG67" i="1"/>
  <c r="AH67" i="1"/>
  <c r="AI63" i="1"/>
  <c r="AG63" i="1"/>
  <c r="AH63" i="1"/>
  <c r="AI58" i="1"/>
  <c r="AH58" i="1"/>
  <c r="AG58" i="1"/>
  <c r="AG54" i="1"/>
  <c r="AI54" i="1"/>
  <c r="AI49" i="1"/>
  <c r="AH49" i="1"/>
  <c r="AG49" i="1"/>
  <c r="V44" i="1"/>
  <c r="AI44" i="1"/>
  <c r="AH44" i="1"/>
  <c r="AG44" i="1"/>
  <c r="V40" i="1"/>
  <c r="AE40" i="1" s="1"/>
  <c r="AI40" i="1"/>
  <c r="AH40" i="1"/>
  <c r="AG40" i="1"/>
  <c r="V35" i="1"/>
  <c r="U35" i="1" s="1"/>
  <c r="AI35" i="1"/>
  <c r="AH35" i="1"/>
  <c r="AG35" i="1"/>
  <c r="V31" i="1"/>
  <c r="AI31" i="1"/>
  <c r="AH31" i="1"/>
  <c r="AG31" i="1"/>
  <c r="V25" i="1"/>
  <c r="AI25" i="1"/>
  <c r="AG25" i="1"/>
  <c r="AH25" i="1"/>
  <c r="U21" i="1"/>
  <c r="AD21" i="1"/>
  <c r="AC21" i="1"/>
  <c r="U17" i="1"/>
  <c r="AI17" i="1"/>
  <c r="AG17" i="1"/>
  <c r="AH17" i="1"/>
  <c r="V11" i="1"/>
  <c r="U11" i="1" s="1"/>
  <c r="AI11" i="1"/>
  <c r="AG11" i="1"/>
  <c r="AH11" i="1"/>
  <c r="AI110" i="1"/>
  <c r="AH110" i="1"/>
  <c r="AG110" i="1"/>
  <c r="V8" i="1"/>
  <c r="U8" i="1" s="1"/>
  <c r="AI8" i="1"/>
  <c r="AH8" i="1"/>
  <c r="AG8" i="1"/>
  <c r="AI99" i="1"/>
  <c r="AG99" i="1"/>
  <c r="AH99" i="1"/>
  <c r="V82" i="1"/>
  <c r="L82" i="1" s="1"/>
  <c r="AI82" i="1"/>
  <c r="AH82" i="1"/>
  <c r="AG82" i="1"/>
  <c r="AI66" i="1"/>
  <c r="AH66" i="1"/>
  <c r="AG66" i="1"/>
  <c r="V53" i="1"/>
  <c r="AI53" i="1"/>
  <c r="AH53" i="1"/>
  <c r="AG53" i="1"/>
  <c r="V43" i="1"/>
  <c r="AI43" i="1"/>
  <c r="AG43" i="1"/>
  <c r="AH43" i="1"/>
  <c r="V39" i="1"/>
  <c r="AE39" i="1" s="1"/>
  <c r="AI39" i="1"/>
  <c r="AH39" i="1"/>
  <c r="AG39" i="1"/>
  <c r="V34" i="1"/>
  <c r="AE34" i="1" s="1"/>
  <c r="AI34" i="1"/>
  <c r="AG34" i="1"/>
  <c r="AH34" i="1"/>
  <c r="V30" i="1"/>
  <c r="AE30" i="1" s="1"/>
  <c r="AI30" i="1"/>
  <c r="AG30" i="1"/>
  <c r="AH30" i="1"/>
  <c r="V24" i="1"/>
  <c r="U24" i="1" s="1"/>
  <c r="AI24" i="1"/>
  <c r="AG24" i="1"/>
  <c r="AH24" i="1"/>
  <c r="V20" i="1"/>
  <c r="U20" i="1" s="1"/>
  <c r="AI20" i="1"/>
  <c r="AG20" i="1"/>
  <c r="AH20" i="1"/>
  <c r="V16" i="1"/>
  <c r="U16" i="1" s="1"/>
  <c r="AI16" i="1"/>
  <c r="AG16" i="1"/>
  <c r="AG141" i="1" s="1"/>
  <c r="AH16" i="1"/>
  <c r="AH141" i="1" s="1"/>
  <c r="U10" i="1"/>
  <c r="AI10" i="1"/>
  <c r="AG10" i="1"/>
  <c r="AH10" i="1"/>
  <c r="V88" i="1"/>
  <c r="AI88" i="1"/>
  <c r="AG88" i="1"/>
  <c r="AH88" i="1"/>
  <c r="V36" i="1"/>
  <c r="AE36" i="1" s="1"/>
  <c r="AI36" i="1"/>
  <c r="AH36" i="1"/>
  <c r="AG36" i="1"/>
  <c r="AH5" i="1"/>
  <c r="AG5" i="1"/>
  <c r="AC41" i="1"/>
  <c r="AD41" i="1"/>
  <c r="AB41" i="1"/>
  <c r="AH41" i="1"/>
  <c r="AG41" i="1"/>
  <c r="AH54" i="1"/>
  <c r="AB82" i="1"/>
  <c r="M82" i="1" s="1"/>
  <c r="AB86" i="1"/>
  <c r="M86" i="1" s="1"/>
  <c r="AB106" i="1"/>
  <c r="AB91" i="1"/>
  <c r="M91" i="1" s="1"/>
  <c r="AB64" i="1"/>
  <c r="M64" i="1" s="1"/>
  <c r="AE42" i="1"/>
  <c r="AE41" i="1"/>
  <c r="U25" i="1"/>
  <c r="V104" i="1"/>
  <c r="L104" i="1" s="1"/>
  <c r="L54" i="1"/>
  <c r="U89" i="1"/>
  <c r="U103" i="1"/>
  <c r="V121" i="1"/>
  <c r="L121" i="1" s="1"/>
  <c r="V113" i="1"/>
  <c r="L113" i="1" s="1"/>
  <c r="V108" i="1"/>
  <c r="L108" i="1" s="1"/>
  <c r="V99" i="1"/>
  <c r="L99" i="1" s="1"/>
  <c r="V78" i="1"/>
  <c r="L78" i="1" s="1"/>
  <c r="V102" i="1"/>
  <c r="L102" i="1" s="1"/>
  <c r="V93" i="1"/>
  <c r="L93" i="1" s="1"/>
  <c r="V74" i="1"/>
  <c r="L74" i="1" s="1"/>
  <c r="V59" i="1"/>
  <c r="U77" i="1"/>
  <c r="V98" i="1"/>
  <c r="L98" i="1" s="1"/>
  <c r="V66" i="1"/>
  <c r="L66" i="1" s="1"/>
  <c r="V62" i="1"/>
  <c r="V101" i="1"/>
  <c r="L101" i="1" s="1"/>
  <c r="V92" i="1"/>
  <c r="L92" i="1" s="1"/>
  <c r="V90" i="1"/>
  <c r="L90" i="1" s="1"/>
  <c r="L70" i="1"/>
  <c r="V58" i="1"/>
  <c r="U82" i="1"/>
  <c r="U86" i="1"/>
  <c r="U107" i="1"/>
  <c r="U31" i="1"/>
  <c r="U12" i="1"/>
  <c r="U115" i="1"/>
  <c r="U19" i="1"/>
  <c r="U114" i="1"/>
  <c r="U84" i="1"/>
  <c r="U72" i="1"/>
  <c r="U68" i="1"/>
  <c r="U51" i="1"/>
  <c r="U46" i="1"/>
  <c r="U22" i="1"/>
  <c r="I123" i="1"/>
  <c r="I125" i="1" s="1"/>
  <c r="U32" i="1"/>
  <c r="T124" i="1"/>
  <c r="N92" i="1" l="1"/>
  <c r="U110" i="1"/>
  <c r="L110" i="1"/>
  <c r="N55" i="1"/>
  <c r="N60" i="1"/>
  <c r="N64" i="1"/>
  <c r="N68" i="1"/>
  <c r="N72" i="1"/>
  <c r="N76" i="1"/>
  <c r="N80" i="1"/>
  <c r="N84" i="1"/>
  <c r="N89" i="1"/>
  <c r="N115" i="1"/>
  <c r="N98" i="1"/>
  <c r="AE85" i="1"/>
  <c r="L85" i="1"/>
  <c r="N108" i="1"/>
  <c r="N82" i="1"/>
  <c r="N107" i="1"/>
  <c r="N74" i="1"/>
  <c r="U73" i="1"/>
  <c r="L73" i="1"/>
  <c r="N93" i="1"/>
  <c r="N91" i="1"/>
  <c r="U95" i="1"/>
  <c r="L95" i="1"/>
  <c r="AB112" i="1"/>
  <c r="L112" i="1"/>
  <c r="U60" i="1"/>
  <c r="U76" i="1"/>
  <c r="U91" i="1"/>
  <c r="N70" i="1"/>
  <c r="N102" i="1"/>
  <c r="N113" i="1"/>
  <c r="U55" i="1"/>
  <c r="AE72" i="1"/>
  <c r="AE5" i="1"/>
  <c r="U88" i="1"/>
  <c r="L88" i="1"/>
  <c r="AE43" i="1"/>
  <c r="L43" i="1"/>
  <c r="AB53" i="1"/>
  <c r="L53" i="1"/>
  <c r="AB96" i="1"/>
  <c r="L96" i="1"/>
  <c r="U100" i="1"/>
  <c r="L100" i="1"/>
  <c r="U105" i="1"/>
  <c r="L105" i="1"/>
  <c r="U109" i="1"/>
  <c r="L109" i="1"/>
  <c r="N114" i="1"/>
  <c r="U118" i="1"/>
  <c r="L118" i="1"/>
  <c r="U122" i="1"/>
  <c r="L122" i="1"/>
  <c r="U56" i="1"/>
  <c r="L56" i="1"/>
  <c r="U69" i="1"/>
  <c r="L69" i="1"/>
  <c r="N77" i="1"/>
  <c r="N42" i="1"/>
  <c r="AB65" i="1"/>
  <c r="L65" i="1"/>
  <c r="N81" i="1"/>
  <c r="AE94" i="1"/>
  <c r="L94" i="1"/>
  <c r="U111" i="1"/>
  <c r="L111" i="1"/>
  <c r="N99" i="1"/>
  <c r="N104" i="1"/>
  <c r="N101" i="1"/>
  <c r="U61" i="1"/>
  <c r="AB60" i="1"/>
  <c r="M60" i="1" s="1"/>
  <c r="N120" i="1"/>
  <c r="U64" i="1"/>
  <c r="U80" i="1"/>
  <c r="U120" i="1"/>
  <c r="N90" i="1"/>
  <c r="N66" i="1"/>
  <c r="N78" i="1"/>
  <c r="N121" i="1"/>
  <c r="N54" i="1"/>
  <c r="AB115" i="1"/>
  <c r="M115" i="1" s="1"/>
  <c r="AB107" i="1"/>
  <c r="M107" i="1" s="1"/>
  <c r="AE44" i="1"/>
  <c r="L44" i="1"/>
  <c r="AB63" i="1"/>
  <c r="M63" i="1" s="1"/>
  <c r="L63" i="1"/>
  <c r="AE67" i="1"/>
  <c r="L67" i="1"/>
  <c r="AE71" i="1"/>
  <c r="L71" i="1"/>
  <c r="U75" i="1"/>
  <c r="L75" i="1"/>
  <c r="AB79" i="1"/>
  <c r="M79" i="1" s="1"/>
  <c r="L79" i="1"/>
  <c r="U83" i="1"/>
  <c r="L83" i="1"/>
  <c r="U87" i="1"/>
  <c r="L87" i="1"/>
  <c r="U117" i="1"/>
  <c r="L117" i="1"/>
  <c r="AE106" i="1"/>
  <c r="L106" i="1"/>
  <c r="U119" i="1"/>
  <c r="L119" i="1"/>
  <c r="AB97" i="1"/>
  <c r="M97" i="1" s="1"/>
  <c r="L97" i="1"/>
  <c r="N86" i="1"/>
  <c r="N103" i="1"/>
  <c r="AB116" i="1"/>
  <c r="L116" i="1"/>
  <c r="U112" i="1"/>
  <c r="AB5" i="1"/>
  <c r="AE96" i="1"/>
  <c r="AD5" i="1"/>
  <c r="AH139" i="1"/>
  <c r="U5" i="1"/>
  <c r="U53" i="1"/>
  <c r="U57" i="1"/>
  <c r="AB57" i="1"/>
  <c r="AI141" i="1"/>
  <c r="U71" i="1"/>
  <c r="AE122" i="1"/>
  <c r="U116" i="1"/>
  <c r="U63" i="1"/>
  <c r="U79" i="1"/>
  <c r="U97" i="1"/>
  <c r="AE109" i="1"/>
  <c r="AB85" i="1"/>
  <c r="M85" i="1" s="1"/>
  <c r="AI139" i="1"/>
  <c r="AI144" i="1"/>
  <c r="U65" i="1"/>
  <c r="AG139" i="1"/>
  <c r="U67" i="1"/>
  <c r="AI29" i="1"/>
  <c r="AG29" i="1"/>
  <c r="AH29" i="1"/>
  <c r="V29" i="1"/>
  <c r="U29" i="1" s="1"/>
  <c r="AI50" i="1"/>
  <c r="AG50" i="1"/>
  <c r="AH50" i="1"/>
  <c r="V50" i="1"/>
  <c r="AI27" i="1"/>
  <c r="T123" i="1"/>
  <c r="AH27" i="1"/>
  <c r="AG27" i="1"/>
  <c r="V27" i="1"/>
  <c r="U27" i="1" s="1"/>
  <c r="AI45" i="1"/>
  <c r="AI130" i="1" s="1"/>
  <c r="AH45" i="1"/>
  <c r="AH142" i="1" s="1"/>
  <c r="AG45" i="1"/>
  <c r="V45" i="1"/>
  <c r="AE45" i="1" s="1"/>
  <c r="AH129" i="1"/>
  <c r="AH140" i="1"/>
  <c r="AI133" i="1"/>
  <c r="AI147" i="1"/>
  <c r="AG146" i="1"/>
  <c r="AH145" i="1"/>
  <c r="AI143" i="1"/>
  <c r="AH146" i="1"/>
  <c r="AG129" i="1"/>
  <c r="AG140" i="1"/>
  <c r="AH147" i="1"/>
  <c r="AH133" i="1"/>
  <c r="AI146" i="1"/>
  <c r="AI145" i="1"/>
  <c r="AI123" i="1"/>
  <c r="AI129" i="1"/>
  <c r="AI140" i="1"/>
  <c r="AH144" i="1"/>
  <c r="AI132" i="1"/>
  <c r="AH143" i="1"/>
  <c r="AG147" i="1"/>
  <c r="AG133" i="1"/>
  <c r="AI142" i="1"/>
  <c r="AD92" i="1"/>
  <c r="O92" i="1" s="1"/>
  <c r="AC92" i="1"/>
  <c r="AB92" i="1"/>
  <c r="M92" i="1" s="1"/>
  <c r="AB98" i="1"/>
  <c r="M98" i="1" s="1"/>
  <c r="AD98" i="1"/>
  <c r="O98" i="1" s="1"/>
  <c r="AC98" i="1"/>
  <c r="AD93" i="1"/>
  <c r="O93" i="1" s="1"/>
  <c r="AC93" i="1"/>
  <c r="AB93" i="1"/>
  <c r="M93" i="1" s="1"/>
  <c r="AB108" i="1"/>
  <c r="M108" i="1" s="1"/>
  <c r="AD108" i="1"/>
  <c r="O108" i="1" s="1"/>
  <c r="AC108" i="1"/>
  <c r="AE82" i="1"/>
  <c r="AD82" i="1"/>
  <c r="O82" i="1" s="1"/>
  <c r="AC82" i="1"/>
  <c r="AE91" i="1"/>
  <c r="AD91" i="1"/>
  <c r="O91" i="1" s="1"/>
  <c r="AC91" i="1"/>
  <c r="AE107" i="1"/>
  <c r="AD107" i="1"/>
  <c r="O107" i="1" s="1"/>
  <c r="AC107" i="1"/>
  <c r="AE120" i="1"/>
  <c r="AD120" i="1"/>
  <c r="O120" i="1" s="1"/>
  <c r="AC120" i="1"/>
  <c r="AB120" i="1"/>
  <c r="M120" i="1" s="1"/>
  <c r="AE27" i="1"/>
  <c r="AD27" i="1"/>
  <c r="AB27" i="1"/>
  <c r="AC27" i="1"/>
  <c r="U45" i="1"/>
  <c r="AD45" i="1"/>
  <c r="AB45" i="1"/>
  <c r="AC45" i="1"/>
  <c r="AE12" i="1"/>
  <c r="AC12" i="1"/>
  <c r="AD12" i="1"/>
  <c r="AB12" i="1"/>
  <c r="AE18" i="1"/>
  <c r="AD18" i="1"/>
  <c r="AC18" i="1"/>
  <c r="AB18" i="1"/>
  <c r="AD46" i="1"/>
  <c r="AC46" i="1"/>
  <c r="AB46" i="1"/>
  <c r="AE46" i="1"/>
  <c r="AD51" i="1"/>
  <c r="AC51" i="1"/>
  <c r="AB51" i="1"/>
  <c r="AE51" i="1"/>
  <c r="AD55" i="1"/>
  <c r="O55" i="1" s="1"/>
  <c r="AC55" i="1"/>
  <c r="AB55" i="1"/>
  <c r="M55" i="1" s="1"/>
  <c r="AE55" i="1"/>
  <c r="AE60" i="1"/>
  <c r="AD60" i="1"/>
  <c r="O60" i="1" s="1"/>
  <c r="AC60" i="1"/>
  <c r="AE64" i="1"/>
  <c r="AD64" i="1"/>
  <c r="O64" i="1" s="1"/>
  <c r="AC64" i="1"/>
  <c r="AD68" i="1"/>
  <c r="O68" i="1" s="1"/>
  <c r="AC68" i="1"/>
  <c r="AB68" i="1"/>
  <c r="M68" i="1" s="1"/>
  <c r="AE68" i="1"/>
  <c r="AB72" i="1"/>
  <c r="M72" i="1" s="1"/>
  <c r="AD72" i="1"/>
  <c r="O72" i="1" s="1"/>
  <c r="AC72" i="1"/>
  <c r="AD76" i="1"/>
  <c r="O76" i="1" s="1"/>
  <c r="AC76" i="1"/>
  <c r="AE76" i="1"/>
  <c r="AB76" i="1"/>
  <c r="M76" i="1" s="1"/>
  <c r="AD80" i="1"/>
  <c r="O80" i="1" s="1"/>
  <c r="AC80" i="1"/>
  <c r="AB80" i="1"/>
  <c r="M80" i="1" s="1"/>
  <c r="AE80" i="1"/>
  <c r="AD84" i="1"/>
  <c r="O84" i="1" s="1"/>
  <c r="AC84" i="1"/>
  <c r="AE84" i="1"/>
  <c r="AB84" i="1"/>
  <c r="M84" i="1" s="1"/>
  <c r="AD89" i="1"/>
  <c r="O89" i="1" s="1"/>
  <c r="AC89" i="1"/>
  <c r="AE89" i="1"/>
  <c r="AB89" i="1"/>
  <c r="M89" i="1" s="1"/>
  <c r="AE115" i="1"/>
  <c r="AD115" i="1"/>
  <c r="O115" i="1" s="1"/>
  <c r="AC115" i="1"/>
  <c r="AE48" i="1"/>
  <c r="AD48" i="1"/>
  <c r="AC48" i="1"/>
  <c r="AB48" i="1"/>
  <c r="AB58" i="1"/>
  <c r="AD58" i="1"/>
  <c r="AC58" i="1"/>
  <c r="AD101" i="1"/>
  <c r="O101" i="1" s="1"/>
  <c r="AC101" i="1"/>
  <c r="AB101" i="1"/>
  <c r="M101" i="1" s="1"/>
  <c r="AD102" i="1"/>
  <c r="O102" i="1" s="1"/>
  <c r="AC102" i="1"/>
  <c r="AB102" i="1"/>
  <c r="M102" i="1" s="1"/>
  <c r="AD113" i="1"/>
  <c r="O113" i="1" s="1"/>
  <c r="AC113" i="1"/>
  <c r="AB113" i="1"/>
  <c r="M113" i="1" s="1"/>
  <c r="AD49" i="1"/>
  <c r="AC49" i="1"/>
  <c r="AB49" i="1"/>
  <c r="U36" i="1"/>
  <c r="AD36" i="1"/>
  <c r="AB36" i="1"/>
  <c r="AC36" i="1"/>
  <c r="AE88" i="1"/>
  <c r="AD88" i="1"/>
  <c r="AC88" i="1"/>
  <c r="AB88" i="1"/>
  <c r="M88" i="1" s="1"/>
  <c r="AE10" i="1"/>
  <c r="AD10" i="1"/>
  <c r="AC10" i="1"/>
  <c r="AB10" i="1"/>
  <c r="AE16" i="1"/>
  <c r="AD16" i="1"/>
  <c r="AC16" i="1"/>
  <c r="AB16" i="1"/>
  <c r="AE20" i="1"/>
  <c r="AC20" i="1"/>
  <c r="AD20" i="1"/>
  <c r="AB20" i="1"/>
  <c r="AE24" i="1"/>
  <c r="AD24" i="1"/>
  <c r="AC24" i="1"/>
  <c r="AB24" i="1"/>
  <c r="U30" i="1"/>
  <c r="AC30" i="1"/>
  <c r="AD30" i="1"/>
  <c r="AB30" i="1"/>
  <c r="U34" i="1"/>
  <c r="AC34" i="1"/>
  <c r="AD34" i="1"/>
  <c r="AB34" i="1"/>
  <c r="U39" i="1"/>
  <c r="AD39" i="1"/>
  <c r="AC39" i="1"/>
  <c r="AB39" i="1"/>
  <c r="U43" i="1"/>
  <c r="AC43" i="1"/>
  <c r="AD43" i="1"/>
  <c r="AB43" i="1"/>
  <c r="M43" i="1" s="1"/>
  <c r="AE53" i="1"/>
  <c r="AD53" i="1"/>
  <c r="AC53" i="1"/>
  <c r="U96" i="1"/>
  <c r="AD96" i="1"/>
  <c r="AC96" i="1"/>
  <c r="AE100" i="1"/>
  <c r="AD100" i="1"/>
  <c r="AC100" i="1"/>
  <c r="AB100" i="1"/>
  <c r="M100" i="1" s="1"/>
  <c r="AD70" i="1"/>
  <c r="O70" i="1" s="1"/>
  <c r="AC70" i="1"/>
  <c r="AB70" i="1"/>
  <c r="M70" i="1" s="1"/>
  <c r="AB62" i="1"/>
  <c r="AD62" i="1"/>
  <c r="AC62" i="1"/>
  <c r="AB59" i="1"/>
  <c r="AD59" i="1"/>
  <c r="AC59" i="1"/>
  <c r="AB78" i="1"/>
  <c r="M78" i="1" s="1"/>
  <c r="AD78" i="1"/>
  <c r="O78" i="1" s="1"/>
  <c r="AC78" i="1"/>
  <c r="AD25" i="1"/>
  <c r="AC25" i="1"/>
  <c r="AE25" i="1"/>
  <c r="AB25" i="1"/>
  <c r="AE31" i="1"/>
  <c r="AD31" i="1"/>
  <c r="AC31" i="1"/>
  <c r="AB31" i="1"/>
  <c r="AD35" i="1"/>
  <c r="AE35" i="1"/>
  <c r="AB35" i="1"/>
  <c r="AC35" i="1"/>
  <c r="U40" i="1"/>
  <c r="AD40" i="1"/>
  <c r="AC40" i="1"/>
  <c r="AB40" i="1"/>
  <c r="U44" i="1"/>
  <c r="AD44" i="1"/>
  <c r="AB44" i="1"/>
  <c r="M44" i="1" s="1"/>
  <c r="AC44" i="1"/>
  <c r="AE63" i="1"/>
  <c r="AD63" i="1"/>
  <c r="AC63" i="1"/>
  <c r="AB67" i="1"/>
  <c r="M67" i="1" s="1"/>
  <c r="AD67" i="1"/>
  <c r="AC67" i="1"/>
  <c r="AB71" i="1"/>
  <c r="M71" i="1" s="1"/>
  <c r="AD71" i="1"/>
  <c r="AC71" i="1"/>
  <c r="AD75" i="1"/>
  <c r="AE75" i="1"/>
  <c r="AB75" i="1"/>
  <c r="M75" i="1" s="1"/>
  <c r="AC75" i="1"/>
  <c r="AE79" i="1"/>
  <c r="AD79" i="1"/>
  <c r="AC79" i="1"/>
  <c r="AD83" i="1"/>
  <c r="AB83" i="1"/>
  <c r="M83" i="1" s="1"/>
  <c r="AC83" i="1"/>
  <c r="AE83" i="1"/>
  <c r="AE87" i="1"/>
  <c r="AD87" i="1"/>
  <c r="AB87" i="1"/>
  <c r="M87" i="1" s="1"/>
  <c r="AC87" i="1"/>
  <c r="AE117" i="1"/>
  <c r="AD117" i="1"/>
  <c r="AB117" i="1"/>
  <c r="M117" i="1" s="1"/>
  <c r="AC117" i="1"/>
  <c r="U106" i="1"/>
  <c r="AD106" i="1"/>
  <c r="AC106" i="1"/>
  <c r="AE119" i="1"/>
  <c r="AD119" i="1"/>
  <c r="AC119" i="1"/>
  <c r="AB119" i="1"/>
  <c r="M119" i="1" s="1"/>
  <c r="AC26" i="1"/>
  <c r="AD26" i="1"/>
  <c r="AB26" i="1"/>
  <c r="AE26" i="1"/>
  <c r="AD32" i="1"/>
  <c r="AC32" i="1"/>
  <c r="AB32" i="1"/>
  <c r="AE32" i="1"/>
  <c r="U37" i="1"/>
  <c r="AD37" i="1"/>
  <c r="AC37" i="1"/>
  <c r="AE37" i="1"/>
  <c r="AB37" i="1"/>
  <c r="AB105" i="1"/>
  <c r="M105" i="1" s="1"/>
  <c r="AD105" i="1"/>
  <c r="AC105" i="1"/>
  <c r="AE105" i="1"/>
  <c r="AB109" i="1"/>
  <c r="M109" i="1" s="1"/>
  <c r="AD109" i="1"/>
  <c r="AC109" i="1"/>
  <c r="AE114" i="1"/>
  <c r="AD114" i="1"/>
  <c r="O114" i="1" s="1"/>
  <c r="AB114" i="1"/>
  <c r="M114" i="1" s="1"/>
  <c r="AC114" i="1"/>
  <c r="AB118" i="1"/>
  <c r="M118" i="1" s="1"/>
  <c r="AD118" i="1"/>
  <c r="AC118" i="1"/>
  <c r="AE118" i="1"/>
  <c r="AB122" i="1"/>
  <c r="M122" i="1" s="1"/>
  <c r="AD122" i="1"/>
  <c r="AC122" i="1"/>
  <c r="AD29" i="1"/>
  <c r="AE13" i="1"/>
  <c r="AC13" i="1"/>
  <c r="AD13" i="1"/>
  <c r="AB13" i="1"/>
  <c r="AE23" i="1"/>
  <c r="AD23" i="1"/>
  <c r="AC23" i="1"/>
  <c r="AB23" i="1"/>
  <c r="U33" i="1"/>
  <c r="AD33" i="1"/>
  <c r="AC33" i="1"/>
  <c r="AE33" i="1"/>
  <c r="AB33" i="1"/>
  <c r="AE47" i="1"/>
  <c r="AD47" i="1"/>
  <c r="AC47" i="1"/>
  <c r="AB47" i="1"/>
  <c r="AE56" i="1"/>
  <c r="AD56" i="1"/>
  <c r="AC56" i="1"/>
  <c r="AB56" i="1"/>
  <c r="M56" i="1" s="1"/>
  <c r="AE69" i="1"/>
  <c r="AD69" i="1"/>
  <c r="AC69" i="1"/>
  <c r="AB69" i="1"/>
  <c r="M69" i="1" s="1"/>
  <c r="AE77" i="1"/>
  <c r="AD77" i="1"/>
  <c r="O77" i="1" s="1"/>
  <c r="AB77" i="1"/>
  <c r="M77" i="1" s="1"/>
  <c r="AC77" i="1"/>
  <c r="AD57" i="1"/>
  <c r="AC57" i="1"/>
  <c r="AD90" i="1"/>
  <c r="O90" i="1" s="1"/>
  <c r="AC90" i="1"/>
  <c r="AB90" i="1"/>
  <c r="M90" i="1" s="1"/>
  <c r="AB66" i="1"/>
  <c r="M66" i="1" s="1"/>
  <c r="AD66" i="1"/>
  <c r="O66" i="1" s="1"/>
  <c r="AC66" i="1"/>
  <c r="AD74" i="1"/>
  <c r="O74" i="1" s="1"/>
  <c r="AB74" i="1"/>
  <c r="M74" i="1" s="1"/>
  <c r="AC74" i="1"/>
  <c r="AB99" i="1"/>
  <c r="M99" i="1" s="1"/>
  <c r="AD99" i="1"/>
  <c r="O99" i="1" s="1"/>
  <c r="AC99" i="1"/>
  <c r="AD121" i="1"/>
  <c r="O121" i="1" s="1"/>
  <c r="AC121" i="1"/>
  <c r="AB121" i="1"/>
  <c r="M121" i="1" s="1"/>
  <c r="AB104" i="1"/>
  <c r="M104" i="1" s="1"/>
  <c r="AD104" i="1"/>
  <c r="O104" i="1" s="1"/>
  <c r="AC104" i="1"/>
  <c r="AE8" i="1"/>
  <c r="AD8" i="1"/>
  <c r="AC8" i="1"/>
  <c r="AB8" i="1"/>
  <c r="AD50" i="1"/>
  <c r="AD110" i="1"/>
  <c r="AB110" i="1"/>
  <c r="M110" i="1" s="1"/>
  <c r="AE110" i="1"/>
  <c r="AC110" i="1"/>
  <c r="AE11" i="1"/>
  <c r="AD11" i="1"/>
  <c r="AC11" i="1"/>
  <c r="AB11" i="1"/>
  <c r="AE17" i="1"/>
  <c r="AD17" i="1"/>
  <c r="AC17" i="1"/>
  <c r="AB17" i="1"/>
  <c r="AE28" i="1"/>
  <c r="AD28" i="1"/>
  <c r="AB28" i="1"/>
  <c r="AC28" i="1"/>
  <c r="U38" i="1"/>
  <c r="AD38" i="1"/>
  <c r="AC38" i="1"/>
  <c r="AB38" i="1"/>
  <c r="AE52" i="1"/>
  <c r="AD52" i="1"/>
  <c r="AC52" i="1"/>
  <c r="AB52" i="1"/>
  <c r="AE61" i="1"/>
  <c r="AD61" i="1"/>
  <c r="AC61" i="1"/>
  <c r="AB61" i="1"/>
  <c r="M61" i="1" s="1"/>
  <c r="AE73" i="1"/>
  <c r="AD73" i="1"/>
  <c r="AC73" i="1"/>
  <c r="AB73" i="1"/>
  <c r="M73" i="1" s="1"/>
  <c r="U85" i="1"/>
  <c r="AD85" i="1"/>
  <c r="AC85" i="1"/>
  <c r="AD97" i="1"/>
  <c r="AC97" i="1"/>
  <c r="AE97" i="1"/>
  <c r="AE86" i="1"/>
  <c r="AD86" i="1"/>
  <c r="O86" i="1" s="1"/>
  <c r="AC86" i="1"/>
  <c r="AE103" i="1"/>
  <c r="AD103" i="1"/>
  <c r="O103" i="1" s="1"/>
  <c r="AC103" i="1"/>
  <c r="AB103" i="1"/>
  <c r="M103" i="1" s="1"/>
  <c r="AE116" i="1"/>
  <c r="AD116" i="1"/>
  <c r="AC116" i="1"/>
  <c r="AE7" i="1"/>
  <c r="AD7" i="1"/>
  <c r="AB7" i="1"/>
  <c r="AC7" i="1"/>
  <c r="U42" i="1"/>
  <c r="AD42" i="1"/>
  <c r="O42" i="1" s="1"/>
  <c r="AC42" i="1"/>
  <c r="AB42" i="1"/>
  <c r="M42" i="1" s="1"/>
  <c r="AE65" i="1"/>
  <c r="AD65" i="1"/>
  <c r="AC65" i="1"/>
  <c r="U81" i="1"/>
  <c r="AD81" i="1"/>
  <c r="O81" i="1" s="1"/>
  <c r="AC81" i="1"/>
  <c r="AB81" i="1"/>
  <c r="M81" i="1" s="1"/>
  <c r="AE81" i="1"/>
  <c r="U94" i="1"/>
  <c r="AD94" i="1"/>
  <c r="AC94" i="1"/>
  <c r="AB94" i="1"/>
  <c r="M94" i="1" s="1"/>
  <c r="AE111" i="1"/>
  <c r="AD111" i="1"/>
  <c r="AC111" i="1"/>
  <c r="AB111" i="1"/>
  <c r="M111" i="1" s="1"/>
  <c r="AE95" i="1"/>
  <c r="AD95" i="1"/>
  <c r="AB95" i="1"/>
  <c r="M95" i="1" s="1"/>
  <c r="AC95" i="1"/>
  <c r="AE112" i="1"/>
  <c r="AD112" i="1"/>
  <c r="AC112" i="1"/>
  <c r="AH124" i="1"/>
  <c r="AG124" i="1"/>
  <c r="AI124" i="1"/>
  <c r="AB54" i="1"/>
  <c r="M54" i="1" s="1"/>
  <c r="AD54" i="1"/>
  <c r="O54" i="1" s="1"/>
  <c r="AC54" i="1"/>
  <c r="U90" i="1"/>
  <c r="AE90" i="1"/>
  <c r="U66" i="1"/>
  <c r="AE66" i="1"/>
  <c r="U74" i="1"/>
  <c r="AE74" i="1"/>
  <c r="U99" i="1"/>
  <c r="AE99" i="1"/>
  <c r="U121" i="1"/>
  <c r="AE121" i="1"/>
  <c r="U54" i="1"/>
  <c r="AE54" i="1"/>
  <c r="U92" i="1"/>
  <c r="AE92" i="1"/>
  <c r="U98" i="1"/>
  <c r="AE98" i="1"/>
  <c r="U93" i="1"/>
  <c r="AE93" i="1"/>
  <c r="U108" i="1"/>
  <c r="AE108" i="1"/>
  <c r="U104" i="1"/>
  <c r="AE104" i="1"/>
  <c r="U58" i="1"/>
  <c r="AE58" i="1"/>
  <c r="U101" i="1"/>
  <c r="AE101" i="1"/>
  <c r="U102" i="1"/>
  <c r="AE102" i="1"/>
  <c r="U113" i="1"/>
  <c r="AE113" i="1"/>
  <c r="U70" i="1"/>
  <c r="AE70" i="1"/>
  <c r="U62" i="1"/>
  <c r="AE62" i="1"/>
  <c r="U59" i="1"/>
  <c r="AE59" i="1"/>
  <c r="U78" i="1"/>
  <c r="AE78" i="1"/>
  <c r="U49" i="1"/>
  <c r="AE49" i="1"/>
  <c r="T125" i="1"/>
  <c r="V124" i="1"/>
  <c r="M123" i="1" l="1"/>
  <c r="M125" i="1" s="1"/>
  <c r="O97" i="1"/>
  <c r="N97" i="1"/>
  <c r="N106" i="1"/>
  <c r="O106" i="1"/>
  <c r="N87" i="1"/>
  <c r="O87" i="1"/>
  <c r="N79" i="1"/>
  <c r="O79" i="1"/>
  <c r="N71" i="1"/>
  <c r="O71" i="1"/>
  <c r="N63" i="1"/>
  <c r="O63" i="1"/>
  <c r="N111" i="1"/>
  <c r="O111" i="1"/>
  <c r="O69" i="1"/>
  <c r="N69" i="1"/>
  <c r="N122" i="1"/>
  <c r="O122" i="1"/>
  <c r="O105" i="1"/>
  <c r="N105" i="1"/>
  <c r="N96" i="1"/>
  <c r="O96" i="1"/>
  <c r="N43" i="1"/>
  <c r="O43" i="1"/>
  <c r="O85" i="1"/>
  <c r="N85" i="1"/>
  <c r="N110" i="1"/>
  <c r="O110" i="1"/>
  <c r="M96" i="1"/>
  <c r="M106" i="1"/>
  <c r="N112" i="1"/>
  <c r="O112" i="1"/>
  <c r="N116" i="1"/>
  <c r="O116" i="1"/>
  <c r="N119" i="1"/>
  <c r="O119" i="1"/>
  <c r="O117" i="1"/>
  <c r="N117" i="1"/>
  <c r="N83" i="1"/>
  <c r="O83" i="1"/>
  <c r="N75" i="1"/>
  <c r="O75" i="1"/>
  <c r="N67" i="1"/>
  <c r="O67" i="1"/>
  <c r="N44" i="1"/>
  <c r="O44" i="1"/>
  <c r="N94" i="1"/>
  <c r="O94" i="1"/>
  <c r="O65" i="1"/>
  <c r="N65" i="1"/>
  <c r="N56" i="1"/>
  <c r="O56" i="1"/>
  <c r="N118" i="1"/>
  <c r="O118" i="1"/>
  <c r="O109" i="1"/>
  <c r="N109" i="1"/>
  <c r="N100" i="1"/>
  <c r="O100" i="1"/>
  <c r="O53" i="1"/>
  <c r="N53" i="1"/>
  <c r="N88" i="1"/>
  <c r="O88" i="1"/>
  <c r="M112" i="1"/>
  <c r="O73" i="1"/>
  <c r="N73" i="1"/>
  <c r="M116" i="1"/>
  <c r="L123" i="1"/>
  <c r="L125" i="1" s="1"/>
  <c r="M65" i="1"/>
  <c r="M53" i="1"/>
  <c r="N95" i="1"/>
  <c r="O95" i="1"/>
  <c r="U50" i="1"/>
  <c r="AB50" i="1"/>
  <c r="AE29" i="1"/>
  <c r="AB29" i="1"/>
  <c r="AB123" i="1" s="1"/>
  <c r="AC50" i="1"/>
  <c r="AE50" i="1"/>
  <c r="AC29" i="1"/>
  <c r="AG132" i="1"/>
  <c r="AH123" i="1"/>
  <c r="AH125" i="1" s="1"/>
  <c r="AH132" i="1"/>
  <c r="AH130" i="1"/>
  <c r="AG142" i="1"/>
  <c r="AG123" i="1"/>
  <c r="AG125" i="1" s="1"/>
  <c r="AI125" i="1"/>
  <c r="AG130" i="1"/>
  <c r="AC123" i="1"/>
  <c r="AI131" i="1"/>
  <c r="AI134" i="1" s="1"/>
  <c r="AD123" i="1"/>
  <c r="AB124" i="1"/>
  <c r="AC124" i="1"/>
  <c r="AD124" i="1"/>
  <c r="AE123" i="1"/>
  <c r="U124" i="1"/>
  <c r="AE124" i="1"/>
  <c r="V125" i="1"/>
  <c r="O123" i="1" l="1"/>
  <c r="O125" i="1" s="1"/>
  <c r="N123" i="1"/>
  <c r="N125" i="1" s="1"/>
  <c r="AH131" i="1"/>
  <c r="AH134" i="1" s="1"/>
  <c r="AB125" i="1"/>
  <c r="AG131" i="1"/>
  <c r="AG134" i="1" s="1"/>
  <c r="AC125" i="1"/>
  <c r="AD125" i="1"/>
  <c r="AE125" i="1"/>
</calcChain>
</file>

<file path=xl/sharedStrings.xml><?xml version="1.0" encoding="utf-8"?>
<sst xmlns="http://schemas.openxmlformats.org/spreadsheetml/2006/main" count="1341" uniqueCount="452">
  <si>
    <t>Oversikt over fartøy som operer i Geirangerfjorden (per: 1. Jan 2019 - 31. Des 2019)</t>
  </si>
  <si>
    <t>Fartøydetaljer</t>
  </si>
  <si>
    <t>Trafikk i området</t>
  </si>
  <si>
    <t>Hotelldrift i havn</t>
  </si>
  <si>
    <t>Verdier tilknyttet motorsystem</t>
  </si>
  <si>
    <t>Drivstoffdetaljer</t>
  </si>
  <si>
    <t>Motordetaljer</t>
  </si>
  <si>
    <t>Utslippsdata</t>
  </si>
  <si>
    <t>Estimater</t>
  </si>
  <si>
    <t>Kommentar</t>
  </si>
  <si>
    <t>Kallesignal</t>
  </si>
  <si>
    <t>Fartøy</t>
  </si>
  <si>
    <t>Lengde [m]</t>
  </si>
  <si>
    <t>Segment</t>
  </si>
  <si>
    <t>Årlig seilt distanse i vernet område [Nautiske mil]</t>
  </si>
  <si>
    <t>Gjennomsnittlig seilingshastighet [Knop]</t>
  </si>
  <si>
    <t>Merket makshastighet [Knop]</t>
  </si>
  <si>
    <t xml:space="preserve">Seilingstid [h] </t>
  </si>
  <si>
    <t>Tid [h]</t>
  </si>
  <si>
    <t>Energi [kWh]</t>
  </si>
  <si>
    <t>Drivstoffmasse [kg]</t>
  </si>
  <si>
    <t>Utslipp [Tonn CO2]</t>
  </si>
  <si>
    <t>Utslipp [kg SO2]</t>
  </si>
  <si>
    <t>Utslipp [kg NOx]</t>
  </si>
  <si>
    <t>Hydrogenbehov [kg]</t>
  </si>
  <si>
    <t>Ammoniakkbehov [kg]</t>
  </si>
  <si>
    <t>Merket motoreffekt (kW) (Anno: 2019)</t>
  </si>
  <si>
    <t>Nominell effekt [kW]</t>
  </si>
  <si>
    <t>Nominell energi [kWh]</t>
  </si>
  <si>
    <t>Spesifikt drivstofforbruk [kg/h]</t>
  </si>
  <si>
    <t>Nominell drivstoffmasse [kg]</t>
  </si>
  <si>
    <t>Drivstofftype</t>
  </si>
  <si>
    <t>Motor</t>
  </si>
  <si>
    <t>Omdreininger [rpm]</t>
  </si>
  <si>
    <t>ISO-forbruk [g/kWh)</t>
  </si>
  <si>
    <t>Krav</t>
  </si>
  <si>
    <t>Utslipp [Tonn SO2]</t>
  </si>
  <si>
    <t>Utslipp [Tonn NOx]</t>
  </si>
  <si>
    <t>Faktisk energi [MWh]</t>
  </si>
  <si>
    <t>Grad av hydrogenteknisk kompatibilitet</t>
  </si>
  <si>
    <t>Hydrogenbehov ved PEM [kg]</t>
  </si>
  <si>
    <t>Hydrogenbehov ved SOFC [kg]</t>
  </si>
  <si>
    <t>Ammoniakkbehov ved SOFC [kg]</t>
  </si>
  <si>
    <t>Effektiv brennverdi</t>
  </si>
  <si>
    <t>Virkningsgrad</t>
  </si>
  <si>
    <t>Turtall</t>
  </si>
  <si>
    <t>Høy kompatibilitetsgrad</t>
  </si>
  <si>
    <t>LYZP</t>
  </si>
  <si>
    <t>Geirangerfjord</t>
  </si>
  <si>
    <t>Passasjerskip/Sightseeing</t>
  </si>
  <si>
    <t>-</t>
  </si>
  <si>
    <t>Autodiesel</t>
  </si>
  <si>
    <t>2x Scania Marin DI16 42M</t>
  </si>
  <si>
    <t>1200-1500</t>
  </si>
  <si>
    <t>Tier II</t>
  </si>
  <si>
    <t>MGO</t>
  </si>
  <si>
    <t>MJ/kg</t>
  </si>
  <si>
    <t>Høy hastighet</t>
  </si>
  <si>
    <t>&lt;300</t>
  </si>
  <si>
    <t>rpm</t>
  </si>
  <si>
    <t>Lovende kompatibilitetsgrad</t>
  </si>
  <si>
    <t>LEYO</t>
  </si>
  <si>
    <t>Geirangerfjord II</t>
  </si>
  <si>
    <t>Passasjerskip/Hurtigbåt/Sightseeing</t>
  </si>
  <si>
    <t>MDO</t>
  </si>
  <si>
    <t>2x Scania Marin DI16</t>
  </si>
  <si>
    <t>1700-2000</t>
  </si>
  <si>
    <t>Middels hastighet</t>
  </si>
  <si>
    <t>300 - 900</t>
  </si>
  <si>
    <t>Middels kompatibilitetsgrad</t>
  </si>
  <si>
    <t>LLLP</t>
  </si>
  <si>
    <t>Storegg</t>
  </si>
  <si>
    <t>Fiskefartøy</t>
  </si>
  <si>
    <t>HFO/MDO</t>
  </si>
  <si>
    <t>Lav hastighet</t>
  </si>
  <si>
    <t>Lite lovende kompatibilitetsgrad</t>
  </si>
  <si>
    <t>UBZF9</t>
  </si>
  <si>
    <t>Elden</t>
  </si>
  <si>
    <t>Passasjerskip/Yacht</t>
  </si>
  <si>
    <t xml:space="preserve">HFO </t>
  </si>
  <si>
    <t>Lav kompatibilitetsgrad</t>
  </si>
  <si>
    <t>LDDI</t>
  </si>
  <si>
    <t>Boa Heimdall</t>
  </si>
  <si>
    <t>Offshore/Taubåt</t>
  </si>
  <si>
    <t>LH2/CH2</t>
  </si>
  <si>
    <t>LEDI</t>
  </si>
  <si>
    <t>Valderøy</t>
  </si>
  <si>
    <t>Passasjerskip/Hurtigbåt</t>
  </si>
  <si>
    <t>HFO/MGO/ MDO</t>
  </si>
  <si>
    <t>CO2-faktor</t>
  </si>
  <si>
    <t>LGDB</t>
  </si>
  <si>
    <t>Oljevern 01</t>
  </si>
  <si>
    <t>Offshore/utslippskontroll</t>
  </si>
  <si>
    <t>HFO/MDO/LBF</t>
  </si>
  <si>
    <t>kg/kg</t>
  </si>
  <si>
    <t>GWAK</t>
  </si>
  <si>
    <t>Eye of the Wind</t>
  </si>
  <si>
    <t>Seilskip/Brigatin</t>
  </si>
  <si>
    <t>NH3</t>
  </si>
  <si>
    <t>9HB5924</t>
  </si>
  <si>
    <t>Imagine B</t>
  </si>
  <si>
    <t>Seilskip</t>
  </si>
  <si>
    <t>FICD</t>
  </si>
  <si>
    <t>Polaris 1</t>
  </si>
  <si>
    <t>SOx-faktor</t>
  </si>
  <si>
    <t>HFO</t>
  </si>
  <si>
    <t>ZCXP7</t>
  </si>
  <si>
    <t>Pure Bliss</t>
  </si>
  <si>
    <t>kg/tonn</t>
  </si>
  <si>
    <t>SMYP</t>
  </si>
  <si>
    <t>Stockholm av Goteborg</t>
  </si>
  <si>
    <t>PGNP</t>
  </si>
  <si>
    <t>Oosterschelde</t>
  </si>
  <si>
    <t>LFVT</t>
  </si>
  <si>
    <t>Gabriele M</t>
  </si>
  <si>
    <t>NOx-faktor</t>
  </si>
  <si>
    <t>6YRP6</t>
  </si>
  <si>
    <t>Daydream</t>
  </si>
  <si>
    <t>Ingen krav</t>
  </si>
  <si>
    <t>ZGCA6</t>
  </si>
  <si>
    <t>Awatea</t>
  </si>
  <si>
    <t>Tier I</t>
  </si>
  <si>
    <t>LHIZ</t>
  </si>
  <si>
    <t>Bruvik</t>
  </si>
  <si>
    <t xml:space="preserve">Tier II </t>
  </si>
  <si>
    <t>MDO/MGO</t>
  </si>
  <si>
    <t>LBHO</t>
  </si>
  <si>
    <t>Njord</t>
  </si>
  <si>
    <t>Kystvakt</t>
  </si>
  <si>
    <t>LBHN</t>
  </si>
  <si>
    <t>Nornen</t>
  </si>
  <si>
    <t>LAJB</t>
  </si>
  <si>
    <t>Torvaag</t>
  </si>
  <si>
    <t>Lasteskip</t>
  </si>
  <si>
    <t>ZGEH5</t>
  </si>
  <si>
    <t>Jade 959</t>
  </si>
  <si>
    <t>ZGAP6</t>
  </si>
  <si>
    <t>Latitude</t>
  </si>
  <si>
    <t>ZGEG7</t>
  </si>
  <si>
    <t>Forever one</t>
  </si>
  <si>
    <t>ZGDV3</t>
  </si>
  <si>
    <t>Astra</t>
  </si>
  <si>
    <t>ZGHJ8</t>
  </si>
  <si>
    <t>Volpini 2</t>
  </si>
  <si>
    <t>LJLM</t>
  </si>
  <si>
    <t>Christian Radich</t>
  </si>
  <si>
    <t>Seilskip/Fullrigget</t>
  </si>
  <si>
    <t>Gassturbin</t>
  </si>
  <si>
    <t>ZCXN3</t>
  </si>
  <si>
    <t>Vive la Vie</t>
  </si>
  <si>
    <t>LGPH</t>
  </si>
  <si>
    <t>Aukra</t>
  </si>
  <si>
    <t>Passasjerskip/Ferge</t>
  </si>
  <si>
    <t>LIHP</t>
  </si>
  <si>
    <t>Geiranger</t>
  </si>
  <si>
    <t>LAZZ7</t>
  </si>
  <si>
    <t>Bulkviking</t>
  </si>
  <si>
    <t>LAVT</t>
  </si>
  <si>
    <t>Bolsøy</t>
  </si>
  <si>
    <t>Wichmann 7ACAT</t>
  </si>
  <si>
    <t>400-600</t>
  </si>
  <si>
    <t>ZGFH5</t>
  </si>
  <si>
    <t>Cloudbreak</t>
  </si>
  <si>
    <t>ZCYG3</t>
  </si>
  <si>
    <t>Dytan</t>
  </si>
  <si>
    <t>LNWN</t>
  </si>
  <si>
    <t>Veøy</t>
  </si>
  <si>
    <t>Wichmann 5AX</t>
  </si>
  <si>
    <t>LEDQ</t>
  </si>
  <si>
    <t>Nystein</t>
  </si>
  <si>
    <t>LFYX</t>
  </si>
  <si>
    <t>Energy Empress</t>
  </si>
  <si>
    <t>Offshore/PSV</t>
  </si>
  <si>
    <t>LIXN</t>
  </si>
  <si>
    <t>Lofoten</t>
  </si>
  <si>
    <t>Cruise/Hurtigruten</t>
  </si>
  <si>
    <t>1x MAN B&amp;W - DM742VT2BF90</t>
  </si>
  <si>
    <t>ingen krav</t>
  </si>
  <si>
    <t>C6PG6</t>
  </si>
  <si>
    <t>Ocean adventurer</t>
  </si>
  <si>
    <t>Cruise/Passasjerskip</t>
  </si>
  <si>
    <t>2x MAN B&amp;W 8-35VF-62</t>
  </si>
  <si>
    <t>A8QL4</t>
  </si>
  <si>
    <t>Expedition</t>
  </si>
  <si>
    <t>2x MAN B&amp;W 10U45HU </t>
  </si>
  <si>
    <t>LLNV</t>
  </si>
  <si>
    <t>Gann</t>
  </si>
  <si>
    <t>2x Bergen Diesel KVM-16</t>
  </si>
  <si>
    <t>LLZY</t>
  </si>
  <si>
    <t>Vesterålen</t>
  </si>
  <si>
    <t>ZGHP3</t>
  </si>
  <si>
    <t>Anna</t>
  </si>
  <si>
    <t>LHCW</t>
  </si>
  <si>
    <t>Nordlys</t>
  </si>
  <si>
    <t>2x MaK 6M552C</t>
  </si>
  <si>
    <t>LGWH</t>
  </si>
  <si>
    <t>Richard With</t>
  </si>
  <si>
    <t>LGIY</t>
  </si>
  <si>
    <t>Kong Harald</t>
  </si>
  <si>
    <t>LHYG</t>
  </si>
  <si>
    <t>Polarlys</t>
  </si>
  <si>
    <t>2x Ulstein Bergen BRM-9</t>
  </si>
  <si>
    <t>LASQ</t>
  </si>
  <si>
    <t>Nordkapp</t>
  </si>
  <si>
    <t>3YGW</t>
  </si>
  <si>
    <t>Nordnorge</t>
  </si>
  <si>
    <t>CQSC</t>
  </si>
  <si>
    <t>Ocean majesty</t>
  </si>
  <si>
    <t>2x W16V32D</t>
  </si>
  <si>
    <t>FLDS</t>
  </si>
  <si>
    <t>Le Dumont d'Urville</t>
  </si>
  <si>
    <r>
      <t xml:space="preserve">4x W8L20 +  </t>
    </r>
    <r>
      <rPr>
        <sz val="12"/>
        <color theme="9"/>
        <rFont val="Calibri (Brødtekst)"/>
      </rPr>
      <t>4000 kW el-motor</t>
    </r>
  </si>
  <si>
    <t>900-1200</t>
  </si>
  <si>
    <t>Tier II, Tier III</t>
  </si>
  <si>
    <t>Innlagt elektrisk fremdriftsystem</t>
  </si>
  <si>
    <t>C6FR5</t>
  </si>
  <si>
    <t>Star Pride</t>
  </si>
  <si>
    <t>2x KVMB 12 - 2x KVMB 8</t>
  </si>
  <si>
    <t>750 - 825</t>
  </si>
  <si>
    <t>C6FR4</t>
  </si>
  <si>
    <t>Star Breeze</t>
  </si>
  <si>
    <t>LDBE</t>
  </si>
  <si>
    <t>Finnmarken</t>
  </si>
  <si>
    <t>2x W9L32</t>
  </si>
  <si>
    <t>LLVT</t>
  </si>
  <si>
    <t>Trollfjord</t>
  </si>
  <si>
    <t>LEFO</t>
  </si>
  <si>
    <t>Midnatsol</t>
  </si>
  <si>
    <t>9HA5276</t>
  </si>
  <si>
    <t>Hanseatic nature</t>
  </si>
  <si>
    <t>4x MAK 8M25E</t>
  </si>
  <si>
    <t>720-750</t>
  </si>
  <si>
    <t>9HA2295</t>
  </si>
  <si>
    <t>Dream Goddess (Berlin)</t>
  </si>
  <si>
    <t>2x MaK 12M453AK</t>
  </si>
  <si>
    <t>LAZP7</t>
  </si>
  <si>
    <t>Roald Amundsen</t>
  </si>
  <si>
    <t>HFO/MDO/MGO</t>
  </si>
  <si>
    <r>
      <t>4x B33:45L6 +</t>
    </r>
    <r>
      <rPr>
        <sz val="12"/>
        <color theme="9"/>
        <rFont val="Calibri (Brødtekst)"/>
      </rPr>
      <t xml:space="preserve"> 1,36 MWh batteripakke</t>
    </r>
  </si>
  <si>
    <t>Innlagt elektrisk energilagringssystem</t>
  </si>
  <si>
    <t>FLTU</t>
  </si>
  <si>
    <t>L'Austral</t>
  </si>
  <si>
    <t>4x W8L20</t>
  </si>
  <si>
    <t>FLSY</t>
  </si>
  <si>
    <t>Le Boreal</t>
  </si>
  <si>
    <t>C6OX6</t>
  </si>
  <si>
    <t>Hamburg</t>
  </si>
  <si>
    <t>4x W6L32</t>
  </si>
  <si>
    <t>C6FG2</t>
  </si>
  <si>
    <t>Silver Wind</t>
  </si>
  <si>
    <t>HFO/MDO/LD</t>
  </si>
  <si>
    <t>2x W6R46</t>
  </si>
  <si>
    <t>CQRW</t>
  </si>
  <si>
    <t>Astoria</t>
  </si>
  <si>
    <t>2x W16V32</t>
  </si>
  <si>
    <t>C6BZ6</t>
  </si>
  <si>
    <t>World Odyssey (Deutschland)</t>
  </si>
  <si>
    <t>2x MaK-DMR 8M32 - 2x MaK-DMR 6M32</t>
  </si>
  <si>
    <t>C6JR3</t>
  </si>
  <si>
    <t>Astor</t>
  </si>
  <si>
    <t>2x W6ZAL40 - 2x W8ZAL40</t>
  </si>
  <si>
    <t>C6JZ7</t>
  </si>
  <si>
    <t>Marco Polo</t>
  </si>
  <si>
    <t>2x Sulzer-Cegielski 7RND76</t>
  </si>
  <si>
    <t>ZCDS3</t>
  </si>
  <si>
    <t>Pacific Princess</t>
  </si>
  <si>
    <t>4x W12V32</t>
  </si>
  <si>
    <t>9HOB8</t>
  </si>
  <si>
    <t>Azamara Journey</t>
  </si>
  <si>
    <t>4x W12V32LNE</t>
  </si>
  <si>
    <t>C6WE9</t>
  </si>
  <si>
    <t>Amadea</t>
  </si>
  <si>
    <t>2x MAN 7 L 58/64</t>
  </si>
  <si>
    <t>9HA5275</t>
  </si>
  <si>
    <t>Europa</t>
  </si>
  <si>
    <t>2x MAN B&amp;W 7ZYL 40/54 - 2x 8ZYL 40/54</t>
  </si>
  <si>
    <t>500-550</t>
  </si>
  <si>
    <t>C6ER4</t>
  </si>
  <si>
    <t>Blue Sapphire ( Saga Sapphire)</t>
  </si>
  <si>
    <t>1x MAN K7SZ70/125B</t>
  </si>
  <si>
    <t>IBNZ</t>
  </si>
  <si>
    <t>Aidaaura</t>
  </si>
  <si>
    <t>2x W12V38B - 1x W8L38B - 1x W6L38B</t>
  </si>
  <si>
    <t>C6EA7</t>
  </si>
  <si>
    <t>Amera (Prinsendam)</t>
  </si>
  <si>
    <t>4x Wärtsilä-Sulzer 8ZAL40S</t>
  </si>
  <si>
    <t>C6CN4</t>
  </si>
  <si>
    <t>Albatros</t>
  </si>
  <si>
    <t>4x W6L38A</t>
  </si>
  <si>
    <t>C6VA3</t>
  </si>
  <si>
    <t>Boudicca</t>
  </si>
  <si>
    <t>4x MAN 7L32/40</t>
  </si>
  <si>
    <t>3EOW3</t>
  </si>
  <si>
    <t>Zenith</t>
  </si>
  <si>
    <t>2x MAN B&amp;W 6L40/54 - 2x MAN B&amp;W 9L40/54</t>
  </si>
  <si>
    <t>C6XU6</t>
  </si>
  <si>
    <t>Silver Spirit</t>
  </si>
  <si>
    <t>4x W9L38B</t>
  </si>
  <si>
    <t>C6114</t>
  </si>
  <si>
    <t>Balmoral</t>
  </si>
  <si>
    <t>2x MaK 6M35 - 2x MaK 8M601</t>
  </si>
  <si>
    <t>500 - 514</t>
  </si>
  <si>
    <t>C6EG8</t>
  </si>
  <si>
    <t>Vasco da Gama</t>
  </si>
  <si>
    <t>2x W S12ZAV40S - 3x W S8ZAL40</t>
  </si>
  <si>
    <t>C6BR5</t>
  </si>
  <si>
    <t>Magellan</t>
  </si>
  <si>
    <t>2x Sulzer 7 RLB 66</t>
  </si>
  <si>
    <t>V7QK9</t>
  </si>
  <si>
    <t>Seven Seas Explorer</t>
  </si>
  <si>
    <t>4x MaK 8M43C/514</t>
  </si>
  <si>
    <t>9HA3283</t>
  </si>
  <si>
    <t>Europa 2</t>
  </si>
  <si>
    <t>4x MAK 6M43C</t>
  </si>
  <si>
    <t>LAWP7</t>
  </si>
  <si>
    <t>Viking Sea</t>
  </si>
  <si>
    <t>2x MAN 9L32/44CR - 2x MAN 12V32/44CR</t>
  </si>
  <si>
    <t>Planlegger omlegging til hydrogendrift</t>
  </si>
  <si>
    <t>LAYP7</t>
  </si>
  <si>
    <t>Viking Jupiter</t>
  </si>
  <si>
    <t>LAYU7</t>
  </si>
  <si>
    <t>Viking Sky</t>
  </si>
  <si>
    <t>LAYT7</t>
  </si>
  <si>
    <t>Viking Sun</t>
  </si>
  <si>
    <t>C6CY5</t>
  </si>
  <si>
    <t>Artania</t>
  </si>
  <si>
    <t>MEYE7</t>
  </si>
  <si>
    <t>Spirit of Discovery</t>
  </si>
  <si>
    <t>4x MAN B&amp;W 9L32/44CR</t>
  </si>
  <si>
    <t>PDGS</t>
  </si>
  <si>
    <t>Borealis (Rotterdam)</t>
  </si>
  <si>
    <t>5x Sulzer type 16ZAV40S</t>
  </si>
  <si>
    <t>V7SK2</t>
  </si>
  <si>
    <t>Marina</t>
  </si>
  <si>
    <t>2x W8L46C - 2x W12V46C</t>
  </si>
  <si>
    <t>C6CP4</t>
  </si>
  <si>
    <t>Columbus</t>
  </si>
  <si>
    <t>4 x MAN B&amp;W 8L58/64</t>
  </si>
  <si>
    <t>C6SY3</t>
  </si>
  <si>
    <t>Crystal Serenity</t>
  </si>
  <si>
    <t>6x W12V38B</t>
  </si>
  <si>
    <t>ICDH</t>
  </si>
  <si>
    <t>Aidadiva</t>
  </si>
  <si>
    <t>4x MaK M43C</t>
  </si>
  <si>
    <t>ICGS</t>
  </si>
  <si>
    <t>Aidabella</t>
  </si>
  <si>
    <t>4x MAK 9M43C</t>
  </si>
  <si>
    <t>ICPE</t>
  </si>
  <si>
    <t>Aidasol</t>
  </si>
  <si>
    <t>4 x MAK 9M43C</t>
  </si>
  <si>
    <t>9HJH9</t>
  </si>
  <si>
    <t>Marrela Explorer</t>
  </si>
  <si>
    <t>2x MAN B&amp;W 6L48/60 - 2x9L48/60</t>
  </si>
  <si>
    <t>C6TQ6</t>
  </si>
  <si>
    <t>Norwegian Spirit</t>
  </si>
  <si>
    <t>4x MAN B&amp;W 14V48/60</t>
  </si>
  <si>
    <t>ZCDW9</t>
  </si>
  <si>
    <t>Aurora</t>
  </si>
  <si>
    <t>ZCDN2</t>
  </si>
  <si>
    <t>Arcadia</t>
  </si>
  <si>
    <t>4x 16ZAV40S - 2x 12ZAV40S</t>
  </si>
  <si>
    <t>500 - 510</t>
  </si>
  <si>
    <t>ICJA</t>
  </si>
  <si>
    <t>Costa Pacifica</t>
  </si>
  <si>
    <t>2x W12V46C - 4x W16V46C</t>
  </si>
  <si>
    <t>ICPK</t>
  </si>
  <si>
    <t>Costa Favolosa</t>
  </si>
  <si>
    <t>6x W12V46C</t>
  </si>
  <si>
    <t>2HFS6</t>
  </si>
  <si>
    <t>Sapphire Princess</t>
  </si>
  <si>
    <t>2x W8L46C - 2x W9L46C</t>
  </si>
  <si>
    <t>IBCF</t>
  </si>
  <si>
    <t>Costa Mediterranea</t>
  </si>
  <si>
    <t>6x W9R46</t>
  </si>
  <si>
    <t>9HA3062</t>
  </si>
  <si>
    <t>Mein Schiff 3</t>
  </si>
  <si>
    <t>2x W8L46F - 2x W12V46</t>
  </si>
  <si>
    <t>9HA3513</t>
  </si>
  <si>
    <t>Mein Schiff 4</t>
  </si>
  <si>
    <t>2x W12V46F - 2x W8L46F</t>
  </si>
  <si>
    <t>C6FV8</t>
  </si>
  <si>
    <t>Serenade of the Seas</t>
  </si>
  <si>
    <t>2x GE gasturbine type LM 2500</t>
  </si>
  <si>
    <t>9HA3858</t>
  </si>
  <si>
    <t>Mein Schiff 5</t>
  </si>
  <si>
    <t>2x W12V46FA2-TP - 2x W8L46FA2-TP</t>
  </si>
  <si>
    <t>3EPL4</t>
  </si>
  <si>
    <t>MSC Poesia</t>
  </si>
  <si>
    <t>5x W16V38B</t>
  </si>
  <si>
    <t>C6PT7</t>
  </si>
  <si>
    <t>Disney Magic</t>
  </si>
  <si>
    <t>5x Sulzer 16ZAV40S</t>
  </si>
  <si>
    <t>C6VG7</t>
  </si>
  <si>
    <t>Norwegian Pearl</t>
  </si>
  <si>
    <t>5x MAN B&amp;W12V48/60B</t>
  </si>
  <si>
    <t>PBCO</t>
  </si>
  <si>
    <t>Nieuw Statendam</t>
  </si>
  <si>
    <t>HFO/MGO/MDO</t>
  </si>
  <si>
    <t>4x MaK 12VM43C</t>
  </si>
  <si>
    <t>C6SE4</t>
  </si>
  <si>
    <t>Explorer of the Seas</t>
  </si>
  <si>
    <t>5x W12V46</t>
  </si>
  <si>
    <t>9HA2583</t>
  </si>
  <si>
    <t>Celebrity Silhouette</t>
  </si>
  <si>
    <t>4x MAN 14V48/60 CR</t>
  </si>
  <si>
    <t>9HA4683</t>
  </si>
  <si>
    <t>Mein Schiff 1</t>
  </si>
  <si>
    <t>2x W12V46FA2-TP + 2x W8L46FA2-TP</t>
  </si>
  <si>
    <t>9HA4455</t>
  </si>
  <si>
    <t>MSC Meraviglia</t>
  </si>
  <si>
    <t>2x W16V46CR - 2x W12V46CR</t>
  </si>
  <si>
    <t>9HA3047</t>
  </si>
  <si>
    <t>Celebrity Reflection</t>
  </si>
  <si>
    <t>4x MAN 14V48/60</t>
  </si>
  <si>
    <t>C6ZJ4</t>
  </si>
  <si>
    <t>Norwegian Getaway</t>
  </si>
  <si>
    <t>2x MAN 14V48/60 - 2x MAN 12V48/60</t>
  </si>
  <si>
    <t>3FOA6</t>
  </si>
  <si>
    <t>MSC Preziosa</t>
  </si>
  <si>
    <t>2x W16V46CR - 3x 12V46CR</t>
  </si>
  <si>
    <t>BRUTTO SUM</t>
  </si>
  <si>
    <t>177 fartøy</t>
  </si>
  <si>
    <t>Fartøy under 24 meter</t>
  </si>
  <si>
    <t>Ukjent</t>
  </si>
  <si>
    <t>NETTO SUM</t>
  </si>
  <si>
    <t>Hydrogen- og ammoniakkestimat basert på hydrogenteknisk kompatibilitetsfaktor</t>
  </si>
  <si>
    <t>Ukjent segment</t>
  </si>
  <si>
    <t>Maksfart</t>
  </si>
  <si>
    <t>Motorstørrelse kW</t>
  </si>
  <si>
    <t>Gjennomsnittlig seilingshastighet</t>
  </si>
  <si>
    <t>Rescue DNV  II</t>
  </si>
  <si>
    <t xml:space="preserve">Segmentvis hydrogen- og ammoniakkestimat basert på hydrogenteknisk kompatibilitetsfaktor </t>
  </si>
  <si>
    <t>Tender 1</t>
  </si>
  <si>
    <t>Hydrogenteknisk kompatibilitet og segment</t>
  </si>
  <si>
    <t>Tender 2</t>
  </si>
  <si>
    <t>Hurtigbåter:</t>
  </si>
  <si>
    <t>Eye of the wind</t>
  </si>
  <si>
    <t>Ferger og Sightseeing:</t>
  </si>
  <si>
    <t>Buagutt</t>
  </si>
  <si>
    <t>Cirkeline II</t>
  </si>
  <si>
    <t>Hurtigruten:</t>
  </si>
  <si>
    <t>Vitesse Arcona 400</t>
  </si>
  <si>
    <t>Cruiseskip:</t>
  </si>
  <si>
    <t>Seilbåt 1</t>
  </si>
  <si>
    <t>Seilbåt 2</t>
  </si>
  <si>
    <t>Seilbåt 3</t>
  </si>
  <si>
    <t>1hk=</t>
  </si>
  <si>
    <t>kW</t>
  </si>
  <si>
    <t>Totalt hydrogen- og ammoniakkbehov for cruise</t>
  </si>
  <si>
    <t>SUM</t>
  </si>
  <si>
    <t>SECA etter 2015</t>
  </si>
  <si>
    <t xml:space="preserve"> &gt;900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</si>
</sst>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0"/>
    <numFmt numFmtId="166" formatCode="0.000"/>
  </numFmts>
  <fonts count="1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 (Brødtekst)"/>
    </font>
    <font>
      <sz val="12"/>
      <color rgb="FF000000"/>
      <name val="Calibri"/>
      <family val="2"/>
      <scheme val="minor"/>
    </font>
    <font>
      <sz val="12"/>
      <color theme="1"/>
      <name val="Calibri "/>
    </font>
    <font>
      <sz val="12"/>
      <color theme="1"/>
      <name val="Calibri"/>
      <family val="2"/>
    </font>
    <font>
      <sz val="12"/>
      <name val="Calibri"/>
      <family val="2"/>
      <scheme val="minor"/>
    </font>
    <font>
      <sz val="12"/>
      <color theme="9"/>
      <name val="Calibri (Brødtekst)"/>
    </font>
    <font>
      <i/>
      <sz val="12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2"/>
      <color theme="9" tint="0.39997558519241921"/>
      <name val="Calibri"/>
      <family val="2"/>
      <scheme val="minor"/>
    </font>
    <font>
      <sz val="12"/>
      <name val="Calibri (Brødtekst)"/>
    </font>
    <font>
      <sz val="12"/>
      <color theme="0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7030A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/>
    <xf numFmtId="2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/>
    <xf numFmtId="0" fontId="0" fillId="0" borderId="1" xfId="0" applyBorder="1"/>
    <xf numFmtId="0" fontId="0" fillId="0" borderId="3" xfId="0" applyBorder="1"/>
    <xf numFmtId="164" fontId="0" fillId="0" borderId="4" xfId="0" applyNumberFormat="1" applyBorder="1"/>
    <xf numFmtId="0" fontId="1" fillId="0" borderId="4" xfId="0" applyFont="1" applyBorder="1"/>
    <xf numFmtId="164" fontId="0" fillId="0" borderId="0" xfId="0" applyNumberFormat="1"/>
    <xf numFmtId="164" fontId="4" fillId="0" borderId="0" xfId="0" applyNumberFormat="1" applyFont="1"/>
    <xf numFmtId="2" fontId="0" fillId="0" borderId="2" xfId="0" applyNumberFormat="1" applyBorder="1"/>
    <xf numFmtId="0" fontId="1" fillId="0" borderId="6" xfId="0" applyFont="1" applyBorder="1"/>
    <xf numFmtId="2" fontId="0" fillId="0" borderId="7" xfId="0" applyNumberFormat="1" applyBorder="1"/>
    <xf numFmtId="2" fontId="1" fillId="0" borderId="7" xfId="0" applyNumberFormat="1" applyFont="1" applyBorder="1"/>
    <xf numFmtId="164" fontId="1" fillId="0" borderId="7" xfId="0" applyNumberFormat="1" applyFont="1" applyBorder="1"/>
    <xf numFmtId="0" fontId="2" fillId="0" borderId="4" xfId="0" applyFont="1" applyBorder="1" applyAlignment="1">
      <alignment wrapText="1"/>
    </xf>
    <xf numFmtId="0" fontId="0" fillId="3" borderId="0" xfId="0" applyFill="1"/>
    <xf numFmtId="0" fontId="0" fillId="3" borderId="5" xfId="0" applyFill="1" applyBorder="1"/>
    <xf numFmtId="0" fontId="0" fillId="3" borderId="0" xfId="0" quotePrefix="1" applyFill="1"/>
    <xf numFmtId="0" fontId="9" fillId="0" borderId="5" xfId="0" applyFont="1" applyBorder="1"/>
    <xf numFmtId="0" fontId="0" fillId="4" borderId="0" xfId="0" applyFill="1"/>
    <xf numFmtId="0" fontId="10" fillId="4" borderId="0" xfId="0" applyFont="1" applyFill="1"/>
    <xf numFmtId="165" fontId="0" fillId="0" borderId="0" xfId="0" applyNumberFormat="1"/>
    <xf numFmtId="165" fontId="1" fillId="0" borderId="7" xfId="0" applyNumberFormat="1" applyFont="1" applyBorder="1"/>
    <xf numFmtId="0" fontId="0" fillId="5" borderId="0" xfId="0" applyFill="1"/>
    <xf numFmtId="0" fontId="0" fillId="5" borderId="5" xfId="0" applyFill="1" applyBorder="1"/>
    <xf numFmtId="2" fontId="0" fillId="0" borderId="4" xfId="0" applyNumberFormat="1" applyBorder="1"/>
    <xf numFmtId="0" fontId="0" fillId="6" borderId="10" xfId="0" applyFill="1" applyBorder="1"/>
    <xf numFmtId="0" fontId="0" fillId="7" borderId="10" xfId="0" applyFill="1" applyBorder="1"/>
    <xf numFmtId="0" fontId="0" fillId="2" borderId="10" xfId="0" applyFill="1" applyBorder="1"/>
    <xf numFmtId="0" fontId="0" fillId="8" borderId="10" xfId="0" applyFill="1" applyBorder="1"/>
    <xf numFmtId="0" fontId="0" fillId="9" borderId="10" xfId="0" applyFill="1" applyBorder="1"/>
    <xf numFmtId="0" fontId="0" fillId="10" borderId="10" xfId="0" applyFill="1" applyBorder="1"/>
    <xf numFmtId="0" fontId="11" fillId="6" borderId="10" xfId="0" applyFont="1" applyFill="1" applyBorder="1"/>
    <xf numFmtId="0" fontId="12" fillId="10" borderId="10" xfId="0" applyFont="1" applyFill="1" applyBorder="1"/>
    <xf numFmtId="0" fontId="11" fillId="0" borderId="0" xfId="0" applyFont="1"/>
    <xf numFmtId="0" fontId="11" fillId="0" borderId="5" xfId="0" applyFont="1" applyBorder="1"/>
    <xf numFmtId="0" fontId="11" fillId="0" borderId="7" xfId="0" applyFont="1" applyBorder="1"/>
    <xf numFmtId="0" fontId="11" fillId="0" borderId="8" xfId="0" applyFont="1" applyBorder="1"/>
    <xf numFmtId="0" fontId="13" fillId="0" borderId="0" xfId="0" applyFont="1"/>
    <xf numFmtId="0" fontId="0" fillId="11" borderId="0" xfId="0" applyFill="1"/>
    <xf numFmtId="0" fontId="0" fillId="12" borderId="0" xfId="0" applyFill="1"/>
    <xf numFmtId="0" fontId="0" fillId="2" borderId="0" xfId="0" applyFill="1"/>
    <xf numFmtId="0" fontId="0" fillId="6" borderId="0" xfId="0" applyFill="1"/>
    <xf numFmtId="0" fontId="0" fillId="10" borderId="0" xfId="0" applyFill="1"/>
    <xf numFmtId="0" fontId="0" fillId="13" borderId="0" xfId="0" applyFill="1"/>
    <xf numFmtId="0" fontId="0" fillId="15" borderId="0" xfId="0" applyFill="1"/>
    <xf numFmtId="0" fontId="0" fillId="16" borderId="0" xfId="0" applyFill="1"/>
    <xf numFmtId="0" fontId="0" fillId="8" borderId="0" xfId="0" applyFill="1"/>
    <xf numFmtId="0" fontId="7" fillId="0" borderId="4" xfId="0" applyFont="1" applyBorder="1"/>
    <xf numFmtId="0" fontId="14" fillId="17" borderId="0" xfId="0" applyFont="1" applyFill="1"/>
    <xf numFmtId="0" fontId="14" fillId="14" borderId="0" xfId="0" applyFont="1" applyFill="1"/>
    <xf numFmtId="0" fontId="7" fillId="9" borderId="10" xfId="0" applyFont="1" applyFill="1" applyBorder="1"/>
    <xf numFmtId="2" fontId="1" fillId="0" borderId="0" xfId="0" applyNumberFormat="1" applyFont="1"/>
    <xf numFmtId="0" fontId="0" fillId="0" borderId="10" xfId="0" applyBorder="1"/>
    <xf numFmtId="0" fontId="0" fillId="0" borderId="10" xfId="0" applyBorder="1" applyAlignment="1">
      <alignment horizontal="left"/>
    </xf>
    <xf numFmtId="2" fontId="15" fillId="3" borderId="0" xfId="0" applyNumberFormat="1" applyFont="1" applyFill="1"/>
    <xf numFmtId="2" fontId="15" fillId="0" borderId="0" xfId="0" applyNumberFormat="1" applyFont="1"/>
    <xf numFmtId="2" fontId="15" fillId="12" borderId="0" xfId="0" applyNumberFormat="1" applyFont="1" applyFill="1"/>
    <xf numFmtId="2" fontId="15" fillId="3" borderId="4" xfId="0" applyNumberFormat="1" applyFont="1" applyFill="1" applyBorder="1"/>
    <xf numFmtId="2" fontId="15" fillId="12" borderId="4" xfId="0" applyNumberFormat="1" applyFont="1" applyFill="1" applyBorder="1"/>
    <xf numFmtId="2" fontId="1" fillId="0" borderId="6" xfId="0" applyNumberFormat="1" applyFont="1" applyBorder="1"/>
    <xf numFmtId="49" fontId="0" fillId="0" borderId="0" xfId="0" applyNumberFormat="1"/>
    <xf numFmtId="166" fontId="0" fillId="0" borderId="5" xfId="0" applyNumberFormat="1" applyBorder="1"/>
    <xf numFmtId="166" fontId="1" fillId="0" borderId="8" xfId="0" applyNumberFormat="1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11" xfId="0" applyBorder="1"/>
    <xf numFmtId="0" fontId="0" fillId="0" borderId="9" xfId="0" applyBorder="1"/>
    <xf numFmtId="2" fontId="0" fillId="0" borderId="5" xfId="0" applyNumberFormat="1" applyBorder="1"/>
    <xf numFmtId="2" fontId="1" fillId="0" borderId="8" xfId="0" applyNumberFormat="1" applyFont="1" applyBorder="1"/>
    <xf numFmtId="2" fontId="0" fillId="0" borderId="6" xfId="0" applyNumberFormat="1" applyBorder="1"/>
    <xf numFmtId="2" fontId="15" fillId="3" borderId="7" xfId="0" applyNumberFormat="1" applyFont="1" applyFill="1" applyBorder="1"/>
    <xf numFmtId="0" fontId="0" fillId="11" borderId="7" xfId="0" applyFill="1" applyBorder="1"/>
    <xf numFmtId="2" fontId="15" fillId="0" borderId="7" xfId="0" applyNumberFormat="1" applyFont="1" applyBorder="1"/>
    <xf numFmtId="164" fontId="0" fillId="0" borderId="6" xfId="0" applyNumberFormat="1" applyBorder="1"/>
    <xf numFmtId="164" fontId="0" fillId="0" borderId="7" xfId="0" applyNumberFormat="1" applyBorder="1"/>
    <xf numFmtId="0" fontId="9" fillId="0" borderId="8" xfId="0" applyFont="1" applyBorder="1"/>
    <xf numFmtId="165" fontId="0" fillId="0" borderId="7" xfId="0" applyNumberFormat="1" applyBorder="1"/>
    <xf numFmtId="166" fontId="0" fillId="0" borderId="8" xfId="0" applyNumberFormat="1" applyBorder="1"/>
    <xf numFmtId="2" fontId="0" fillId="0" borderId="8" xfId="0" applyNumberFormat="1" applyBorder="1"/>
    <xf numFmtId="2" fontId="15" fillId="3" borderId="3" xfId="0" applyNumberFormat="1" applyFont="1" applyFill="1" applyBorder="1"/>
    <xf numFmtId="2" fontId="15" fillId="3" borderId="8" xfId="0" applyNumberFormat="1" applyFont="1" applyFill="1" applyBorder="1"/>
    <xf numFmtId="2" fontId="0" fillId="0" borderId="3" xfId="0" applyNumberFormat="1" applyBorder="1"/>
    <xf numFmtId="2" fontId="15" fillId="3" borderId="5" xfId="0" applyNumberFormat="1" applyFont="1" applyFill="1" applyBorder="1"/>
    <xf numFmtId="0" fontId="1" fillId="0" borderId="0" xfId="0" applyFont="1"/>
    <xf numFmtId="0" fontId="1" fillId="0" borderId="7" xfId="0" applyFont="1" applyBorder="1"/>
    <xf numFmtId="0" fontId="1" fillId="0" borderId="8" xfId="0" applyFont="1" applyBorder="1"/>
    <xf numFmtId="0" fontId="0" fillId="0" borderId="0" xfId="0" applyAlignment="1"/>
    <xf numFmtId="2" fontId="16" fillId="0" borderId="0" xfId="0" applyNumberFormat="1" applyFont="1"/>
    <xf numFmtId="2" fontId="16" fillId="0" borderId="7" xfId="0" applyNumberFormat="1" applyFont="1" applyBorder="1"/>
    <xf numFmtId="0" fontId="0" fillId="0" borderId="7" xfId="0" applyFont="1" applyBorder="1"/>
    <xf numFmtId="0" fontId="16" fillId="0" borderId="4" xfId="0" applyFont="1" applyBorder="1"/>
    <xf numFmtId="0" fontId="16" fillId="0" borderId="6" xfId="0" applyFont="1" applyBorder="1"/>
    <xf numFmtId="2" fontId="0" fillId="0" borderId="4" xfId="0" applyNumberFormat="1" applyFont="1" applyBorder="1"/>
    <xf numFmtId="2" fontId="0" fillId="0" borderId="0" xfId="0" applyNumberFormat="1" applyFont="1"/>
    <xf numFmtId="164" fontId="0" fillId="0" borderId="0" xfId="0" applyNumberFormat="1" applyFont="1"/>
    <xf numFmtId="2" fontId="0" fillId="12" borderId="4" xfId="0" applyNumberFormat="1" applyFont="1" applyFill="1" applyBorder="1"/>
    <xf numFmtId="2" fontId="0" fillId="12" borderId="0" xfId="0" applyNumberFormat="1" applyFont="1" applyFill="1"/>
    <xf numFmtId="2" fontId="0" fillId="3" borderId="4" xfId="0" applyNumberFormat="1" applyFont="1" applyFill="1" applyBorder="1"/>
    <xf numFmtId="2" fontId="0" fillId="3" borderId="0" xfId="0" applyNumberFormat="1" applyFont="1" applyFill="1"/>
    <xf numFmtId="2" fontId="0" fillId="0" borderId="6" xfId="0" applyNumberFormat="1" applyFont="1" applyBorder="1"/>
    <xf numFmtId="2" fontId="0" fillId="0" borderId="7" xfId="0" applyNumberFormat="1" applyFont="1" applyBorder="1"/>
    <xf numFmtId="164" fontId="0" fillId="0" borderId="7" xfId="0" applyNumberFormat="1" applyFont="1" applyBorder="1"/>
    <xf numFmtId="2" fontId="15" fillId="0" borderId="8" xfId="0" applyNumberFormat="1" applyFont="1" applyBorder="1"/>
    <xf numFmtId="2" fontId="17" fillId="0" borderId="8" xfId="0" applyNumberFormat="1" applyFont="1" applyBorder="1"/>
    <xf numFmtId="2" fontId="15" fillId="0" borderId="3" xfId="0" applyNumberFormat="1" applyFont="1" applyBorder="1"/>
    <xf numFmtId="2" fontId="15" fillId="0" borderId="5" xfId="0" applyNumberFormat="1" applyFont="1" applyBorder="1"/>
    <xf numFmtId="164" fontId="0" fillId="0" borderId="0" xfId="0" applyNumberFormat="1" applyFill="1"/>
    <xf numFmtId="164" fontId="4" fillId="0" borderId="0" xfId="0" applyNumberFormat="1" applyFont="1" applyFill="1"/>
    <xf numFmtId="166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1862667</xdr:colOff>
      <xdr:row>17</xdr:row>
      <xdr:rowOff>118533</xdr:rowOff>
    </xdr:from>
    <xdr:ext cx="65" cy="172227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4693112C-ED0B-0046-8036-95F352738943}"/>
            </a:ext>
          </a:extLst>
        </xdr:cNvPr>
        <xdr:cNvSpPr txBox="1"/>
      </xdr:nvSpPr>
      <xdr:spPr>
        <a:xfrm>
          <a:off x="75641200" y="35729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nb-NO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A755E-2084-BE4F-AFF8-4CB46DD3759F}">
  <dimension ref="A1:AV160"/>
  <sheetViews>
    <sheetView tabSelected="1" topLeftCell="AF1" zoomScale="62" workbookViewId="0">
      <selection activeCell="I127" sqref="I127"/>
    </sheetView>
  </sheetViews>
  <sheetFormatPr baseColWidth="10" defaultColWidth="11" defaultRowHeight="16"/>
  <cols>
    <col min="1" max="1" width="5.1640625" customWidth="1"/>
    <col min="2" max="2" width="10.33203125" customWidth="1"/>
    <col min="3" max="3" width="21" customWidth="1"/>
    <col min="4" max="4" width="10.1640625" customWidth="1"/>
    <col min="5" max="5" width="33.5" customWidth="1"/>
    <col min="6" max="6" width="42.5" customWidth="1"/>
    <col min="7" max="7" width="36.33203125" customWidth="1"/>
    <col min="8" max="8" width="26.6640625" customWidth="1"/>
    <col min="9" max="9" width="13.83203125" customWidth="1"/>
    <col min="10" max="10" width="7.6640625" customWidth="1"/>
    <col min="11" max="11" width="15" customWidth="1"/>
    <col min="12" max="13" width="17.5" customWidth="1"/>
    <col min="14" max="14" width="14.6640625" customWidth="1"/>
    <col min="15" max="15" width="15.83203125" customWidth="1"/>
    <col min="16" max="16" width="18" customWidth="1"/>
    <col min="17" max="17" width="20.6640625" customWidth="1"/>
    <col min="18" max="18" width="33.5" customWidth="1"/>
    <col min="19" max="19" width="24" customWidth="1"/>
    <col min="20" max="20" width="28.83203125" customWidth="1"/>
    <col min="21" max="21" width="29.33203125" customWidth="1"/>
    <col min="22" max="22" width="26.83203125" customWidth="1"/>
    <col min="23" max="23" width="16.33203125" customWidth="1"/>
    <col min="24" max="24" width="43.83203125" customWidth="1"/>
    <col min="25" max="26" width="20" customWidth="1"/>
    <col min="27" max="27" width="15.33203125" customWidth="1"/>
    <col min="28" max="30" width="17.5" customWidth="1"/>
    <col min="31" max="31" width="24.6640625" customWidth="1"/>
    <col min="32" max="32" width="38" customWidth="1"/>
    <col min="33" max="33" width="27" customWidth="1"/>
    <col min="34" max="34" width="28.1640625" customWidth="1"/>
    <col min="35" max="35" width="29.83203125" customWidth="1"/>
    <col min="36" max="36" width="45.1640625" customWidth="1"/>
    <col min="37" max="37" width="16" customWidth="1"/>
    <col min="38" max="38" width="13.6640625" customWidth="1"/>
    <col min="41" max="41" width="18" customWidth="1"/>
    <col min="47" max="47" width="29.5" customWidth="1"/>
    <col min="48" max="48" width="12.6640625" customWidth="1"/>
  </cols>
  <sheetData>
    <row r="1" spans="1:48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3"/>
      <c r="AK1" s="1"/>
    </row>
    <row r="2" spans="1:48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3"/>
      <c r="AK2" s="1"/>
    </row>
    <row r="3" spans="1:48">
      <c r="A3" s="122" t="s">
        <v>1</v>
      </c>
      <c r="B3" s="122"/>
      <c r="C3" s="122"/>
      <c r="D3" s="122"/>
      <c r="E3" s="122"/>
      <c r="F3" s="124" t="s">
        <v>2</v>
      </c>
      <c r="G3" s="122"/>
      <c r="H3" s="122"/>
      <c r="I3" s="123"/>
      <c r="J3" s="124" t="s">
        <v>3</v>
      </c>
      <c r="K3" s="122"/>
      <c r="L3" s="122"/>
      <c r="M3" s="122"/>
      <c r="N3" s="122"/>
      <c r="O3" s="122"/>
      <c r="P3" s="122"/>
      <c r="Q3" s="123"/>
      <c r="R3" s="124" t="s">
        <v>4</v>
      </c>
      <c r="S3" s="122"/>
      <c r="T3" s="123"/>
      <c r="U3" s="124" t="s">
        <v>5</v>
      </c>
      <c r="V3" s="122"/>
      <c r="W3" s="123"/>
      <c r="X3" s="124" t="s">
        <v>6</v>
      </c>
      <c r="Y3" s="122"/>
      <c r="Z3" s="122"/>
      <c r="AA3" s="123"/>
      <c r="AB3" s="124" t="s">
        <v>7</v>
      </c>
      <c r="AC3" s="122"/>
      <c r="AD3" s="123"/>
      <c r="AE3" s="124" t="s">
        <v>8</v>
      </c>
      <c r="AF3" s="122"/>
      <c r="AG3" s="122"/>
      <c r="AH3" s="122"/>
      <c r="AI3" s="123"/>
      <c r="AJ3" s="128" t="s">
        <v>9</v>
      </c>
      <c r="AK3" s="1"/>
    </row>
    <row r="4" spans="1:48">
      <c r="A4" s="8"/>
      <c r="B4" s="8" t="s">
        <v>10</v>
      </c>
      <c r="C4" s="7" t="s">
        <v>11</v>
      </c>
      <c r="D4" s="8" t="s">
        <v>12</v>
      </c>
      <c r="E4" s="8" t="s">
        <v>13</v>
      </c>
      <c r="F4" s="7" t="s">
        <v>14</v>
      </c>
      <c r="G4" s="8" t="s">
        <v>15</v>
      </c>
      <c r="H4" s="101" t="s">
        <v>16</v>
      </c>
      <c r="I4" s="8" t="s">
        <v>17</v>
      </c>
      <c r="J4" s="7" t="s">
        <v>18</v>
      </c>
      <c r="K4" s="8" t="s">
        <v>19</v>
      </c>
      <c r="L4" s="8" t="s">
        <v>20</v>
      </c>
      <c r="M4" s="8" t="s">
        <v>21</v>
      </c>
      <c r="N4" s="8" t="s">
        <v>22</v>
      </c>
      <c r="O4" s="8" t="s">
        <v>23</v>
      </c>
      <c r="P4" s="8" t="s">
        <v>24</v>
      </c>
      <c r="Q4" s="8" t="s">
        <v>25</v>
      </c>
      <c r="R4" s="7" t="s">
        <v>26</v>
      </c>
      <c r="S4" s="8" t="s">
        <v>27</v>
      </c>
      <c r="T4" s="8" t="s">
        <v>28</v>
      </c>
      <c r="U4" s="7" t="s">
        <v>29</v>
      </c>
      <c r="V4" s="8" t="s">
        <v>30</v>
      </c>
      <c r="W4" s="9" t="s">
        <v>31</v>
      </c>
      <c r="X4" s="8" t="s">
        <v>32</v>
      </c>
      <c r="Y4" s="8" t="s">
        <v>33</v>
      </c>
      <c r="Z4" s="8" t="s">
        <v>34</v>
      </c>
      <c r="AA4" s="9" t="s">
        <v>35</v>
      </c>
      <c r="AB4" s="8" t="s">
        <v>21</v>
      </c>
      <c r="AC4" s="8" t="s">
        <v>36</v>
      </c>
      <c r="AD4" s="9" t="s">
        <v>37</v>
      </c>
      <c r="AE4" s="8" t="s">
        <v>38</v>
      </c>
      <c r="AF4" s="8" t="s">
        <v>39</v>
      </c>
      <c r="AG4" s="8" t="s">
        <v>40</v>
      </c>
      <c r="AH4" s="8" t="s">
        <v>41</v>
      </c>
      <c r="AI4" s="8" t="s">
        <v>42</v>
      </c>
      <c r="AJ4" s="129"/>
      <c r="AK4" s="126" t="s">
        <v>43</v>
      </c>
      <c r="AL4" s="126"/>
      <c r="AM4" s="127"/>
      <c r="AO4" s="125" t="s">
        <v>44</v>
      </c>
      <c r="AP4" s="126"/>
      <c r="AQ4" s="125" t="s">
        <v>45</v>
      </c>
      <c r="AR4" s="127"/>
      <c r="AU4" s="65" t="s">
        <v>46</v>
      </c>
      <c r="AV4" s="37"/>
    </row>
    <row r="5" spans="1:48">
      <c r="A5">
        <v>1</v>
      </c>
      <c r="B5" s="15" t="s">
        <v>47</v>
      </c>
      <c r="C5" t="s">
        <v>48</v>
      </c>
      <c r="D5">
        <v>25.05</v>
      </c>
      <c r="E5" s="52" t="s">
        <v>49</v>
      </c>
      <c r="F5" s="5">
        <v>8905.5</v>
      </c>
      <c r="G5" s="4">
        <v>12.15</v>
      </c>
      <c r="H5" s="99">
        <v>14</v>
      </c>
      <c r="I5" s="4">
        <f t="shared" ref="I5:I36" si="0">F5/G5</f>
        <v>732.96296296296293</v>
      </c>
      <c r="J5" s="69" t="s">
        <v>50</v>
      </c>
      <c r="K5" s="66" t="s">
        <v>50</v>
      </c>
      <c r="L5" s="66" t="s">
        <v>50</v>
      </c>
      <c r="M5" s="66" t="s">
        <v>50</v>
      </c>
      <c r="N5" s="66" t="s">
        <v>50</v>
      </c>
      <c r="O5" s="66" t="s">
        <v>50</v>
      </c>
      <c r="P5" s="66" t="s">
        <v>50</v>
      </c>
      <c r="Q5" s="66" t="s">
        <v>50</v>
      </c>
      <c r="R5" s="102">
        <v>750</v>
      </c>
      <c r="S5" s="4">
        <f t="shared" ref="S5:S36" si="1">((0.6*(G5/H5)*(G5/H5))+(0.4*(G5/H5)))*R5</f>
        <v>599.28635204081627</v>
      </c>
      <c r="T5" s="67">
        <f t="shared" ref="T5:T36" si="2">(F5/G5)*S5</f>
        <v>439254.70025510195</v>
      </c>
      <c r="U5" s="16">
        <f t="shared" ref="U5:U36" si="3">V5/I5</f>
        <v>136.00825010855405</v>
      </c>
      <c r="V5" s="118">
        <f>(T5*3.6)/(AL$6*AP$5)</f>
        <v>99689.009986973499</v>
      </c>
      <c r="W5" s="29" t="s">
        <v>51</v>
      </c>
      <c r="X5" t="s">
        <v>52</v>
      </c>
      <c r="Y5" t="s">
        <v>53</v>
      </c>
      <c r="Z5" s="26" t="s">
        <v>50</v>
      </c>
      <c r="AA5" s="6" t="s">
        <v>54</v>
      </c>
      <c r="AB5" s="4">
        <f t="shared" ref="AB5:AB52" si="4">AP$11*V5/1000</f>
        <v>316.01416165870597</v>
      </c>
      <c r="AC5" s="32">
        <f>(V5/1000)*0.02/1000</f>
        <v>1.9937801997394703E-3</v>
      </c>
      <c r="AD5" s="73">
        <f>(V5/1000)*AN$27/1000</f>
        <v>5.6922424702561871</v>
      </c>
      <c r="AE5" s="67">
        <f>V5*AL$6/3600</f>
        <v>1171.3458673469386</v>
      </c>
      <c r="AF5" s="43"/>
      <c r="AG5" s="4">
        <f t="shared" ref="AG5:AG36" si="5">(3.6*T5)/(0.6*AL$9)</f>
        <v>21981.052556552226</v>
      </c>
      <c r="AH5" s="4">
        <f t="shared" ref="AH5:AH36" si="6">(3.6*T5)/(0.5*AL$9)</f>
        <v>26377.26306786267</v>
      </c>
      <c r="AI5" s="4">
        <f>(3.6*T5)/(0.5*AL$12)</f>
        <v>170034.07751810396</v>
      </c>
      <c r="AJ5" s="75"/>
      <c r="AK5" t="s">
        <v>55</v>
      </c>
      <c r="AL5">
        <v>42.7</v>
      </c>
      <c r="AM5" s="6" t="s">
        <v>56</v>
      </c>
      <c r="AO5" s="5" t="s">
        <v>57</v>
      </c>
      <c r="AP5">
        <v>0.375</v>
      </c>
      <c r="AQ5" s="5" t="s">
        <v>451</v>
      </c>
      <c r="AR5" s="6" t="s">
        <v>59</v>
      </c>
      <c r="AU5" s="65" t="s">
        <v>60</v>
      </c>
      <c r="AV5" s="38"/>
    </row>
    <row r="6" spans="1:48">
      <c r="A6">
        <v>2</v>
      </c>
      <c r="B6" t="s">
        <v>61</v>
      </c>
      <c r="C6" s="5" t="s">
        <v>62</v>
      </c>
      <c r="D6">
        <v>25.65</v>
      </c>
      <c r="E6" s="52" t="s">
        <v>63</v>
      </c>
      <c r="F6" s="5">
        <v>8905.5</v>
      </c>
      <c r="G6" s="4">
        <v>15.77</v>
      </c>
      <c r="H6" s="99">
        <v>19.899999999999999</v>
      </c>
      <c r="I6" s="4">
        <f t="shared" si="0"/>
        <v>564.71147748890303</v>
      </c>
      <c r="J6" s="69" t="s">
        <v>50</v>
      </c>
      <c r="K6" s="66" t="s">
        <v>50</v>
      </c>
      <c r="L6" s="66" t="s">
        <v>50</v>
      </c>
      <c r="M6" s="66" t="s">
        <v>50</v>
      </c>
      <c r="N6" s="66" t="s">
        <v>50</v>
      </c>
      <c r="O6" s="66" t="s">
        <v>50</v>
      </c>
      <c r="P6" s="66" t="s">
        <v>50</v>
      </c>
      <c r="Q6" s="66" t="s">
        <v>50</v>
      </c>
      <c r="R6" s="102">
        <v>1176</v>
      </c>
      <c r="S6" s="4">
        <f t="shared" si="1"/>
        <v>815.88861250978516</v>
      </c>
      <c r="T6" s="67">
        <f t="shared" si="2"/>
        <v>460741.66383677186</v>
      </c>
      <c r="U6" s="16">
        <f>V6/I6</f>
        <v>185.16620993129877</v>
      </c>
      <c r="V6" s="118">
        <f>(T6*3.6)/(AL$6*AP$5)</f>
        <v>104565.48399132412</v>
      </c>
      <c r="W6" s="29" t="s">
        <v>64</v>
      </c>
      <c r="X6" t="s">
        <v>65</v>
      </c>
      <c r="Y6" t="s">
        <v>66</v>
      </c>
      <c r="Z6" s="26" t="s">
        <v>50</v>
      </c>
      <c r="AA6" s="6" t="s">
        <v>54</v>
      </c>
      <c r="AB6" s="4">
        <f>AP$11*V6/1000</f>
        <v>331.47258425249743</v>
      </c>
      <c r="AC6" s="32">
        <f>(V6/1000)*0.02/1000</f>
        <v>2.0913096798264824E-3</v>
      </c>
      <c r="AD6" s="73">
        <f>(V6/1000)*AN$27/1000</f>
        <v>5.9706891359046068</v>
      </c>
      <c r="AE6" s="67">
        <f>V6*AL$6/3600</f>
        <v>1228.6444368980581</v>
      </c>
      <c r="AF6" s="37"/>
      <c r="AG6" s="4">
        <f>(3.6*T6)/(0.6*AL$9)</f>
        <v>23056.296772482328</v>
      </c>
      <c r="AH6" s="4">
        <f>(3.6*T6)/(0.5*AL$9)</f>
        <v>27667.556126978794</v>
      </c>
      <c r="AI6" s="4">
        <f>(3.6*T6)/(0.5*AL$12)</f>
        <v>178351.61180778264</v>
      </c>
      <c r="AJ6" s="75"/>
      <c r="AK6" t="s">
        <v>64</v>
      </c>
      <c r="AL6">
        <v>42.3</v>
      </c>
      <c r="AM6" s="6" t="s">
        <v>56</v>
      </c>
      <c r="AO6" s="5" t="s">
        <v>67</v>
      </c>
      <c r="AP6">
        <v>0.42499999999999999</v>
      </c>
      <c r="AQ6" s="5" t="s">
        <v>68</v>
      </c>
      <c r="AR6" s="6" t="s">
        <v>59</v>
      </c>
      <c r="AU6" s="65" t="s">
        <v>69</v>
      </c>
      <c r="AV6" s="39"/>
    </row>
    <row r="7" spans="1:48">
      <c r="A7">
        <v>3</v>
      </c>
      <c r="B7" t="s">
        <v>70</v>
      </c>
      <c r="C7" s="5" t="s">
        <v>71</v>
      </c>
      <c r="D7">
        <v>28</v>
      </c>
      <c r="E7" s="53" t="s">
        <v>72</v>
      </c>
      <c r="F7" s="5">
        <v>45</v>
      </c>
      <c r="G7" s="4">
        <v>6.93</v>
      </c>
      <c r="H7" s="99">
        <v>8.8000000000000007</v>
      </c>
      <c r="I7" s="4">
        <f t="shared" si="0"/>
        <v>6.4935064935064934</v>
      </c>
      <c r="J7" s="69" t="s">
        <v>50</v>
      </c>
      <c r="K7" s="66" t="s">
        <v>50</v>
      </c>
      <c r="L7" s="66" t="s">
        <v>50</v>
      </c>
      <c r="M7" s="66" t="s">
        <v>50</v>
      </c>
      <c r="N7" s="66" t="s">
        <v>50</v>
      </c>
      <c r="O7" s="66" t="s">
        <v>50</v>
      </c>
      <c r="P7" s="66" t="s">
        <v>50</v>
      </c>
      <c r="Q7" s="66" t="s">
        <v>50</v>
      </c>
      <c r="R7" s="102">
        <v>736</v>
      </c>
      <c r="S7" s="4">
        <f t="shared" si="1"/>
        <v>505.70099999999991</v>
      </c>
      <c r="T7" s="67">
        <f t="shared" si="2"/>
        <v>3283.7727272727266</v>
      </c>
      <c r="U7" s="16">
        <f t="shared" si="3"/>
        <v>101.26678347934917</v>
      </c>
      <c r="V7" s="18">
        <f>(T7*3.6)/(AL$6*AP6)</f>
        <v>657.5765160996699</v>
      </c>
      <c r="W7" s="29" t="s">
        <v>64</v>
      </c>
      <c r="X7" s="26" t="s">
        <v>50</v>
      </c>
      <c r="Y7" s="26" t="s">
        <v>50</v>
      </c>
      <c r="Z7" s="26" t="s">
        <v>50</v>
      </c>
      <c r="AA7" s="27" t="s">
        <v>50</v>
      </c>
      <c r="AB7" s="4">
        <f t="shared" si="4"/>
        <v>2.0845175560359537</v>
      </c>
      <c r="AC7" s="32">
        <f t="shared" ref="AC7:AC38" si="7">(V7/1000)*AL$15/1000</f>
        <v>1.3151530321993399E-3</v>
      </c>
      <c r="AD7" s="73">
        <f>(V7/1000)*AN$24/1000</f>
        <v>4.1361562862669239E-2</v>
      </c>
      <c r="AE7" s="67">
        <f>V7*AL$6/3600</f>
        <v>7.7265240641711213</v>
      </c>
      <c r="AF7" s="42"/>
      <c r="AG7" s="4">
        <f>(3.6*T7)/(0.6*AL$9)</f>
        <v>164.3255743422549</v>
      </c>
      <c r="AH7" s="4">
        <f t="shared" si="6"/>
        <v>197.19068921070584</v>
      </c>
      <c r="AI7" s="4">
        <f t="shared" ref="AI7:AI69" si="8">(3.6*T7)/(0.5*AL$12)</f>
        <v>1271.1378299120231</v>
      </c>
      <c r="AJ7" s="75"/>
      <c r="AK7" t="s">
        <v>73</v>
      </c>
      <c r="AL7">
        <v>41.65</v>
      </c>
      <c r="AM7" s="6" t="s">
        <v>56</v>
      </c>
      <c r="AO7" s="7" t="s">
        <v>74</v>
      </c>
      <c r="AP7" s="8">
        <v>0.5</v>
      </c>
      <c r="AQ7" s="7" t="s">
        <v>58</v>
      </c>
      <c r="AR7" s="9" t="s">
        <v>59</v>
      </c>
      <c r="AU7" s="65" t="s">
        <v>75</v>
      </c>
      <c r="AV7" s="40"/>
    </row>
    <row r="8" spans="1:48">
      <c r="A8">
        <v>4</v>
      </c>
      <c r="B8" t="s">
        <v>76</v>
      </c>
      <c r="C8" s="5" t="s">
        <v>77</v>
      </c>
      <c r="D8">
        <v>28</v>
      </c>
      <c r="E8" s="54" t="s">
        <v>78</v>
      </c>
      <c r="F8" s="5">
        <v>35</v>
      </c>
      <c r="G8" s="4">
        <v>12.99</v>
      </c>
      <c r="H8" s="99">
        <v>27</v>
      </c>
      <c r="I8" s="4">
        <f t="shared" si="0"/>
        <v>2.6943802925327174</v>
      </c>
      <c r="J8" s="69" t="s">
        <v>50</v>
      </c>
      <c r="K8" s="66" t="s">
        <v>50</v>
      </c>
      <c r="L8" s="66" t="s">
        <v>50</v>
      </c>
      <c r="M8" s="66" t="s">
        <v>50</v>
      </c>
      <c r="N8" s="66" t="s">
        <v>50</v>
      </c>
      <c r="O8" s="66" t="s">
        <v>50</v>
      </c>
      <c r="P8" s="66" t="s">
        <v>50</v>
      </c>
      <c r="Q8" s="66" t="s">
        <v>50</v>
      </c>
      <c r="R8" s="102">
        <v>2983</v>
      </c>
      <c r="S8" s="4">
        <f t="shared" si="1"/>
        <v>988.34302740740736</v>
      </c>
      <c r="T8" s="67">
        <f t="shared" si="2"/>
        <v>2662.971975308642</v>
      </c>
      <c r="U8" s="16">
        <f t="shared" si="3"/>
        <v>197.91600048208409</v>
      </c>
      <c r="V8" s="18">
        <f>(T8*3.6)/(AL$6*AP$6)</f>
        <v>533.26097127582318</v>
      </c>
      <c r="W8" s="29" t="s">
        <v>64</v>
      </c>
      <c r="X8" s="26" t="s">
        <v>50</v>
      </c>
      <c r="Y8" s="26" t="s">
        <v>50</v>
      </c>
      <c r="Z8" s="26" t="s">
        <v>50</v>
      </c>
      <c r="AA8" s="27" t="s">
        <v>50</v>
      </c>
      <c r="AB8" s="4">
        <f t="shared" si="4"/>
        <v>1.6904372789443594</v>
      </c>
      <c r="AC8" s="32">
        <f t="shared" si="7"/>
        <v>1.0665219425516463E-3</v>
      </c>
      <c r="AD8" s="73">
        <f>(V8/1000)*AN$24/1000</f>
        <v>3.3542115093249281E-2</v>
      </c>
      <c r="AE8" s="67">
        <f>V8*AL$6/3600</f>
        <v>6.2658164124909215</v>
      </c>
      <c r="AF8" s="40"/>
      <c r="AG8" s="4">
        <f t="shared" si="5"/>
        <v>133.2596484724925</v>
      </c>
      <c r="AH8" s="4">
        <f t="shared" si="6"/>
        <v>159.91157816699101</v>
      </c>
      <c r="AI8" s="4">
        <f t="shared" si="8"/>
        <v>1030.8278614097967</v>
      </c>
      <c r="AJ8" s="75"/>
      <c r="AK8" t="s">
        <v>79</v>
      </c>
      <c r="AL8">
        <v>41</v>
      </c>
      <c r="AM8" s="6" t="s">
        <v>56</v>
      </c>
      <c r="AU8" s="65" t="s">
        <v>80</v>
      </c>
      <c r="AV8" s="41"/>
    </row>
    <row r="9" spans="1:48">
      <c r="A9">
        <v>5</v>
      </c>
      <c r="B9" t="s">
        <v>81</v>
      </c>
      <c r="C9" s="5" t="s">
        <v>82</v>
      </c>
      <c r="D9">
        <v>32</v>
      </c>
      <c r="E9" s="55" t="s">
        <v>83</v>
      </c>
      <c r="F9" s="5">
        <v>32</v>
      </c>
      <c r="G9" s="4">
        <v>10.5</v>
      </c>
      <c r="H9" s="99">
        <v>14</v>
      </c>
      <c r="I9" s="4">
        <f t="shared" si="0"/>
        <v>3.0476190476190474</v>
      </c>
      <c r="J9" s="69" t="s">
        <v>50</v>
      </c>
      <c r="K9" s="66" t="s">
        <v>50</v>
      </c>
      <c r="L9" s="66" t="s">
        <v>50</v>
      </c>
      <c r="M9" s="66" t="s">
        <v>50</v>
      </c>
      <c r="N9" s="66" t="s">
        <v>50</v>
      </c>
      <c r="O9" s="66" t="s">
        <v>50</v>
      </c>
      <c r="P9" s="66" t="s">
        <v>50</v>
      </c>
      <c r="Q9" s="66" t="s">
        <v>50</v>
      </c>
      <c r="R9" s="102">
        <f>2*1920</f>
        <v>3840</v>
      </c>
      <c r="S9" s="4">
        <f t="shared" si="1"/>
        <v>2448</v>
      </c>
      <c r="T9" s="67">
        <f t="shared" si="2"/>
        <v>7460.5714285714284</v>
      </c>
      <c r="U9" s="16">
        <f>V9/I9</f>
        <v>485.62060889929739</v>
      </c>
      <c r="V9" s="18">
        <f>(T9*3.6)/(AL$5*AP$6)</f>
        <v>1479.9866175978586</v>
      </c>
      <c r="W9" s="29" t="s">
        <v>55</v>
      </c>
      <c r="X9" s="26" t="s">
        <v>50</v>
      </c>
      <c r="Y9" s="26" t="s">
        <v>50</v>
      </c>
      <c r="Z9" s="26" t="s">
        <v>50</v>
      </c>
      <c r="AA9" s="27" t="s">
        <v>50</v>
      </c>
      <c r="AB9" s="4">
        <f>AP$11*V9/1000</f>
        <v>4.6915575777852121</v>
      </c>
      <c r="AC9" s="32">
        <f>(V9/1000)*AL$15/1000</f>
        <v>2.9599732351957174E-3</v>
      </c>
      <c r="AD9" s="73">
        <f>(V9/1000)*AN$24/1000</f>
        <v>9.3091158246905309E-2</v>
      </c>
      <c r="AE9" s="67">
        <f>V9*AL$5/3600</f>
        <v>17.554285714285712</v>
      </c>
      <c r="AF9" s="40"/>
      <c r="AG9" s="4">
        <f>(3.6*T9)/(0.6*AL$9)</f>
        <v>373.33968783510068</v>
      </c>
      <c r="AH9" s="4">
        <f>(3.6*T9)/(0.5*AL$9)</f>
        <v>448.00762540212077</v>
      </c>
      <c r="AI9" s="4">
        <f>(3.6*T9)/(0.5*AL$12)</f>
        <v>2887.9631336405528</v>
      </c>
      <c r="AJ9" s="75"/>
      <c r="AK9" s="45" t="s">
        <v>84</v>
      </c>
      <c r="AL9" s="45">
        <v>119.9</v>
      </c>
      <c r="AM9" s="46" t="s">
        <v>56</v>
      </c>
    </row>
    <row r="10" spans="1:48">
      <c r="A10">
        <v>6</v>
      </c>
      <c r="B10" t="s">
        <v>85</v>
      </c>
      <c r="C10" s="5" t="s">
        <v>86</v>
      </c>
      <c r="D10">
        <v>32</v>
      </c>
      <c r="E10" s="61" t="s">
        <v>87</v>
      </c>
      <c r="F10" s="5">
        <v>37</v>
      </c>
      <c r="G10" s="4">
        <v>27.24</v>
      </c>
      <c r="H10" s="99">
        <v>30</v>
      </c>
      <c r="I10" s="4">
        <f t="shared" si="0"/>
        <v>1.3582966226138034</v>
      </c>
      <c r="J10" s="69" t="s">
        <v>50</v>
      </c>
      <c r="K10" s="66" t="s">
        <v>50</v>
      </c>
      <c r="L10" s="66" t="s">
        <v>50</v>
      </c>
      <c r="M10" s="66" t="s">
        <v>50</v>
      </c>
      <c r="N10" s="66" t="s">
        <v>50</v>
      </c>
      <c r="O10" s="66" t="s">
        <v>50</v>
      </c>
      <c r="P10" s="66" t="s">
        <v>50</v>
      </c>
      <c r="Q10" s="66" t="s">
        <v>50</v>
      </c>
      <c r="R10" s="102">
        <v>1800</v>
      </c>
      <c r="S10" s="4">
        <f t="shared" si="1"/>
        <v>1544.18112</v>
      </c>
      <c r="T10" s="67">
        <f t="shared" si="2"/>
        <v>2097.4560000000001</v>
      </c>
      <c r="U10" s="16">
        <f t="shared" si="3"/>
        <v>350.45245276595745</v>
      </c>
      <c r="V10" s="18">
        <f>(T10*3.6)/(AL$6*AP$5)</f>
        <v>476.01838297872348</v>
      </c>
      <c r="W10" s="29" t="s">
        <v>64</v>
      </c>
      <c r="X10" s="34" t="s">
        <v>50</v>
      </c>
      <c r="Y10" s="34" t="s">
        <v>50</v>
      </c>
      <c r="Z10" s="34" t="s">
        <v>50</v>
      </c>
      <c r="AA10" s="35" t="s">
        <v>50</v>
      </c>
      <c r="AB10" s="4">
        <f t="shared" si="4"/>
        <v>1.5089782740425535</v>
      </c>
      <c r="AC10" s="32">
        <f t="shared" si="7"/>
        <v>9.5203676595744695E-4</v>
      </c>
      <c r="AD10" s="73">
        <f>(V10/1000)*AN$27/1000</f>
        <v>2.7180649668085109E-2</v>
      </c>
      <c r="AE10" s="67">
        <f t="shared" ref="AE10:AE34" si="9">V10*AL$6/3600</f>
        <v>5.593216</v>
      </c>
      <c r="AF10" s="37"/>
      <c r="AG10" s="4">
        <f t="shared" si="5"/>
        <v>104.96026688907425</v>
      </c>
      <c r="AH10" s="4">
        <f t="shared" si="6"/>
        <v>125.95232026688907</v>
      </c>
      <c r="AI10" s="4">
        <f t="shared" si="8"/>
        <v>811.91845161290325</v>
      </c>
      <c r="AJ10" s="75"/>
      <c r="AK10" t="s">
        <v>88</v>
      </c>
      <c r="AL10">
        <v>42</v>
      </c>
      <c r="AM10" s="6" t="s">
        <v>56</v>
      </c>
      <c r="AO10" s="125" t="s">
        <v>89</v>
      </c>
      <c r="AP10" s="126"/>
      <c r="AQ10" s="127"/>
    </row>
    <row r="11" spans="1:48">
      <c r="A11">
        <v>7</v>
      </c>
      <c r="B11" t="s">
        <v>90</v>
      </c>
      <c r="C11" s="5" t="s">
        <v>91</v>
      </c>
      <c r="D11">
        <v>32.5</v>
      </c>
      <c r="E11" s="55" t="s">
        <v>92</v>
      </c>
      <c r="F11" s="5">
        <v>34</v>
      </c>
      <c r="G11" s="4">
        <v>7.26</v>
      </c>
      <c r="H11" s="99">
        <v>10.9</v>
      </c>
      <c r="I11" s="4">
        <f t="shared" si="0"/>
        <v>4.6831955922865012</v>
      </c>
      <c r="J11" s="69" t="s">
        <v>50</v>
      </c>
      <c r="K11" s="66" t="s">
        <v>50</v>
      </c>
      <c r="L11" s="66" t="s">
        <v>50</v>
      </c>
      <c r="M11" s="66" t="s">
        <v>50</v>
      </c>
      <c r="N11" s="66" t="s">
        <v>50</v>
      </c>
      <c r="O11" s="66" t="s">
        <v>50</v>
      </c>
      <c r="P11" s="66" t="s">
        <v>50</v>
      </c>
      <c r="Q11" s="66" t="s">
        <v>50</v>
      </c>
      <c r="R11" s="102">
        <v>524</v>
      </c>
      <c r="S11" s="4">
        <f t="shared" si="1"/>
        <v>279.08219712145439</v>
      </c>
      <c r="T11" s="67">
        <f t="shared" si="2"/>
        <v>1306.9965154448275</v>
      </c>
      <c r="U11" s="16">
        <f t="shared" si="3"/>
        <v>55.886297295910758</v>
      </c>
      <c r="V11" s="18">
        <f t="shared" ref="V11:V17" si="10">(T11*3.6)/(AL$6*AP$6)</f>
        <v>261.72646116542228</v>
      </c>
      <c r="W11" s="29" t="s">
        <v>64</v>
      </c>
      <c r="X11" s="26" t="s">
        <v>50</v>
      </c>
      <c r="Y11" s="26" t="s">
        <v>50</v>
      </c>
      <c r="Z11" s="26" t="s">
        <v>50</v>
      </c>
      <c r="AA11" s="27" t="s">
        <v>50</v>
      </c>
      <c r="AB11" s="4">
        <f t="shared" si="4"/>
        <v>0.82967288189438859</v>
      </c>
      <c r="AC11" s="32">
        <f t="shared" si="7"/>
        <v>5.234529223308445E-4</v>
      </c>
      <c r="AD11" s="73">
        <f t="shared" ref="AD11:AD17" si="11">(V11/1000)*AN$24/1000</f>
        <v>1.6462594407305058E-2</v>
      </c>
      <c r="AE11" s="67">
        <f t="shared" si="9"/>
        <v>3.0752859186937118</v>
      </c>
      <c r="AF11" s="41"/>
      <c r="AG11" s="4">
        <f t="shared" si="5"/>
        <v>65.404329380058087</v>
      </c>
      <c r="AH11" s="4">
        <f t="shared" si="6"/>
        <v>78.485195256069701</v>
      </c>
      <c r="AI11" s="4">
        <f t="shared" si="8"/>
        <v>505.93413501090095</v>
      </c>
      <c r="AJ11" s="75"/>
      <c r="AK11" t="s">
        <v>93</v>
      </c>
      <c r="AL11">
        <v>41.65</v>
      </c>
      <c r="AM11" s="6" t="s">
        <v>56</v>
      </c>
      <c r="AO11" s="5" t="s">
        <v>64</v>
      </c>
      <c r="AP11">
        <v>3.17</v>
      </c>
      <c r="AQ11" s="6" t="s">
        <v>94</v>
      </c>
    </row>
    <row r="12" spans="1:48">
      <c r="A12">
        <v>8</v>
      </c>
      <c r="B12" t="s">
        <v>95</v>
      </c>
      <c r="C12" s="5" t="s">
        <v>96</v>
      </c>
      <c r="D12">
        <v>33</v>
      </c>
      <c r="E12" s="57" t="s">
        <v>97</v>
      </c>
      <c r="F12" s="5">
        <v>35</v>
      </c>
      <c r="G12" s="4">
        <v>7</v>
      </c>
      <c r="H12" s="99">
        <v>8</v>
      </c>
      <c r="I12" s="4">
        <f t="shared" si="0"/>
        <v>5</v>
      </c>
      <c r="J12" s="69" t="s">
        <v>50</v>
      </c>
      <c r="K12" s="66" t="s">
        <v>50</v>
      </c>
      <c r="L12" s="66" t="s">
        <v>50</v>
      </c>
      <c r="M12" s="66" t="s">
        <v>50</v>
      </c>
      <c r="N12" s="66" t="s">
        <v>50</v>
      </c>
      <c r="O12" s="66" t="s">
        <v>50</v>
      </c>
      <c r="P12" s="66" t="s">
        <v>50</v>
      </c>
      <c r="Q12" s="66" t="s">
        <v>50</v>
      </c>
      <c r="R12" s="102">
        <v>441</v>
      </c>
      <c r="S12" s="4">
        <f t="shared" si="1"/>
        <v>356.93437500000005</v>
      </c>
      <c r="T12" s="67">
        <f t="shared" si="2"/>
        <v>1784.6718750000002</v>
      </c>
      <c r="U12" s="16">
        <f t="shared" si="3"/>
        <v>71.476220275344204</v>
      </c>
      <c r="V12" s="18">
        <f t="shared" si="10"/>
        <v>357.38110137672101</v>
      </c>
      <c r="W12" s="29" t="s">
        <v>64</v>
      </c>
      <c r="X12" s="26" t="s">
        <v>50</v>
      </c>
      <c r="Y12" s="26" t="s">
        <v>50</v>
      </c>
      <c r="Z12" s="26" t="s">
        <v>50</v>
      </c>
      <c r="AA12" s="27" t="s">
        <v>50</v>
      </c>
      <c r="AB12" s="4">
        <f t="shared" si="4"/>
        <v>1.1328980913642055</v>
      </c>
      <c r="AC12" s="32">
        <f t="shared" si="7"/>
        <v>7.1476220275344205E-4</v>
      </c>
      <c r="AD12" s="73">
        <f t="shared" si="11"/>
        <v>2.2479271276595752E-2</v>
      </c>
      <c r="AE12" s="67">
        <f t="shared" si="9"/>
        <v>4.1992279411764715</v>
      </c>
      <c r="AF12" s="39"/>
      <c r="AG12" s="4">
        <f t="shared" si="5"/>
        <v>89.308017097581342</v>
      </c>
      <c r="AH12" s="4">
        <f t="shared" si="6"/>
        <v>107.1696205170976</v>
      </c>
      <c r="AI12" s="4">
        <f t="shared" si="8"/>
        <v>690.8407258064517</v>
      </c>
      <c r="AJ12" s="75"/>
      <c r="AK12" s="47" t="s">
        <v>98</v>
      </c>
      <c r="AL12" s="47">
        <v>18.600000000000001</v>
      </c>
      <c r="AM12" s="48" t="s">
        <v>56</v>
      </c>
      <c r="AO12" s="5" t="s">
        <v>55</v>
      </c>
      <c r="AP12">
        <v>3.17</v>
      </c>
      <c r="AQ12" s="6" t="s">
        <v>94</v>
      </c>
    </row>
    <row r="13" spans="1:48">
      <c r="A13">
        <v>9</v>
      </c>
      <c r="B13" t="s">
        <v>99</v>
      </c>
      <c r="C13" s="5" t="s">
        <v>100</v>
      </c>
      <c r="D13">
        <v>33.619999999999997</v>
      </c>
      <c r="E13" s="57" t="s">
        <v>101</v>
      </c>
      <c r="F13" s="5">
        <v>40</v>
      </c>
      <c r="G13" s="4">
        <v>9.4600000000000009</v>
      </c>
      <c r="H13" s="99">
        <v>12</v>
      </c>
      <c r="I13" s="4">
        <f t="shared" si="0"/>
        <v>4.2283298097251585</v>
      </c>
      <c r="J13" s="69" t="s">
        <v>50</v>
      </c>
      <c r="K13" s="66" t="s">
        <v>50</v>
      </c>
      <c r="L13" s="66" t="s">
        <v>50</v>
      </c>
      <c r="M13" s="66" t="s">
        <v>50</v>
      </c>
      <c r="N13" s="66" t="s">
        <v>50</v>
      </c>
      <c r="O13" s="66" t="s">
        <v>50</v>
      </c>
      <c r="P13" s="66" t="s">
        <v>50</v>
      </c>
      <c r="Q13" s="66" t="s">
        <v>50</v>
      </c>
      <c r="R13" s="102">
        <v>425</v>
      </c>
      <c r="S13" s="4">
        <f t="shared" si="1"/>
        <v>292.49137500000006</v>
      </c>
      <c r="T13" s="67">
        <f t="shared" si="2"/>
        <v>1236.7500000000002</v>
      </c>
      <c r="U13" s="16">
        <f t="shared" si="3"/>
        <v>58.571489361702142</v>
      </c>
      <c r="V13" s="18">
        <f t="shared" si="10"/>
        <v>247.65957446808517</v>
      </c>
      <c r="W13" s="29" t="s">
        <v>64</v>
      </c>
      <c r="X13" s="26" t="s">
        <v>50</v>
      </c>
      <c r="Y13" s="26" t="s">
        <v>50</v>
      </c>
      <c r="Z13" s="26" t="s">
        <v>50</v>
      </c>
      <c r="AA13" s="27" t="s">
        <v>50</v>
      </c>
      <c r="AB13" s="4">
        <f t="shared" si="4"/>
        <v>0.78508085106382997</v>
      </c>
      <c r="AC13" s="32">
        <f t="shared" si="7"/>
        <v>4.953191489361704E-4</v>
      </c>
      <c r="AD13" s="73">
        <f t="shared" si="11"/>
        <v>1.5577787234042557E-2</v>
      </c>
      <c r="AE13" s="67">
        <f t="shared" si="9"/>
        <v>2.9100000000000006</v>
      </c>
      <c r="AF13" s="39"/>
      <c r="AG13" s="4">
        <f t="shared" si="5"/>
        <v>61.889074228523789</v>
      </c>
      <c r="AH13" s="4">
        <f t="shared" si="6"/>
        <v>74.266889074228544</v>
      </c>
      <c r="AI13" s="4">
        <f t="shared" si="8"/>
        <v>478.74193548387103</v>
      </c>
      <c r="AJ13" s="75"/>
      <c r="AO13" s="5" t="s">
        <v>73</v>
      </c>
      <c r="AP13">
        <f>(AP12+AP14)/2</f>
        <v>3.1419999999999999</v>
      </c>
      <c r="AQ13" s="6" t="s">
        <v>94</v>
      </c>
    </row>
    <row r="14" spans="1:48">
      <c r="A14">
        <v>10</v>
      </c>
      <c r="B14" t="s">
        <v>102</v>
      </c>
      <c r="C14" s="5" t="s">
        <v>103</v>
      </c>
      <c r="D14">
        <v>34.06</v>
      </c>
      <c r="E14" s="52" t="s">
        <v>49</v>
      </c>
      <c r="F14" s="5">
        <v>70</v>
      </c>
      <c r="G14" s="4">
        <v>7.53</v>
      </c>
      <c r="H14" s="99">
        <v>10</v>
      </c>
      <c r="I14" s="4">
        <f t="shared" si="0"/>
        <v>9.2961487383798129</v>
      </c>
      <c r="J14" s="69" t="s">
        <v>50</v>
      </c>
      <c r="K14" s="66" t="s">
        <v>50</v>
      </c>
      <c r="L14" s="66" t="s">
        <v>50</v>
      </c>
      <c r="M14" s="66" t="s">
        <v>50</v>
      </c>
      <c r="N14" s="66" t="s">
        <v>50</v>
      </c>
      <c r="O14" s="66" t="s">
        <v>50</v>
      </c>
      <c r="P14" s="66" t="s">
        <v>50</v>
      </c>
      <c r="Q14" s="66" t="s">
        <v>50</v>
      </c>
      <c r="R14" s="102">
        <v>492</v>
      </c>
      <c r="S14" s="4">
        <f t="shared" si="1"/>
        <v>315.57145680000002</v>
      </c>
      <c r="T14" s="67">
        <f t="shared" si="2"/>
        <v>2933.5991999999997</v>
      </c>
      <c r="U14" s="16">
        <f>V14/I14</f>
        <v>63.193282963704632</v>
      </c>
      <c r="V14" s="18">
        <f t="shared" si="10"/>
        <v>587.45415769712133</v>
      </c>
      <c r="W14" s="29" t="s">
        <v>64</v>
      </c>
      <c r="X14" s="26" t="s">
        <v>50</v>
      </c>
      <c r="Y14" s="26" t="s">
        <v>50</v>
      </c>
      <c r="Z14" s="26" t="s">
        <v>50</v>
      </c>
      <c r="AA14" s="27" t="s">
        <v>50</v>
      </c>
      <c r="AB14" s="4">
        <f>AP$11*V14/1000</f>
        <v>1.8622296798998745</v>
      </c>
      <c r="AC14" s="32">
        <f>(V14/1000)*AL$15/1000</f>
        <v>1.1749083153942425E-3</v>
      </c>
      <c r="AD14" s="73">
        <f>(V14/1000)*AN$24/1000</f>
        <v>3.6950866519148924E-2</v>
      </c>
      <c r="AE14" s="67">
        <f>V14*AL$6/3600</f>
        <v>6.9025863529411753</v>
      </c>
      <c r="AF14" s="44"/>
      <c r="AG14" s="4">
        <f>(3.6*T14)/(0.6*AL$9)</f>
        <v>146.80229524603837</v>
      </c>
      <c r="AH14" s="4">
        <f>(3.6*T14)/(0.5*AL$9)</f>
        <v>176.162754295246</v>
      </c>
      <c r="AI14" s="4">
        <f>(3.6*T14)/(0.5*AL$12)</f>
        <v>1135.5867870967741</v>
      </c>
      <c r="AJ14" s="75"/>
      <c r="AK14" s="126" t="s">
        <v>104</v>
      </c>
      <c r="AL14" s="132"/>
      <c r="AM14" s="133"/>
      <c r="AO14" s="7" t="s">
        <v>105</v>
      </c>
      <c r="AP14" s="8">
        <v>3.1139999999999999</v>
      </c>
      <c r="AQ14" s="9" t="s">
        <v>94</v>
      </c>
    </row>
    <row r="15" spans="1:48">
      <c r="A15">
        <v>11</v>
      </c>
      <c r="B15" t="s">
        <v>106</v>
      </c>
      <c r="C15" s="5" t="s">
        <v>107</v>
      </c>
      <c r="D15">
        <v>36.6</v>
      </c>
      <c r="E15" s="54" t="s">
        <v>78</v>
      </c>
      <c r="F15" s="5">
        <v>33</v>
      </c>
      <c r="G15" s="4">
        <v>10.18</v>
      </c>
      <c r="H15" s="99">
        <v>18</v>
      </c>
      <c r="I15" s="4">
        <f t="shared" si="0"/>
        <v>3.2416502946954813</v>
      </c>
      <c r="J15" s="69" t="s">
        <v>50</v>
      </c>
      <c r="K15" s="66" t="s">
        <v>50</v>
      </c>
      <c r="L15" s="66" t="s">
        <v>50</v>
      </c>
      <c r="M15" s="66" t="s">
        <v>50</v>
      </c>
      <c r="N15" s="66" t="s">
        <v>50</v>
      </c>
      <c r="O15" s="66" t="s">
        <v>50</v>
      </c>
      <c r="P15" s="66" t="s">
        <v>50</v>
      </c>
      <c r="Q15" s="66" t="s">
        <v>50</v>
      </c>
      <c r="R15" s="102">
        <v>2069</v>
      </c>
      <c r="S15" s="4">
        <f t="shared" si="1"/>
        <v>865.11939925925935</v>
      </c>
      <c r="T15" s="67">
        <f t="shared" si="2"/>
        <v>2804.4145555555556</v>
      </c>
      <c r="U15" s="16">
        <f>V15/I15</f>
        <v>173.24043038983916</v>
      </c>
      <c r="V15" s="18">
        <f t="shared" si="10"/>
        <v>561.58489222639412</v>
      </c>
      <c r="W15" s="29" t="s">
        <v>64</v>
      </c>
      <c r="X15" s="26" t="s">
        <v>50</v>
      </c>
      <c r="Y15" s="26" t="s">
        <v>50</v>
      </c>
      <c r="Z15" s="26" t="s">
        <v>50</v>
      </c>
      <c r="AA15" s="27" t="s">
        <v>50</v>
      </c>
      <c r="AB15" s="4">
        <f>AP$11*V15/1000</f>
        <v>1.7802241083576693</v>
      </c>
      <c r="AC15" s="32">
        <f>(V15/1000)*AL$15/1000</f>
        <v>1.1231697844527881E-3</v>
      </c>
      <c r="AD15" s="73">
        <f>(V15/1000)*AN$24/1000</f>
        <v>3.5323689721040191E-2</v>
      </c>
      <c r="AE15" s="67">
        <f>V15*AL$6/3600</f>
        <v>6.5986224836601304</v>
      </c>
      <c r="AF15" s="40"/>
      <c r="AG15" s="4">
        <f>(3.6*T15)/(0.6*AL$9)</f>
        <v>140.33767584097862</v>
      </c>
      <c r="AH15" s="4">
        <f>(3.6*T15)/(0.5*AL$9)</f>
        <v>168.40521100917431</v>
      </c>
      <c r="AI15" s="4">
        <f>(3.6*T15)/(0.5*AL$12)</f>
        <v>1085.5798279569892</v>
      </c>
      <c r="AJ15" s="75"/>
      <c r="AK15" s="8" t="s">
        <v>450</v>
      </c>
      <c r="AL15" s="8">
        <v>2</v>
      </c>
      <c r="AM15" s="9" t="s">
        <v>108</v>
      </c>
    </row>
    <row r="16" spans="1:48">
      <c r="A16">
        <v>12</v>
      </c>
      <c r="B16" t="s">
        <v>109</v>
      </c>
      <c r="C16" s="5" t="s">
        <v>110</v>
      </c>
      <c r="D16">
        <v>37.799999999999997</v>
      </c>
      <c r="E16" s="52" t="s">
        <v>49</v>
      </c>
      <c r="F16" s="5">
        <v>36</v>
      </c>
      <c r="G16" s="4">
        <v>4.5999999999999996</v>
      </c>
      <c r="H16" s="99">
        <v>10</v>
      </c>
      <c r="I16" s="4">
        <f t="shared" si="0"/>
        <v>7.8260869565217401</v>
      </c>
      <c r="J16" s="69" t="s">
        <v>50</v>
      </c>
      <c r="K16" s="66" t="s">
        <v>50</v>
      </c>
      <c r="L16" s="66" t="s">
        <v>50</v>
      </c>
      <c r="M16" s="66" t="s">
        <v>50</v>
      </c>
      <c r="N16" s="66" t="s">
        <v>50</v>
      </c>
      <c r="O16" s="66" t="s">
        <v>50</v>
      </c>
      <c r="P16" s="66" t="s">
        <v>50</v>
      </c>
      <c r="Q16" s="66" t="s">
        <v>50</v>
      </c>
      <c r="R16" s="102">
        <v>423</v>
      </c>
      <c r="S16" s="4">
        <f t="shared" si="1"/>
        <v>131.53607999999997</v>
      </c>
      <c r="T16" s="67">
        <f t="shared" si="2"/>
        <v>1029.4127999999998</v>
      </c>
      <c r="U16" s="16">
        <f t="shared" si="3"/>
        <v>26.340141176470581</v>
      </c>
      <c r="V16" s="18">
        <f t="shared" si="10"/>
        <v>206.14023529411762</v>
      </c>
      <c r="W16" s="29" t="s">
        <v>64</v>
      </c>
      <c r="X16" s="26" t="s">
        <v>50</v>
      </c>
      <c r="Y16" s="26" t="s">
        <v>50</v>
      </c>
      <c r="Z16" s="26" t="s">
        <v>50</v>
      </c>
      <c r="AA16" s="27" t="s">
        <v>50</v>
      </c>
      <c r="AB16" s="4">
        <f t="shared" si="4"/>
        <v>0.65346454588235281</v>
      </c>
      <c r="AC16" s="32">
        <f t="shared" si="7"/>
        <v>4.1228047058823527E-4</v>
      </c>
      <c r="AD16" s="73">
        <f t="shared" si="11"/>
        <v>1.2966220799999999E-2</v>
      </c>
      <c r="AE16" s="67">
        <f t="shared" si="9"/>
        <v>2.4221477647058816</v>
      </c>
      <c r="AF16" s="42"/>
      <c r="AG16" s="4">
        <f t="shared" si="5"/>
        <v>51.513567973311083</v>
      </c>
      <c r="AH16" s="4">
        <f t="shared" si="6"/>
        <v>61.816281567973299</v>
      </c>
      <c r="AI16" s="4">
        <f t="shared" si="8"/>
        <v>398.48237419354831</v>
      </c>
      <c r="AJ16" s="75"/>
    </row>
    <row r="17" spans="1:41">
      <c r="A17">
        <v>13</v>
      </c>
      <c r="B17" t="s">
        <v>111</v>
      </c>
      <c r="C17" s="5" t="s">
        <v>112</v>
      </c>
      <c r="D17">
        <v>38.08</v>
      </c>
      <c r="E17" s="57" t="s">
        <v>101</v>
      </c>
      <c r="F17" s="5">
        <v>34</v>
      </c>
      <c r="G17" s="4">
        <v>6.38</v>
      </c>
      <c r="H17" s="99">
        <v>8.25</v>
      </c>
      <c r="I17" s="4">
        <f t="shared" si="0"/>
        <v>5.3291536050156738</v>
      </c>
      <c r="J17" s="69" t="s">
        <v>50</v>
      </c>
      <c r="K17" s="66" t="s">
        <v>50</v>
      </c>
      <c r="L17" s="66" t="s">
        <v>50</v>
      </c>
      <c r="M17" s="66" t="s">
        <v>50</v>
      </c>
      <c r="N17" s="66" t="s">
        <v>50</v>
      </c>
      <c r="O17" s="66" t="s">
        <v>50</v>
      </c>
      <c r="P17" s="66" t="s">
        <v>50</v>
      </c>
      <c r="Q17" s="66" t="s">
        <v>50</v>
      </c>
      <c r="R17" s="102">
        <v>221</v>
      </c>
      <c r="S17" s="4">
        <f t="shared" si="1"/>
        <v>147.66335999999998</v>
      </c>
      <c r="T17" s="67">
        <f t="shared" si="2"/>
        <v>786.92072727272716</v>
      </c>
      <c r="U17" s="16">
        <f t="shared" si="3"/>
        <v>29.56963404255319</v>
      </c>
      <c r="V17" s="18">
        <f t="shared" si="10"/>
        <v>157.58112185686653</v>
      </c>
      <c r="W17" s="29" t="s">
        <v>64</v>
      </c>
      <c r="X17" s="26" t="s">
        <v>50</v>
      </c>
      <c r="Y17" s="26" t="s">
        <v>50</v>
      </c>
      <c r="Z17" s="26" t="s">
        <v>50</v>
      </c>
      <c r="AA17" s="27" t="s">
        <v>50</v>
      </c>
      <c r="AB17" s="4">
        <f t="shared" si="4"/>
        <v>0.4995321562862669</v>
      </c>
      <c r="AC17" s="32">
        <f t="shared" si="7"/>
        <v>3.1516224371373308E-4</v>
      </c>
      <c r="AD17" s="73">
        <f t="shared" si="11"/>
        <v>9.9118525647969059E-3</v>
      </c>
      <c r="AE17" s="67">
        <f t="shared" si="9"/>
        <v>1.8515781818181816</v>
      </c>
      <c r="AF17" s="39"/>
      <c r="AG17" s="4">
        <f t="shared" si="5"/>
        <v>39.378852073697772</v>
      </c>
      <c r="AH17" s="4">
        <f t="shared" si="6"/>
        <v>47.254622488437327</v>
      </c>
      <c r="AI17" s="4">
        <f t="shared" si="8"/>
        <v>304.61447507331371</v>
      </c>
      <c r="AJ17" s="75"/>
    </row>
    <row r="18" spans="1:41">
      <c r="A18">
        <v>14</v>
      </c>
      <c r="B18" t="s">
        <v>113</v>
      </c>
      <c r="C18" s="5" t="s">
        <v>114</v>
      </c>
      <c r="D18">
        <v>40</v>
      </c>
      <c r="E18" s="61" t="s">
        <v>87</v>
      </c>
      <c r="F18" s="5">
        <v>242.9</v>
      </c>
      <c r="G18" s="4">
        <v>21.95</v>
      </c>
      <c r="H18" s="99">
        <v>34</v>
      </c>
      <c r="I18" s="4">
        <f t="shared" si="0"/>
        <v>11.066059225512529</v>
      </c>
      <c r="J18" s="69" t="s">
        <v>50</v>
      </c>
      <c r="K18" s="66" t="s">
        <v>50</v>
      </c>
      <c r="L18" s="66" t="s">
        <v>50</v>
      </c>
      <c r="M18" s="66" t="s">
        <v>50</v>
      </c>
      <c r="N18" s="66" t="s">
        <v>50</v>
      </c>
      <c r="O18" s="66" t="s">
        <v>50</v>
      </c>
      <c r="P18" s="66" t="s">
        <v>50</v>
      </c>
      <c r="Q18" s="66" t="s">
        <v>50</v>
      </c>
      <c r="R18" s="102">
        <v>3000</v>
      </c>
      <c r="S18" s="4">
        <f t="shared" si="1"/>
        <v>1524.9173875432525</v>
      </c>
      <c r="T18" s="67">
        <f t="shared" si="2"/>
        <v>16874.826124567473</v>
      </c>
      <c r="U18" s="16">
        <f t="shared" si="3"/>
        <v>346.08054185378785</v>
      </c>
      <c r="V18" s="18">
        <f>(T18*3.6)/(AL$6*AP$5)</f>
        <v>3829.747772951484</v>
      </c>
      <c r="W18" s="29" t="s">
        <v>64</v>
      </c>
      <c r="X18" s="34" t="s">
        <v>50</v>
      </c>
      <c r="Y18" s="34" t="s">
        <v>50</v>
      </c>
      <c r="Z18" s="34" t="s">
        <v>50</v>
      </c>
      <c r="AA18" s="35" t="s">
        <v>50</v>
      </c>
      <c r="AB18" s="4">
        <f t="shared" si="4"/>
        <v>12.140300440256203</v>
      </c>
      <c r="AC18" s="32">
        <f t="shared" si="7"/>
        <v>7.6594955459029675E-3</v>
      </c>
      <c r="AD18" s="73">
        <f>(V18/1000)*AN$27/1000</f>
        <v>0.21867859783552973</v>
      </c>
      <c r="AE18" s="67">
        <f t="shared" si="9"/>
        <v>44.999536332179929</v>
      </c>
      <c r="AF18" s="37"/>
      <c r="AG18" s="4">
        <f t="shared" si="5"/>
        <v>844.44501040371017</v>
      </c>
      <c r="AH18" s="4">
        <f t="shared" si="6"/>
        <v>1013.3340124844522</v>
      </c>
      <c r="AI18" s="4">
        <f t="shared" si="8"/>
        <v>6532.1907578970859</v>
      </c>
      <c r="AJ18" s="75"/>
      <c r="AK18" s="126" t="s">
        <v>115</v>
      </c>
      <c r="AL18" s="126"/>
      <c r="AM18" s="126"/>
      <c r="AN18" s="126"/>
      <c r="AO18" s="127"/>
    </row>
    <row r="19" spans="1:41">
      <c r="A19">
        <v>15</v>
      </c>
      <c r="B19" t="s">
        <v>116</v>
      </c>
      <c r="C19" s="5" t="s">
        <v>117</v>
      </c>
      <c r="D19">
        <v>42.7</v>
      </c>
      <c r="E19" s="54" t="s">
        <v>78</v>
      </c>
      <c r="F19" s="5">
        <v>105</v>
      </c>
      <c r="G19" s="4">
        <v>11.01</v>
      </c>
      <c r="H19" s="99">
        <v>16</v>
      </c>
      <c r="I19" s="4">
        <f t="shared" si="0"/>
        <v>9.5367847411444142</v>
      </c>
      <c r="J19" s="69" t="s">
        <v>50</v>
      </c>
      <c r="K19" s="66" t="s">
        <v>50</v>
      </c>
      <c r="L19" s="66" t="s">
        <v>50</v>
      </c>
      <c r="M19" s="66" t="s">
        <v>50</v>
      </c>
      <c r="N19" s="66" t="s">
        <v>50</v>
      </c>
      <c r="O19" s="66" t="s">
        <v>50</v>
      </c>
      <c r="P19" s="66" t="s">
        <v>50</v>
      </c>
      <c r="Q19" s="66" t="s">
        <v>50</v>
      </c>
      <c r="R19" s="102">
        <v>2163</v>
      </c>
      <c r="S19" s="4">
        <f t="shared" si="1"/>
        <v>1209.894835078125</v>
      </c>
      <c r="T19" s="67">
        <f t="shared" si="2"/>
        <v>11538.5066015625</v>
      </c>
      <c r="U19" s="16">
        <f t="shared" si="3"/>
        <v>242.28181928973717</v>
      </c>
      <c r="V19" s="18">
        <f t="shared" ref="V19:V34" si="12">(T19*3.6)/(AL$6*AP$6)</f>
        <v>2310.5895572590739</v>
      </c>
      <c r="W19" s="29" t="s">
        <v>64</v>
      </c>
      <c r="X19" s="26" t="s">
        <v>50</v>
      </c>
      <c r="Y19" s="26" t="s">
        <v>50</v>
      </c>
      <c r="Z19" s="26" t="s">
        <v>50</v>
      </c>
      <c r="AA19" s="27" t="s">
        <v>50</v>
      </c>
      <c r="AB19" s="4">
        <f t="shared" si="4"/>
        <v>7.3245688965112636</v>
      </c>
      <c r="AC19" s="32">
        <f t="shared" si="7"/>
        <v>4.6211791145181471E-3</v>
      </c>
      <c r="AD19" s="73">
        <f t="shared" ref="AD19:AD34" si="13">(V19/1000)*AN$24/1000</f>
        <v>0.14533608315159574</v>
      </c>
      <c r="AE19" s="67">
        <f t="shared" si="9"/>
        <v>27.149427297794116</v>
      </c>
      <c r="AF19" s="40"/>
      <c r="AG19" s="4">
        <f t="shared" si="5"/>
        <v>577.40650216326105</v>
      </c>
      <c r="AH19" s="4">
        <f t="shared" si="6"/>
        <v>692.88780259591329</v>
      </c>
      <c r="AI19" s="4">
        <f t="shared" si="8"/>
        <v>4466.5186844758064</v>
      </c>
      <c r="AJ19" s="75"/>
      <c r="AK19" s="134" t="s">
        <v>118</v>
      </c>
      <c r="AL19" s="134"/>
      <c r="AM19" s="134"/>
      <c r="AN19">
        <v>78.5</v>
      </c>
      <c r="AO19" s="6" t="s">
        <v>108</v>
      </c>
    </row>
    <row r="20" spans="1:41">
      <c r="A20">
        <v>16</v>
      </c>
      <c r="B20" t="s">
        <v>119</v>
      </c>
      <c r="C20" s="5" t="s">
        <v>120</v>
      </c>
      <c r="D20">
        <v>45</v>
      </c>
      <c r="E20" s="54" t="s">
        <v>78</v>
      </c>
      <c r="F20" s="5">
        <v>35</v>
      </c>
      <c r="G20" s="4">
        <v>8.9700000000000006</v>
      </c>
      <c r="H20" s="99">
        <v>13</v>
      </c>
      <c r="I20" s="4">
        <f t="shared" si="0"/>
        <v>3.9018952062430321</v>
      </c>
      <c r="J20" s="69" t="s">
        <v>50</v>
      </c>
      <c r="K20" s="66" t="s">
        <v>50</v>
      </c>
      <c r="L20" s="66" t="s">
        <v>50</v>
      </c>
      <c r="M20" s="66" t="s">
        <v>50</v>
      </c>
      <c r="N20" s="66" t="s">
        <v>50</v>
      </c>
      <c r="O20" s="66" t="s">
        <v>50</v>
      </c>
      <c r="P20" s="66" t="s">
        <v>50</v>
      </c>
      <c r="Q20" s="66" t="s">
        <v>50</v>
      </c>
      <c r="R20" s="102">
        <v>1432</v>
      </c>
      <c r="S20" s="4">
        <f t="shared" si="1"/>
        <v>804.29712000000006</v>
      </c>
      <c r="T20" s="67">
        <f t="shared" si="2"/>
        <v>3138.2830769230768</v>
      </c>
      <c r="U20" s="16">
        <f t="shared" si="3"/>
        <v>161.06074993742178</v>
      </c>
      <c r="V20" s="18">
        <f t="shared" si="12"/>
        <v>628.4421680947338</v>
      </c>
      <c r="W20" s="29" t="s">
        <v>64</v>
      </c>
      <c r="X20" s="26" t="s">
        <v>50</v>
      </c>
      <c r="Y20" s="26" t="s">
        <v>50</v>
      </c>
      <c r="Z20" s="26" t="s">
        <v>50</v>
      </c>
      <c r="AA20" s="27" t="s">
        <v>50</v>
      </c>
      <c r="AB20" s="4">
        <f t="shared" si="4"/>
        <v>1.992161672860306</v>
      </c>
      <c r="AC20" s="32">
        <f t="shared" si="7"/>
        <v>1.2568843361894678E-3</v>
      </c>
      <c r="AD20" s="73">
        <f t="shared" si="13"/>
        <v>3.9529012373158756E-2</v>
      </c>
      <c r="AE20" s="67">
        <f t="shared" si="9"/>
        <v>7.3841954751131214</v>
      </c>
      <c r="AF20" s="40"/>
      <c r="AG20" s="4">
        <f t="shared" si="5"/>
        <v>157.04502470007057</v>
      </c>
      <c r="AH20" s="4">
        <f t="shared" si="6"/>
        <v>188.45402964008468</v>
      </c>
      <c r="AI20" s="4">
        <f t="shared" si="8"/>
        <v>1214.8192555831265</v>
      </c>
      <c r="AJ20" s="75"/>
      <c r="AK20" s="134" t="s">
        <v>121</v>
      </c>
      <c r="AL20" s="134"/>
      <c r="AM20" s="134"/>
      <c r="AN20">
        <v>78.5</v>
      </c>
      <c r="AO20" s="6" t="s">
        <v>108</v>
      </c>
    </row>
    <row r="21" spans="1:41">
      <c r="A21">
        <v>17</v>
      </c>
      <c r="B21" t="s">
        <v>122</v>
      </c>
      <c r="C21" s="5" t="s">
        <v>123</v>
      </c>
      <c r="D21">
        <v>45.06</v>
      </c>
      <c r="E21" s="52" t="s">
        <v>49</v>
      </c>
      <c r="F21" s="5">
        <v>107</v>
      </c>
      <c r="G21" s="4">
        <v>8.65</v>
      </c>
      <c r="H21" s="99">
        <v>16</v>
      </c>
      <c r="I21" s="4">
        <f t="shared" si="0"/>
        <v>12.369942196531792</v>
      </c>
      <c r="J21" s="69" t="s">
        <v>50</v>
      </c>
      <c r="K21" s="66" t="s">
        <v>50</v>
      </c>
      <c r="L21" s="66" t="s">
        <v>50</v>
      </c>
      <c r="M21" s="66" t="s">
        <v>50</v>
      </c>
      <c r="N21" s="66" t="s">
        <v>50</v>
      </c>
      <c r="O21" s="66" t="s">
        <v>50</v>
      </c>
      <c r="P21" s="66" t="s">
        <v>50</v>
      </c>
      <c r="Q21" s="66" t="s">
        <v>50</v>
      </c>
      <c r="R21" s="102">
        <v>515</v>
      </c>
      <c r="S21" s="4">
        <f t="shared" si="1"/>
        <v>201.68184570312499</v>
      </c>
      <c r="T21" s="67">
        <f t="shared" si="2"/>
        <v>2494.7927734374998</v>
      </c>
      <c r="U21" s="16">
        <f>V21/I21</f>
        <v>40.386852706508137</v>
      </c>
      <c r="V21" s="18">
        <f t="shared" si="12"/>
        <v>499.58303347934924</v>
      </c>
      <c r="W21" s="29" t="s">
        <v>64</v>
      </c>
      <c r="X21" s="26" t="s">
        <v>50</v>
      </c>
      <c r="Y21" s="26" t="s">
        <v>50</v>
      </c>
      <c r="Z21" s="26" t="s">
        <v>50</v>
      </c>
      <c r="AA21" s="27" t="s">
        <v>50</v>
      </c>
      <c r="AB21" s="4">
        <f t="shared" si="4"/>
        <v>1.5836782161295371</v>
      </c>
      <c r="AC21" s="32">
        <f t="shared" si="7"/>
        <v>9.9916606695869847E-4</v>
      </c>
      <c r="AD21" s="73">
        <f t="shared" si="13"/>
        <v>3.1423772805851062E-2</v>
      </c>
      <c r="AE21" s="67">
        <f t="shared" si="9"/>
        <v>5.8701006433823526</v>
      </c>
      <c r="AF21" s="42"/>
      <c r="AG21" s="4">
        <f t="shared" si="5"/>
        <v>124.84367506776481</v>
      </c>
      <c r="AH21" s="4">
        <f t="shared" si="6"/>
        <v>149.81241008131775</v>
      </c>
      <c r="AI21" s="4">
        <f t="shared" si="8"/>
        <v>965.72623487903218</v>
      </c>
      <c r="AJ21" s="75"/>
      <c r="AK21" s="130" t="s">
        <v>124</v>
      </c>
      <c r="AL21" s="134" t="s">
        <v>74</v>
      </c>
      <c r="AM21" t="s">
        <v>125</v>
      </c>
      <c r="AN21">
        <v>89.67</v>
      </c>
      <c r="AO21" s="6" t="s">
        <v>108</v>
      </c>
    </row>
    <row r="22" spans="1:41">
      <c r="A22">
        <v>18</v>
      </c>
      <c r="B22" t="s">
        <v>126</v>
      </c>
      <c r="C22" s="5" t="s">
        <v>127</v>
      </c>
      <c r="D22">
        <v>47.2</v>
      </c>
      <c r="E22" s="60" t="s">
        <v>128</v>
      </c>
      <c r="F22" s="59">
        <v>36</v>
      </c>
      <c r="G22" s="4">
        <v>7.66</v>
      </c>
      <c r="H22" s="99">
        <v>16</v>
      </c>
      <c r="I22" s="4">
        <f t="shared" si="0"/>
        <v>4.6997389033942554</v>
      </c>
      <c r="J22" s="69" t="s">
        <v>50</v>
      </c>
      <c r="K22" s="66" t="s">
        <v>50</v>
      </c>
      <c r="L22" s="66" t="s">
        <v>50</v>
      </c>
      <c r="M22" s="66" t="s">
        <v>50</v>
      </c>
      <c r="N22" s="66" t="s">
        <v>50</v>
      </c>
      <c r="O22" s="66" t="s">
        <v>50</v>
      </c>
      <c r="P22" s="66" t="s">
        <v>50</v>
      </c>
      <c r="Q22" s="66" t="s">
        <v>50</v>
      </c>
      <c r="R22" s="102">
        <v>1832</v>
      </c>
      <c r="S22" s="4">
        <f t="shared" si="1"/>
        <v>602.76635750000003</v>
      </c>
      <c r="T22" s="67">
        <f t="shared" si="2"/>
        <v>2832.8444999999997</v>
      </c>
      <c r="U22" s="16">
        <f t="shared" si="3"/>
        <v>120.70415168961203</v>
      </c>
      <c r="V22" s="18">
        <f t="shared" si="12"/>
        <v>567.27799749687108</v>
      </c>
      <c r="W22" s="29" t="s">
        <v>64</v>
      </c>
      <c r="X22" s="26" t="s">
        <v>50</v>
      </c>
      <c r="Y22" s="26" t="s">
        <v>50</v>
      </c>
      <c r="Z22" s="26" t="s">
        <v>50</v>
      </c>
      <c r="AA22" s="27" t="s">
        <v>50</v>
      </c>
      <c r="AB22" s="4">
        <f t="shared" si="4"/>
        <v>1.7982712520650812</v>
      </c>
      <c r="AC22" s="32">
        <f t="shared" si="7"/>
        <v>1.1345559949937423E-3</v>
      </c>
      <c r="AD22" s="73">
        <f t="shared" si="13"/>
        <v>3.568178604255319E-2</v>
      </c>
      <c r="AE22" s="67">
        <f t="shared" si="9"/>
        <v>6.6655164705882353</v>
      </c>
      <c r="AF22" s="41"/>
      <c r="AG22" s="4">
        <f t="shared" si="5"/>
        <v>141.76035863219349</v>
      </c>
      <c r="AH22" s="4">
        <f t="shared" si="6"/>
        <v>170.11243035863217</v>
      </c>
      <c r="AI22" s="4">
        <f t="shared" si="8"/>
        <v>1096.5849677419353</v>
      </c>
      <c r="AJ22" s="75"/>
      <c r="AK22" s="130"/>
      <c r="AL22" s="134"/>
      <c r="AM22" t="s">
        <v>73</v>
      </c>
      <c r="AN22">
        <v>89.67</v>
      </c>
      <c r="AO22" s="6" t="s">
        <v>108</v>
      </c>
    </row>
    <row r="23" spans="1:41">
      <c r="A23">
        <v>19</v>
      </c>
      <c r="B23" t="s">
        <v>129</v>
      </c>
      <c r="C23" s="5" t="s">
        <v>130</v>
      </c>
      <c r="D23">
        <v>47.2</v>
      </c>
      <c r="E23" s="60" t="s">
        <v>128</v>
      </c>
      <c r="F23" s="59">
        <v>36</v>
      </c>
      <c r="G23" s="4">
        <v>6.86</v>
      </c>
      <c r="H23" s="99">
        <v>16</v>
      </c>
      <c r="I23" s="4">
        <f t="shared" si="0"/>
        <v>5.2478134110787167</v>
      </c>
      <c r="J23" s="69" t="s">
        <v>50</v>
      </c>
      <c r="K23" s="66" t="s">
        <v>50</v>
      </c>
      <c r="L23" s="66" t="s">
        <v>50</v>
      </c>
      <c r="M23" s="66" t="s">
        <v>50</v>
      </c>
      <c r="N23" s="66" t="s">
        <v>50</v>
      </c>
      <c r="O23" s="66" t="s">
        <v>50</v>
      </c>
      <c r="P23" s="66" t="s">
        <v>50</v>
      </c>
      <c r="Q23" s="66" t="s">
        <v>50</v>
      </c>
      <c r="R23" s="102">
        <v>1452</v>
      </c>
      <c r="S23" s="4">
        <f t="shared" si="1"/>
        <v>409.16770124999999</v>
      </c>
      <c r="T23" s="67">
        <f t="shared" si="2"/>
        <v>2147.2357499999998</v>
      </c>
      <c r="U23" s="16">
        <f t="shared" si="3"/>
        <v>81.935960200250321</v>
      </c>
      <c r="V23" s="18">
        <f t="shared" si="12"/>
        <v>429.98463078848562</v>
      </c>
      <c r="W23" s="29" t="s">
        <v>64</v>
      </c>
      <c r="X23" s="26" t="s">
        <v>50</v>
      </c>
      <c r="Y23" s="26" t="s">
        <v>50</v>
      </c>
      <c r="Z23" s="26" t="s">
        <v>50</v>
      </c>
      <c r="AA23" s="27" t="s">
        <v>50</v>
      </c>
      <c r="AB23" s="4">
        <f t="shared" si="4"/>
        <v>1.3630512795994993</v>
      </c>
      <c r="AC23" s="32">
        <f t="shared" si="7"/>
        <v>8.5996926157697127E-4</v>
      </c>
      <c r="AD23" s="73">
        <f t="shared" si="13"/>
        <v>2.7046033276595747E-2</v>
      </c>
      <c r="AE23" s="67">
        <f t="shared" si="9"/>
        <v>5.0523194117647057</v>
      </c>
      <c r="AF23" s="41"/>
      <c r="AG23" s="4">
        <f t="shared" si="5"/>
        <v>107.45133027522935</v>
      </c>
      <c r="AH23" s="4">
        <f t="shared" si="6"/>
        <v>128.94159633027522</v>
      </c>
      <c r="AI23" s="4">
        <f t="shared" si="8"/>
        <v>831.18803225806437</v>
      </c>
      <c r="AJ23" s="75"/>
      <c r="AK23" s="130"/>
      <c r="AL23" s="134"/>
      <c r="AM23" t="s">
        <v>105</v>
      </c>
      <c r="AN23">
        <v>89.67</v>
      </c>
      <c r="AO23" s="6" t="s">
        <v>108</v>
      </c>
    </row>
    <row r="24" spans="1:41">
      <c r="A24">
        <v>20</v>
      </c>
      <c r="B24" t="s">
        <v>131</v>
      </c>
      <c r="C24" s="5" t="s">
        <v>132</v>
      </c>
      <c r="D24">
        <v>48.84</v>
      </c>
      <c r="E24" s="56" t="s">
        <v>133</v>
      </c>
      <c r="F24" s="5">
        <v>79</v>
      </c>
      <c r="G24" s="4">
        <v>10.29</v>
      </c>
      <c r="H24" s="99">
        <v>10.7</v>
      </c>
      <c r="I24" s="4">
        <f t="shared" si="0"/>
        <v>7.6773566569484943</v>
      </c>
      <c r="J24" s="69" t="s">
        <v>50</v>
      </c>
      <c r="K24" s="66" t="s">
        <v>50</v>
      </c>
      <c r="L24" s="66" t="s">
        <v>50</v>
      </c>
      <c r="M24" s="66" t="s">
        <v>50</v>
      </c>
      <c r="N24" s="66" t="s">
        <v>50</v>
      </c>
      <c r="O24" s="66" t="s">
        <v>50</v>
      </c>
      <c r="P24" s="66" t="s">
        <v>50</v>
      </c>
      <c r="Q24" s="66" t="s">
        <v>50</v>
      </c>
      <c r="R24" s="102">
        <v>240</v>
      </c>
      <c r="S24" s="4">
        <f t="shared" si="1"/>
        <v>225.49740938073191</v>
      </c>
      <c r="T24" s="67">
        <f t="shared" si="2"/>
        <v>1731.224037033802</v>
      </c>
      <c r="U24" s="16">
        <f t="shared" si="3"/>
        <v>45.155926784627169</v>
      </c>
      <c r="V24" s="18">
        <f t="shared" si="12"/>
        <v>346.67815510063622</v>
      </c>
      <c r="W24" s="29" t="s">
        <v>64</v>
      </c>
      <c r="X24" s="26" t="s">
        <v>50</v>
      </c>
      <c r="Y24" s="26" t="s">
        <v>50</v>
      </c>
      <c r="Z24" s="26" t="s">
        <v>50</v>
      </c>
      <c r="AA24" s="27" t="s">
        <v>50</v>
      </c>
      <c r="AB24" s="4">
        <f t="shared" si="4"/>
        <v>1.0989697516690169</v>
      </c>
      <c r="AC24" s="32">
        <f t="shared" si="7"/>
        <v>6.9335631020127244E-4</v>
      </c>
      <c r="AD24" s="73">
        <f t="shared" si="13"/>
        <v>2.1806055955830017E-2</v>
      </c>
      <c r="AE24" s="67">
        <f t="shared" si="9"/>
        <v>4.0734683224324755</v>
      </c>
      <c r="AF24" s="40"/>
      <c r="AG24" s="4">
        <f>(3.6*T24)/(0.6*AL$9)</f>
        <v>86.63339634864731</v>
      </c>
      <c r="AH24" s="4">
        <f t="shared" si="6"/>
        <v>103.96007561837678</v>
      </c>
      <c r="AI24" s="4">
        <f t="shared" si="8"/>
        <v>670.15124014211688</v>
      </c>
      <c r="AJ24" s="75"/>
      <c r="AK24" s="130"/>
      <c r="AL24" s="134" t="s">
        <v>67</v>
      </c>
      <c r="AM24" t="s">
        <v>125</v>
      </c>
      <c r="AN24">
        <v>62.9</v>
      </c>
      <c r="AO24" s="6" t="s">
        <v>108</v>
      </c>
    </row>
    <row r="25" spans="1:41">
      <c r="A25">
        <v>21</v>
      </c>
      <c r="B25" t="s">
        <v>134</v>
      </c>
      <c r="C25" s="5" t="s">
        <v>135</v>
      </c>
      <c r="D25">
        <v>51.8</v>
      </c>
      <c r="E25" s="54" t="s">
        <v>78</v>
      </c>
      <c r="F25" s="5">
        <v>67</v>
      </c>
      <c r="G25" s="4">
        <v>10.77</v>
      </c>
      <c r="H25" s="99">
        <v>18</v>
      </c>
      <c r="I25" s="4">
        <f t="shared" si="0"/>
        <v>6.2209842154131847</v>
      </c>
      <c r="J25" s="69" t="s">
        <v>50</v>
      </c>
      <c r="K25" s="66" t="s">
        <v>50</v>
      </c>
      <c r="L25" s="66" t="s">
        <v>50</v>
      </c>
      <c r="M25" s="66" t="s">
        <v>50</v>
      </c>
      <c r="N25" s="66" t="s">
        <v>50</v>
      </c>
      <c r="O25" s="66" t="s">
        <v>50</v>
      </c>
      <c r="P25" s="66" t="s">
        <v>50</v>
      </c>
      <c r="Q25" s="66" t="s">
        <v>50</v>
      </c>
      <c r="R25" s="102">
        <v>4000</v>
      </c>
      <c r="S25" s="4">
        <f t="shared" si="1"/>
        <v>1816.5399999999997</v>
      </c>
      <c r="T25" s="67">
        <f t="shared" si="2"/>
        <v>11300.666666666664</v>
      </c>
      <c r="U25" s="16">
        <f t="shared" si="3"/>
        <v>363.76270337922398</v>
      </c>
      <c r="V25" s="18">
        <f t="shared" si="12"/>
        <v>2262.9620358781808</v>
      </c>
      <c r="W25" s="29" t="s">
        <v>64</v>
      </c>
      <c r="X25" s="26" t="s">
        <v>50</v>
      </c>
      <c r="Y25" s="26" t="s">
        <v>50</v>
      </c>
      <c r="Z25" s="26" t="s">
        <v>50</v>
      </c>
      <c r="AA25" s="27" t="s">
        <v>50</v>
      </c>
      <c r="AB25" s="4">
        <f t="shared" si="4"/>
        <v>7.1735896537338331</v>
      </c>
      <c r="AC25" s="32">
        <f t="shared" si="7"/>
        <v>4.5259240717563619E-3</v>
      </c>
      <c r="AD25" s="73">
        <f t="shared" si="13"/>
        <v>0.14234031205673756</v>
      </c>
      <c r="AE25" s="67">
        <f t="shared" si="9"/>
        <v>26.589803921568624</v>
      </c>
      <c r="AF25" s="40"/>
      <c r="AG25" s="4">
        <f t="shared" si="5"/>
        <v>565.50458715596324</v>
      </c>
      <c r="AH25" s="4">
        <f t="shared" si="6"/>
        <v>678.60550458715579</v>
      </c>
      <c r="AI25" s="4">
        <f t="shared" si="8"/>
        <v>4374.4516129032245</v>
      </c>
      <c r="AJ25" s="75"/>
      <c r="AK25" s="130"/>
      <c r="AL25" s="134"/>
      <c r="AM25" t="s">
        <v>73</v>
      </c>
      <c r="AN25">
        <f>(AN24+AN26)/2</f>
        <v>63.185000000000002</v>
      </c>
      <c r="AO25" s="6" t="s">
        <v>108</v>
      </c>
    </row>
    <row r="26" spans="1:41">
      <c r="A26">
        <v>22</v>
      </c>
      <c r="B26" t="s">
        <v>136</v>
      </c>
      <c r="C26" s="5" t="s">
        <v>137</v>
      </c>
      <c r="D26">
        <v>52</v>
      </c>
      <c r="E26" s="54" t="s">
        <v>78</v>
      </c>
      <c r="F26" s="5">
        <v>33</v>
      </c>
      <c r="G26" s="4">
        <v>10.029999999999999</v>
      </c>
      <c r="H26" s="99">
        <v>17</v>
      </c>
      <c r="I26" s="4">
        <f t="shared" si="0"/>
        <v>3.2901296111665008</v>
      </c>
      <c r="J26" s="69" t="s">
        <v>50</v>
      </c>
      <c r="K26" s="66" t="s">
        <v>50</v>
      </c>
      <c r="L26" s="66" t="s">
        <v>50</v>
      </c>
      <c r="M26" s="66" t="s">
        <v>50</v>
      </c>
      <c r="N26" s="66" t="s">
        <v>50</v>
      </c>
      <c r="O26" s="66" t="s">
        <v>50</v>
      </c>
      <c r="P26" s="66" t="s">
        <v>50</v>
      </c>
      <c r="Q26" s="66" t="s">
        <v>50</v>
      </c>
      <c r="R26" s="102">
        <v>2759</v>
      </c>
      <c r="S26" s="4">
        <f t="shared" si="1"/>
        <v>1227.3687399999999</v>
      </c>
      <c r="T26" s="67">
        <f t="shared" si="2"/>
        <v>4038.2022352941176</v>
      </c>
      <c r="U26" s="16">
        <f t="shared" si="3"/>
        <v>245.78097421777221</v>
      </c>
      <c r="V26" s="18">
        <f t="shared" si="12"/>
        <v>808.65126113524263</v>
      </c>
      <c r="W26" s="29" t="s">
        <v>64</v>
      </c>
      <c r="X26" s="26" t="s">
        <v>50</v>
      </c>
      <c r="Y26" s="26" t="s">
        <v>50</v>
      </c>
      <c r="Z26" s="26" t="s">
        <v>50</v>
      </c>
      <c r="AA26" s="27" t="s">
        <v>50</v>
      </c>
      <c r="AB26" s="4">
        <f t="shared" si="4"/>
        <v>2.5634244977987191</v>
      </c>
      <c r="AC26" s="32">
        <f t="shared" si="7"/>
        <v>1.6173025222704853E-3</v>
      </c>
      <c r="AD26" s="73">
        <f t="shared" si="13"/>
        <v>5.086416432540676E-2</v>
      </c>
      <c r="AE26" s="67">
        <f t="shared" si="9"/>
        <v>9.5016523183391008</v>
      </c>
      <c r="AF26" s="40"/>
      <c r="AG26" s="4">
        <f t="shared" si="5"/>
        <v>202.07851052347547</v>
      </c>
      <c r="AH26" s="4">
        <f t="shared" si="6"/>
        <v>242.49421262817054</v>
      </c>
      <c r="AI26" s="4">
        <f t="shared" si="8"/>
        <v>1563.1750588235293</v>
      </c>
      <c r="AJ26" s="75"/>
      <c r="AK26" s="130"/>
      <c r="AL26" s="134"/>
      <c r="AM26" t="s">
        <v>105</v>
      </c>
      <c r="AN26">
        <v>63.47</v>
      </c>
      <c r="AO26" s="6" t="s">
        <v>108</v>
      </c>
    </row>
    <row r="27" spans="1:41">
      <c r="A27">
        <v>23</v>
      </c>
      <c r="B27" t="s">
        <v>138</v>
      </c>
      <c r="C27" s="5" t="s">
        <v>139</v>
      </c>
      <c r="D27">
        <v>54.65</v>
      </c>
      <c r="E27" s="54" t="s">
        <v>78</v>
      </c>
      <c r="F27" s="5">
        <v>27</v>
      </c>
      <c r="G27" s="4">
        <v>11.47</v>
      </c>
      <c r="H27" s="99">
        <v>16</v>
      </c>
      <c r="I27" s="4">
        <f t="shared" si="0"/>
        <v>2.3539668700959022</v>
      </c>
      <c r="J27" s="69" t="s">
        <v>50</v>
      </c>
      <c r="K27" s="66" t="s">
        <v>50</v>
      </c>
      <c r="L27" s="66" t="s">
        <v>50</v>
      </c>
      <c r="M27" s="66" t="s">
        <v>50</v>
      </c>
      <c r="N27" s="66" t="s">
        <v>50</v>
      </c>
      <c r="O27" s="66" t="s">
        <v>50</v>
      </c>
      <c r="P27" s="66" t="s">
        <v>50</v>
      </c>
      <c r="Q27" s="66" t="s">
        <v>50</v>
      </c>
      <c r="R27" s="102">
        <f>1910*2</f>
        <v>3820</v>
      </c>
      <c r="S27" s="4">
        <f t="shared" si="1"/>
        <v>2273.2661828125001</v>
      </c>
      <c r="T27" s="67">
        <f t="shared" si="2"/>
        <v>5351.1932812499999</v>
      </c>
      <c r="U27" s="16">
        <f t="shared" si="3"/>
        <v>455.22226439299129</v>
      </c>
      <c r="V27" s="18">
        <f t="shared" si="12"/>
        <v>1071.5781289111389</v>
      </c>
      <c r="W27" s="29" t="s">
        <v>64</v>
      </c>
      <c r="X27" s="26" t="s">
        <v>50</v>
      </c>
      <c r="Y27" s="26" t="s">
        <v>50</v>
      </c>
      <c r="Z27" s="26" t="s">
        <v>50</v>
      </c>
      <c r="AA27" s="27" t="s">
        <v>50</v>
      </c>
      <c r="AB27" s="4">
        <f t="shared" si="4"/>
        <v>3.3969026686483104</v>
      </c>
      <c r="AC27" s="32">
        <f t="shared" si="7"/>
        <v>2.1431562578222781E-3</v>
      </c>
      <c r="AD27" s="73">
        <f t="shared" si="13"/>
        <v>6.7402264308510637E-2</v>
      </c>
      <c r="AE27" s="67">
        <f t="shared" si="9"/>
        <v>12.591043014705882</v>
      </c>
      <c r="AF27" s="40"/>
      <c r="AG27" s="4">
        <f t="shared" si="5"/>
        <v>267.78281640950792</v>
      </c>
      <c r="AH27" s="4">
        <f t="shared" si="6"/>
        <v>321.33937969140948</v>
      </c>
      <c r="AI27" s="4">
        <f t="shared" si="8"/>
        <v>2071.4296572580643</v>
      </c>
      <c r="AJ27" s="75"/>
      <c r="AK27" s="130"/>
      <c r="AL27" s="134" t="s">
        <v>57</v>
      </c>
      <c r="AM27" t="s">
        <v>125</v>
      </c>
      <c r="AN27">
        <v>57.1</v>
      </c>
      <c r="AO27" s="6" t="s">
        <v>108</v>
      </c>
    </row>
    <row r="28" spans="1:41">
      <c r="A28">
        <v>24</v>
      </c>
      <c r="B28" t="s">
        <v>140</v>
      </c>
      <c r="C28" s="5" t="s">
        <v>141</v>
      </c>
      <c r="D28">
        <v>55</v>
      </c>
      <c r="E28" s="54" t="s">
        <v>78</v>
      </c>
      <c r="F28" s="5">
        <v>35</v>
      </c>
      <c r="G28" s="4">
        <v>8.9499999999999993</v>
      </c>
      <c r="H28" s="99">
        <v>15.5</v>
      </c>
      <c r="I28" s="4">
        <f t="shared" si="0"/>
        <v>3.9106145251396649</v>
      </c>
      <c r="J28" s="69" t="s">
        <v>50</v>
      </c>
      <c r="K28" s="66" t="s">
        <v>50</v>
      </c>
      <c r="L28" s="66" t="s">
        <v>50</v>
      </c>
      <c r="M28" s="66" t="s">
        <v>50</v>
      </c>
      <c r="N28" s="66" t="s">
        <v>50</v>
      </c>
      <c r="O28" s="66" t="s">
        <v>50</v>
      </c>
      <c r="P28" s="66" t="s">
        <v>50</v>
      </c>
      <c r="Q28" s="66" t="s">
        <v>50</v>
      </c>
      <c r="R28" s="102">
        <v>2100</v>
      </c>
      <c r="S28" s="4">
        <f t="shared" si="1"/>
        <v>905.13277835587917</v>
      </c>
      <c r="T28" s="67">
        <f t="shared" si="2"/>
        <v>3539.6253902185222</v>
      </c>
      <c r="U28" s="16">
        <f t="shared" si="3"/>
        <v>181.25312207376808</v>
      </c>
      <c r="V28" s="18">
        <f t="shared" si="12"/>
        <v>708.81109190859024</v>
      </c>
      <c r="W28" s="29" t="s">
        <v>64</v>
      </c>
      <c r="X28" s="26" t="s">
        <v>50</v>
      </c>
      <c r="Y28" s="26" t="s">
        <v>50</v>
      </c>
      <c r="Z28" s="26" t="s">
        <v>50</v>
      </c>
      <c r="AA28" s="27" t="s">
        <v>50</v>
      </c>
      <c r="AB28" s="4">
        <f t="shared" si="4"/>
        <v>2.246931161350231</v>
      </c>
      <c r="AC28" s="32">
        <f t="shared" si="7"/>
        <v>1.4176221838171806E-3</v>
      </c>
      <c r="AD28" s="73">
        <f t="shared" si="13"/>
        <v>4.4584217681050323E-2</v>
      </c>
      <c r="AE28" s="67">
        <f t="shared" si="9"/>
        <v>8.3285303299259343</v>
      </c>
      <c r="AF28" s="40"/>
      <c r="AG28" s="4">
        <f t="shared" si="5"/>
        <v>177.12887690834975</v>
      </c>
      <c r="AH28" s="4">
        <f t="shared" si="6"/>
        <v>212.55465229001967</v>
      </c>
      <c r="AI28" s="4">
        <f t="shared" si="8"/>
        <v>1370.1775704071699</v>
      </c>
      <c r="AJ28" s="75"/>
      <c r="AK28" s="130"/>
      <c r="AL28" s="134"/>
      <c r="AM28" t="s">
        <v>73</v>
      </c>
      <c r="AN28">
        <f>(AN29+AN27)/2</f>
        <v>57.365000000000002</v>
      </c>
      <c r="AO28" s="6" t="s">
        <v>108</v>
      </c>
    </row>
    <row r="29" spans="1:41">
      <c r="A29">
        <v>25</v>
      </c>
      <c r="B29" t="s">
        <v>142</v>
      </c>
      <c r="C29" s="5" t="s">
        <v>143</v>
      </c>
      <c r="D29">
        <v>57.7</v>
      </c>
      <c r="E29" s="54" t="s">
        <v>78</v>
      </c>
      <c r="F29" s="5">
        <v>35</v>
      </c>
      <c r="G29" s="4">
        <v>9.36</v>
      </c>
      <c r="H29" s="99">
        <v>15.5</v>
      </c>
      <c r="I29" s="4">
        <f t="shared" si="0"/>
        <v>3.7393162393162394</v>
      </c>
      <c r="J29" s="69" t="s">
        <v>50</v>
      </c>
      <c r="K29" s="66" t="s">
        <v>50</v>
      </c>
      <c r="L29" s="66" t="s">
        <v>50</v>
      </c>
      <c r="M29" s="66" t="s">
        <v>50</v>
      </c>
      <c r="N29" s="66" t="s">
        <v>50</v>
      </c>
      <c r="O29" s="66" t="s">
        <v>50</v>
      </c>
      <c r="P29" s="66" t="s">
        <v>50</v>
      </c>
      <c r="Q29" s="66" t="s">
        <v>50</v>
      </c>
      <c r="R29" s="102">
        <f>2*1380</f>
        <v>2760</v>
      </c>
      <c r="S29" s="4">
        <f t="shared" si="1"/>
        <v>1270.5507496357959</v>
      </c>
      <c r="T29" s="67">
        <f t="shared" si="2"/>
        <v>4750.9910509885531</v>
      </c>
      <c r="U29" s="16">
        <f t="shared" si="3"/>
        <v>254.42818515860748</v>
      </c>
      <c r="V29" s="18">
        <f t="shared" si="12"/>
        <v>951.38744450333991</v>
      </c>
      <c r="W29" s="29" t="s">
        <v>64</v>
      </c>
      <c r="X29" s="26" t="s">
        <v>50</v>
      </c>
      <c r="Y29" s="26" t="s">
        <v>50</v>
      </c>
      <c r="Z29" s="26" t="s">
        <v>50</v>
      </c>
      <c r="AA29" s="27" t="s">
        <v>50</v>
      </c>
      <c r="AB29" s="4">
        <f t="shared" si="4"/>
        <v>3.0158981990755875</v>
      </c>
      <c r="AC29" s="32">
        <f t="shared" si="7"/>
        <v>1.9027748890066798E-3</v>
      </c>
      <c r="AD29" s="73">
        <f t="shared" si="13"/>
        <v>5.9842270259260075E-2</v>
      </c>
      <c r="AE29" s="67">
        <f t="shared" si="9"/>
        <v>11.178802472914242</v>
      </c>
      <c r="AF29" s="40"/>
      <c r="AG29" s="4">
        <f t="shared" si="5"/>
        <v>237.74767561243803</v>
      </c>
      <c r="AH29" s="4">
        <f t="shared" si="6"/>
        <v>285.29721073492561</v>
      </c>
      <c r="AI29" s="4">
        <f t="shared" si="8"/>
        <v>1839.0933100600851</v>
      </c>
      <c r="AJ29" s="75"/>
      <c r="AK29" s="130"/>
      <c r="AL29" s="134"/>
      <c r="AM29" t="s">
        <v>105</v>
      </c>
      <c r="AN29">
        <v>57.63</v>
      </c>
      <c r="AO29" s="6" t="s">
        <v>108</v>
      </c>
    </row>
    <row r="30" spans="1:41">
      <c r="A30">
        <v>26</v>
      </c>
      <c r="B30" t="s">
        <v>144</v>
      </c>
      <c r="C30" s="5" t="s">
        <v>145</v>
      </c>
      <c r="D30">
        <v>58.55</v>
      </c>
      <c r="E30" s="57" t="s">
        <v>146</v>
      </c>
      <c r="F30" s="5">
        <v>28</v>
      </c>
      <c r="G30" s="4">
        <v>5.03</v>
      </c>
      <c r="H30" s="99">
        <v>14</v>
      </c>
      <c r="I30" s="4">
        <f t="shared" si="0"/>
        <v>5.5666003976143141</v>
      </c>
      <c r="J30" s="69" t="s">
        <v>50</v>
      </c>
      <c r="K30" s="66" t="s">
        <v>50</v>
      </c>
      <c r="L30" s="66" t="s">
        <v>50</v>
      </c>
      <c r="M30" s="66" t="s">
        <v>50</v>
      </c>
      <c r="N30" s="66" t="s">
        <v>50</v>
      </c>
      <c r="O30" s="66" t="s">
        <v>50</v>
      </c>
      <c r="P30" s="66" t="s">
        <v>50</v>
      </c>
      <c r="Q30" s="66" t="s">
        <v>50</v>
      </c>
      <c r="R30" s="102">
        <v>670</v>
      </c>
      <c r="S30" s="4">
        <f t="shared" si="1"/>
        <v>148.18123367346942</v>
      </c>
      <c r="T30" s="67">
        <f t="shared" si="2"/>
        <v>824.86571428571449</v>
      </c>
      <c r="U30" s="16">
        <f t="shared" si="3"/>
        <v>29.673338407703515</v>
      </c>
      <c r="V30" s="18">
        <f t="shared" si="12"/>
        <v>165.17961737886648</v>
      </c>
      <c r="W30" s="29" t="s">
        <v>64</v>
      </c>
      <c r="X30" s="26" t="s">
        <v>50</v>
      </c>
      <c r="Y30" s="26" t="s">
        <v>50</v>
      </c>
      <c r="Z30" s="26" t="s">
        <v>50</v>
      </c>
      <c r="AA30" s="27" t="s">
        <v>50</v>
      </c>
      <c r="AB30" s="4">
        <f t="shared" si="4"/>
        <v>0.52361938709100675</v>
      </c>
      <c r="AC30" s="32">
        <f t="shared" si="7"/>
        <v>3.3035923475773301E-4</v>
      </c>
      <c r="AD30" s="73">
        <f t="shared" si="13"/>
        <v>1.0389797933130704E-2</v>
      </c>
      <c r="AE30" s="67">
        <f t="shared" si="9"/>
        <v>1.9408605042016809</v>
      </c>
      <c r="AF30" s="39"/>
      <c r="AG30" s="4">
        <f t="shared" si="5"/>
        <v>41.277683784105811</v>
      </c>
      <c r="AH30" s="4">
        <f t="shared" si="6"/>
        <v>49.533220540926976</v>
      </c>
      <c r="AI30" s="4">
        <f t="shared" si="8"/>
        <v>319.30285714285719</v>
      </c>
      <c r="AJ30" s="75"/>
      <c r="AK30" s="131"/>
      <c r="AL30" s="8" t="s">
        <v>147</v>
      </c>
      <c r="AM30" s="8" t="s">
        <v>125</v>
      </c>
      <c r="AN30" s="8">
        <v>19.100000000000001</v>
      </c>
      <c r="AO30" s="9" t="s">
        <v>108</v>
      </c>
    </row>
    <row r="31" spans="1:41">
      <c r="A31">
        <v>27</v>
      </c>
      <c r="B31" t="s">
        <v>148</v>
      </c>
      <c r="C31" s="5" t="s">
        <v>149</v>
      </c>
      <c r="D31">
        <v>59.4</v>
      </c>
      <c r="E31" s="54" t="s">
        <v>78</v>
      </c>
      <c r="F31" s="5">
        <v>69</v>
      </c>
      <c r="G31" s="4">
        <v>8.4499999999999993</v>
      </c>
      <c r="H31" s="99">
        <v>15.5</v>
      </c>
      <c r="I31" s="4">
        <f t="shared" si="0"/>
        <v>8.165680473372781</v>
      </c>
      <c r="J31" s="69" t="s">
        <v>50</v>
      </c>
      <c r="K31" s="66" t="s">
        <v>50</v>
      </c>
      <c r="L31" s="66" t="s">
        <v>50</v>
      </c>
      <c r="M31" s="66" t="s">
        <v>50</v>
      </c>
      <c r="N31" s="66" t="s">
        <v>50</v>
      </c>
      <c r="O31" s="66" t="s">
        <v>50</v>
      </c>
      <c r="P31" s="66" t="s">
        <v>50</v>
      </c>
      <c r="Q31" s="66" t="s">
        <v>50</v>
      </c>
      <c r="R31" s="102">
        <v>2950</v>
      </c>
      <c r="S31" s="4">
        <f t="shared" si="1"/>
        <v>1169.3357960457856</v>
      </c>
      <c r="T31" s="67">
        <f t="shared" si="2"/>
        <v>9548.4224765868894</v>
      </c>
      <c r="U31" s="16">
        <f t="shared" si="3"/>
        <v>234.15985903294833</v>
      </c>
      <c r="V31" s="18">
        <f t="shared" si="12"/>
        <v>1912.0745885530691</v>
      </c>
      <c r="W31" s="29" t="s">
        <v>64</v>
      </c>
      <c r="X31" s="26" t="s">
        <v>50</v>
      </c>
      <c r="Y31" s="26" t="s">
        <v>50</v>
      </c>
      <c r="Z31" s="26" t="s">
        <v>50</v>
      </c>
      <c r="AA31" s="27" t="s">
        <v>50</v>
      </c>
      <c r="AB31" s="4">
        <f t="shared" si="4"/>
        <v>6.0612764457132293</v>
      </c>
      <c r="AC31" s="32">
        <f t="shared" si="7"/>
        <v>3.8241491771061386E-3</v>
      </c>
      <c r="AD31" s="73">
        <f t="shared" si="13"/>
        <v>0.12026949161998804</v>
      </c>
      <c r="AE31" s="67">
        <f t="shared" si="9"/>
        <v>22.466876415498565</v>
      </c>
      <c r="AF31" s="40"/>
      <c r="AG31" s="4">
        <f t="shared" si="5"/>
        <v>477.81930658483185</v>
      </c>
      <c r="AH31" s="4">
        <f t="shared" si="6"/>
        <v>573.38316790179817</v>
      </c>
      <c r="AI31" s="4">
        <f t="shared" si="8"/>
        <v>3696.1635393239567</v>
      </c>
      <c r="AJ31" s="75"/>
    </row>
    <row r="32" spans="1:41">
      <c r="A32">
        <v>28</v>
      </c>
      <c r="B32" t="s">
        <v>150</v>
      </c>
      <c r="C32" s="5" t="s">
        <v>151</v>
      </c>
      <c r="D32">
        <v>64.3</v>
      </c>
      <c r="E32" s="58" t="s">
        <v>152</v>
      </c>
      <c r="F32" s="5">
        <v>735</v>
      </c>
      <c r="G32" s="4">
        <v>10.94</v>
      </c>
      <c r="H32" s="99">
        <v>13.5</v>
      </c>
      <c r="I32" s="4">
        <f t="shared" si="0"/>
        <v>67.184643510054855</v>
      </c>
      <c r="J32" s="69" t="s">
        <v>50</v>
      </c>
      <c r="K32" s="66" t="s">
        <v>50</v>
      </c>
      <c r="L32" s="66" t="s">
        <v>50</v>
      </c>
      <c r="M32" s="66" t="s">
        <v>50</v>
      </c>
      <c r="N32" s="66" t="s">
        <v>50</v>
      </c>
      <c r="O32" s="66" t="s">
        <v>50</v>
      </c>
      <c r="P32" s="66" t="s">
        <v>50</v>
      </c>
      <c r="Q32" s="66" t="s">
        <v>50</v>
      </c>
      <c r="R32" s="102">
        <v>993</v>
      </c>
      <c r="S32" s="4">
        <f t="shared" si="1"/>
        <v>713.14105283950619</v>
      </c>
      <c r="T32" s="67">
        <f t="shared" si="2"/>
        <v>47912.127407407417</v>
      </c>
      <c r="U32" s="16">
        <f t="shared" si="3"/>
        <v>142.80671896660951</v>
      </c>
      <c r="V32" s="18">
        <f t="shared" si="12"/>
        <v>9594.4185046122493</v>
      </c>
      <c r="W32" s="29" t="s">
        <v>64</v>
      </c>
      <c r="X32" s="26" t="s">
        <v>50</v>
      </c>
      <c r="Y32" s="26" t="s">
        <v>50</v>
      </c>
      <c r="Z32" s="26" t="s">
        <v>50</v>
      </c>
      <c r="AA32" s="27" t="s">
        <v>50</v>
      </c>
      <c r="AB32" s="4">
        <f t="shared" si="4"/>
        <v>30.414306659620831</v>
      </c>
      <c r="AC32" s="32">
        <f t="shared" si="7"/>
        <v>1.91888370092245E-2</v>
      </c>
      <c r="AD32" s="73">
        <f t="shared" si="13"/>
        <v>0.60348892394011044</v>
      </c>
      <c r="AE32" s="67">
        <f t="shared" si="9"/>
        <v>112.73441742919393</v>
      </c>
      <c r="AF32" s="37"/>
      <c r="AG32" s="4">
        <f t="shared" si="5"/>
        <v>2397.6043740153841</v>
      </c>
      <c r="AH32" s="4">
        <f t="shared" si="6"/>
        <v>2877.1252488184605</v>
      </c>
      <c r="AI32" s="4">
        <f t="shared" si="8"/>
        <v>18546.62996415771</v>
      </c>
      <c r="AJ32" s="75"/>
    </row>
    <row r="33" spans="1:36">
      <c r="A33">
        <v>29</v>
      </c>
      <c r="B33" t="s">
        <v>153</v>
      </c>
      <c r="C33" s="5" t="s">
        <v>154</v>
      </c>
      <c r="D33">
        <v>64.319999999999993</v>
      </c>
      <c r="E33" s="58" t="s">
        <v>152</v>
      </c>
      <c r="F33" s="5">
        <v>73</v>
      </c>
      <c r="G33" s="4">
        <v>10.79</v>
      </c>
      <c r="H33" s="99">
        <v>13</v>
      </c>
      <c r="I33" s="4">
        <f t="shared" si="0"/>
        <v>6.7655236329935127</v>
      </c>
      <c r="J33" s="69" t="s">
        <v>50</v>
      </c>
      <c r="K33" s="66" t="s">
        <v>50</v>
      </c>
      <c r="L33" s="66" t="s">
        <v>50</v>
      </c>
      <c r="M33" s="66" t="s">
        <v>50</v>
      </c>
      <c r="N33" s="66" t="s">
        <v>50</v>
      </c>
      <c r="O33" s="66" t="s">
        <v>50</v>
      </c>
      <c r="P33" s="66" t="s">
        <v>50</v>
      </c>
      <c r="Q33" s="66" t="s">
        <v>50</v>
      </c>
      <c r="R33" s="102">
        <v>883</v>
      </c>
      <c r="S33" s="4">
        <f t="shared" si="1"/>
        <v>658.13521999999989</v>
      </c>
      <c r="T33" s="67">
        <f t="shared" si="2"/>
        <v>4452.629384615384</v>
      </c>
      <c r="U33" s="16">
        <f t="shared" si="3"/>
        <v>131.79178372966206</v>
      </c>
      <c r="V33" s="18">
        <f t="shared" si="12"/>
        <v>891.64042745739857</v>
      </c>
      <c r="W33" s="29" t="s">
        <v>64</v>
      </c>
      <c r="X33" s="26" t="s">
        <v>50</v>
      </c>
      <c r="Y33" s="26" t="s">
        <v>50</v>
      </c>
      <c r="Z33" s="26" t="s">
        <v>50</v>
      </c>
      <c r="AA33" s="27" t="s">
        <v>50</v>
      </c>
      <c r="AB33" s="4">
        <f t="shared" si="4"/>
        <v>2.8265001550399536</v>
      </c>
      <c r="AC33" s="32">
        <f t="shared" si="7"/>
        <v>1.7832808549147971E-3</v>
      </c>
      <c r="AD33" s="73">
        <f t="shared" si="13"/>
        <v>5.6084182887070372E-2</v>
      </c>
      <c r="AE33" s="67">
        <f t="shared" si="9"/>
        <v>10.476775022624432</v>
      </c>
      <c r="AF33" s="42"/>
      <c r="AG33" s="4">
        <f t="shared" si="5"/>
        <v>222.81715018926025</v>
      </c>
      <c r="AH33" s="4">
        <f t="shared" si="6"/>
        <v>267.38058022711226</v>
      </c>
      <c r="AI33" s="4">
        <f t="shared" si="8"/>
        <v>1723.5984714640194</v>
      </c>
      <c r="AJ33" s="75"/>
    </row>
    <row r="34" spans="1:36">
      <c r="A34">
        <v>30</v>
      </c>
      <c r="B34" t="s">
        <v>155</v>
      </c>
      <c r="C34" s="5" t="s">
        <v>156</v>
      </c>
      <c r="D34">
        <v>65.819999999999993</v>
      </c>
      <c r="E34" s="56" t="s">
        <v>133</v>
      </c>
      <c r="F34" s="5">
        <v>23</v>
      </c>
      <c r="G34" s="4">
        <v>9.2899999999999991</v>
      </c>
      <c r="H34" s="99">
        <v>14.5</v>
      </c>
      <c r="I34" s="4">
        <f t="shared" si="0"/>
        <v>2.475780409041981</v>
      </c>
      <c r="J34" s="69" t="s">
        <v>50</v>
      </c>
      <c r="K34" s="66" t="s">
        <v>50</v>
      </c>
      <c r="L34" s="66" t="s">
        <v>50</v>
      </c>
      <c r="M34" s="66" t="s">
        <v>50</v>
      </c>
      <c r="N34" s="66" t="s">
        <v>50</v>
      </c>
      <c r="O34" s="66" t="s">
        <v>50</v>
      </c>
      <c r="P34" s="66" t="s">
        <v>50</v>
      </c>
      <c r="Q34" s="66" t="s">
        <v>50</v>
      </c>
      <c r="R34" s="102">
        <v>750</v>
      </c>
      <c r="S34" s="4">
        <f t="shared" si="1"/>
        <v>376.92435196194998</v>
      </c>
      <c r="T34" s="67">
        <f t="shared" si="2"/>
        <v>933.1819262782401</v>
      </c>
      <c r="U34" s="16">
        <f t="shared" si="3"/>
        <v>75.479219416660825</v>
      </c>
      <c r="V34" s="18">
        <f t="shared" si="12"/>
        <v>186.86997272154997</v>
      </c>
      <c r="W34" s="29" t="s">
        <v>64</v>
      </c>
      <c r="X34" s="26" t="s">
        <v>50</v>
      </c>
      <c r="Y34" s="26" t="s">
        <v>50</v>
      </c>
      <c r="Z34" s="26" t="s">
        <v>50</v>
      </c>
      <c r="AA34" s="27" t="s">
        <v>50</v>
      </c>
      <c r="AB34" s="4">
        <f t="shared" si="4"/>
        <v>0.59237781352731333</v>
      </c>
      <c r="AC34" s="32">
        <f t="shared" si="7"/>
        <v>3.7373994544309994E-4</v>
      </c>
      <c r="AD34" s="73">
        <f t="shared" si="13"/>
        <v>1.1754121284185494E-2</v>
      </c>
      <c r="AE34" s="67">
        <f t="shared" si="9"/>
        <v>2.1957221794782118</v>
      </c>
      <c r="AF34" s="40"/>
      <c r="AG34" s="4">
        <f t="shared" si="5"/>
        <v>46.698011323348126</v>
      </c>
      <c r="AH34" s="4">
        <f t="shared" si="6"/>
        <v>56.037613588017749</v>
      </c>
      <c r="AI34" s="4">
        <f t="shared" si="8"/>
        <v>361.23171339802838</v>
      </c>
      <c r="AJ34" s="75"/>
    </row>
    <row r="35" spans="1:36">
      <c r="A35">
        <v>31</v>
      </c>
      <c r="B35" t="s">
        <v>157</v>
      </c>
      <c r="C35" s="5" t="s">
        <v>158</v>
      </c>
      <c r="D35">
        <v>67.98</v>
      </c>
      <c r="E35" s="58" t="s">
        <v>152</v>
      </c>
      <c r="F35" s="5">
        <v>13336</v>
      </c>
      <c r="G35" s="4">
        <v>10.08</v>
      </c>
      <c r="H35" s="99">
        <v>15</v>
      </c>
      <c r="I35" s="4">
        <f t="shared" si="0"/>
        <v>1323.015873015873</v>
      </c>
      <c r="J35" s="69" t="s">
        <v>50</v>
      </c>
      <c r="K35" s="66" t="s">
        <v>50</v>
      </c>
      <c r="L35" s="66" t="s">
        <v>50</v>
      </c>
      <c r="M35" s="66" t="s">
        <v>50</v>
      </c>
      <c r="N35" s="66" t="s">
        <v>50</v>
      </c>
      <c r="O35" s="66" t="s">
        <v>50</v>
      </c>
      <c r="P35" s="66" t="s">
        <v>50</v>
      </c>
      <c r="Q35" s="66" t="s">
        <v>50</v>
      </c>
      <c r="R35" s="102">
        <v>1540</v>
      </c>
      <c r="S35" s="4">
        <f t="shared" si="1"/>
        <v>831.21561600000007</v>
      </c>
      <c r="T35" s="67">
        <f t="shared" si="2"/>
        <v>1099711.4538666666</v>
      </c>
      <c r="U35" s="16">
        <f t="shared" si="3"/>
        <v>164.89192547733848</v>
      </c>
      <c r="V35" s="18">
        <f>(T35*3.6)/(AP$6*AL$5)</f>
        <v>218154.63473866924</v>
      </c>
      <c r="W35" s="29" t="s">
        <v>55</v>
      </c>
      <c r="X35" t="s">
        <v>159</v>
      </c>
      <c r="Y35" t="s">
        <v>160</v>
      </c>
      <c r="Z35" s="26" t="s">
        <v>50</v>
      </c>
      <c r="AA35" s="6" t="s">
        <v>118</v>
      </c>
      <c r="AB35" s="4">
        <f t="shared" si="4"/>
        <v>691.5501921215814</v>
      </c>
      <c r="AC35" s="32">
        <f t="shared" si="7"/>
        <v>0.4363092694773385</v>
      </c>
      <c r="AD35" s="73">
        <f>(V35/1000)*AN$19/1000</f>
        <v>17.125138826985534</v>
      </c>
      <c r="AE35" s="67">
        <f>V35*AL$5/3600</f>
        <v>2587.5563620392159</v>
      </c>
      <c r="AF35" s="37"/>
      <c r="AG35" s="4">
        <f t="shared" si="5"/>
        <v>55031.432220183488</v>
      </c>
      <c r="AH35" s="4">
        <f t="shared" si="6"/>
        <v>66037.718664220185</v>
      </c>
      <c r="AI35" s="4">
        <f t="shared" si="8"/>
        <v>425694.75633548386</v>
      </c>
      <c r="AJ35" s="75"/>
    </row>
    <row r="36" spans="1:36">
      <c r="A36">
        <v>32</v>
      </c>
      <c r="B36" t="s">
        <v>161</v>
      </c>
      <c r="C36" s="5" t="s">
        <v>162</v>
      </c>
      <c r="D36">
        <v>72.25</v>
      </c>
      <c r="E36" s="54" t="s">
        <v>78</v>
      </c>
      <c r="F36" s="5">
        <v>163</v>
      </c>
      <c r="G36" s="4">
        <v>12.89</v>
      </c>
      <c r="H36" s="99">
        <v>15</v>
      </c>
      <c r="I36" s="4">
        <f t="shared" si="0"/>
        <v>12.645461598138091</v>
      </c>
      <c r="J36" s="69" t="s">
        <v>50</v>
      </c>
      <c r="K36" s="66" t="s">
        <v>50</v>
      </c>
      <c r="L36" s="66" t="s">
        <v>50</v>
      </c>
      <c r="M36" s="66" t="s">
        <v>50</v>
      </c>
      <c r="N36" s="66" t="s">
        <v>50</v>
      </c>
      <c r="O36" s="66" t="s">
        <v>50</v>
      </c>
      <c r="P36" s="66" t="s">
        <v>50</v>
      </c>
      <c r="Q36" s="66" t="s">
        <v>50</v>
      </c>
      <c r="R36" s="102">
        <v>874</v>
      </c>
      <c r="S36" s="4">
        <f t="shared" si="1"/>
        <v>687.66809440000009</v>
      </c>
      <c r="T36" s="67">
        <f t="shared" si="2"/>
        <v>8695.8804800000016</v>
      </c>
      <c r="U36" s="16">
        <f t="shared" si="3"/>
        <v>137.70575106883609</v>
      </c>
      <c r="V36" s="18">
        <f>(T36*3.6)/(AL$6*AP$6)</f>
        <v>1741.3527869837301</v>
      </c>
      <c r="W36" s="29" t="s">
        <v>64</v>
      </c>
      <c r="X36" s="26" t="s">
        <v>50</v>
      </c>
      <c r="Y36" s="26" t="s">
        <v>50</v>
      </c>
      <c r="Z36" s="26" t="s">
        <v>50</v>
      </c>
      <c r="AA36" s="27" t="s">
        <v>50</v>
      </c>
      <c r="AB36" s="4">
        <f t="shared" si="4"/>
        <v>5.520088334738424</v>
      </c>
      <c r="AC36" s="32">
        <f t="shared" si="7"/>
        <v>3.4827055739674604E-3</v>
      </c>
      <c r="AD36" s="73">
        <f>(V36/1000)*AN$24/1000</f>
        <v>0.10953109030127663</v>
      </c>
      <c r="AE36" s="67">
        <f>V36*AL$6/3600</f>
        <v>20.460895247058826</v>
      </c>
      <c r="AF36" s="40"/>
      <c r="AG36" s="4">
        <f t="shared" si="5"/>
        <v>435.15665454545467</v>
      </c>
      <c r="AH36" s="4">
        <f t="shared" si="6"/>
        <v>522.18798545454558</v>
      </c>
      <c r="AI36" s="4">
        <f t="shared" si="8"/>
        <v>3366.1472825806459</v>
      </c>
      <c r="AJ36" s="75"/>
    </row>
    <row r="37" spans="1:36">
      <c r="A37">
        <v>33</v>
      </c>
      <c r="B37" t="s">
        <v>163</v>
      </c>
      <c r="C37" s="5" t="s">
        <v>164</v>
      </c>
      <c r="D37">
        <v>73.510000000000005</v>
      </c>
      <c r="E37" s="54" t="s">
        <v>78</v>
      </c>
      <c r="F37" s="5">
        <v>35</v>
      </c>
      <c r="G37" s="4">
        <v>11.47</v>
      </c>
      <c r="H37" s="99">
        <v>14</v>
      </c>
      <c r="I37" s="4">
        <f t="shared" ref="I37:I68" si="14">F37/G37</f>
        <v>3.051438535309503</v>
      </c>
      <c r="J37" s="69" t="s">
        <v>50</v>
      </c>
      <c r="K37" s="66" t="s">
        <v>50</v>
      </c>
      <c r="L37" s="66" t="s">
        <v>50</v>
      </c>
      <c r="M37" s="66" t="s">
        <v>50</v>
      </c>
      <c r="N37" s="66" t="s">
        <v>50</v>
      </c>
      <c r="O37" s="66" t="s">
        <v>50</v>
      </c>
      <c r="P37" s="66" t="s">
        <v>50</v>
      </c>
      <c r="Q37" s="66" t="s">
        <v>50</v>
      </c>
      <c r="R37" s="102">
        <v>1960</v>
      </c>
      <c r="S37" s="4">
        <f t="shared" ref="S37:S68" si="15">((0.6*(G37/H37)*(G37/H37))+(0.4*(G37/H37)))*R37</f>
        <v>1431.6853999999998</v>
      </c>
      <c r="T37" s="67">
        <f t="shared" ref="T37:T68" si="16">(F37/G37)*S37</f>
        <v>4368.7</v>
      </c>
      <c r="U37" s="16">
        <f t="shared" ref="U37:U68" si="17">V37/I37</f>
        <v>286.69544931163955</v>
      </c>
      <c r="V37" s="18">
        <f>(T37*3.6)/(AL$6*AP$6)</f>
        <v>874.83354192740933</v>
      </c>
      <c r="W37" s="29" t="s">
        <v>64</v>
      </c>
      <c r="X37" s="26" t="s">
        <v>50</v>
      </c>
      <c r="Y37" s="26" t="s">
        <v>50</v>
      </c>
      <c r="Z37" s="26" t="s">
        <v>50</v>
      </c>
      <c r="AA37" s="27" t="s">
        <v>50</v>
      </c>
      <c r="AB37" s="4">
        <f t="shared" si="4"/>
        <v>2.7732223279098878</v>
      </c>
      <c r="AC37" s="32">
        <f t="shared" si="7"/>
        <v>1.7496670838548188E-3</v>
      </c>
      <c r="AD37" s="73">
        <f>(V37/1000)*AN$24/1000</f>
        <v>5.5027029787234047E-2</v>
      </c>
      <c r="AE37" s="67">
        <f>V37*AL$6/3600</f>
        <v>10.27929411764706</v>
      </c>
      <c r="AF37" s="40"/>
      <c r="AG37" s="4">
        <f t="shared" ref="AG37:AG68" si="18">(3.6*T37)/(0.6*AL$9)</f>
        <v>218.61718098415346</v>
      </c>
      <c r="AH37" s="4">
        <f t="shared" ref="AH37:AH68" si="19">(3.6*T37)/(0.5*AL$9)</f>
        <v>262.34061718098411</v>
      </c>
      <c r="AI37" s="4">
        <f t="shared" si="8"/>
        <v>1691.1096774193547</v>
      </c>
      <c r="AJ37" s="75"/>
    </row>
    <row r="38" spans="1:36">
      <c r="A38">
        <v>34</v>
      </c>
      <c r="B38" t="s">
        <v>165</v>
      </c>
      <c r="C38" s="5" t="s">
        <v>166</v>
      </c>
      <c r="D38">
        <v>74.989999999999995</v>
      </c>
      <c r="E38" s="58" t="s">
        <v>152</v>
      </c>
      <c r="F38" s="5">
        <v>13500</v>
      </c>
      <c r="G38" s="4">
        <v>11.77</v>
      </c>
      <c r="H38" s="99">
        <v>15</v>
      </c>
      <c r="I38" s="4">
        <f t="shared" si="14"/>
        <v>1146.9838572642311</v>
      </c>
      <c r="J38" s="69" t="s">
        <v>50</v>
      </c>
      <c r="K38" s="66" t="s">
        <v>50</v>
      </c>
      <c r="L38" s="66" t="s">
        <v>50</v>
      </c>
      <c r="M38" s="66" t="s">
        <v>50</v>
      </c>
      <c r="N38" s="66" t="s">
        <v>50</v>
      </c>
      <c r="O38" s="66" t="s">
        <v>50</v>
      </c>
      <c r="P38" s="66" t="s">
        <v>50</v>
      </c>
      <c r="Q38" s="66" t="s">
        <v>50</v>
      </c>
      <c r="R38" s="102">
        <v>1840</v>
      </c>
      <c r="S38" s="4">
        <f t="shared" si="15"/>
        <v>1257.2494293333332</v>
      </c>
      <c r="T38" s="67">
        <f t="shared" si="16"/>
        <v>1442044.7999999998</v>
      </c>
      <c r="U38" s="16">
        <f t="shared" si="17"/>
        <v>249.40614109932494</v>
      </c>
      <c r="V38" s="19">
        <f>(T38*3.6)/(AP$6*AL$5)</f>
        <v>286064.8177434908</v>
      </c>
      <c r="W38" s="29" t="s">
        <v>55</v>
      </c>
      <c r="X38" t="s">
        <v>167</v>
      </c>
      <c r="Y38" t="s">
        <v>160</v>
      </c>
      <c r="Z38" s="26" t="s">
        <v>50</v>
      </c>
      <c r="AA38" s="6" t="s">
        <v>118</v>
      </c>
      <c r="AB38" s="4">
        <f t="shared" si="4"/>
        <v>906.82547224686584</v>
      </c>
      <c r="AC38" s="32">
        <f t="shared" si="7"/>
        <v>0.57212963548698159</v>
      </c>
      <c r="AD38" s="73">
        <f>(V38/1000)*AN$19/1000</f>
        <v>22.456088192864026</v>
      </c>
      <c r="AE38" s="67">
        <f>V38*AL$5/3600</f>
        <v>3393.0465882352937</v>
      </c>
      <c r="AF38" s="37"/>
      <c r="AG38" s="4">
        <f t="shared" si="18"/>
        <v>72162.375312760632</v>
      </c>
      <c r="AH38" s="4">
        <f t="shared" si="19"/>
        <v>86594.850375312744</v>
      </c>
      <c r="AI38" s="4">
        <f t="shared" si="8"/>
        <v>558210.89032258058</v>
      </c>
      <c r="AJ38" s="75"/>
    </row>
    <row r="39" spans="1:36">
      <c r="A39">
        <v>35</v>
      </c>
      <c r="B39" t="s">
        <v>168</v>
      </c>
      <c r="C39" s="5" t="s">
        <v>169</v>
      </c>
      <c r="D39">
        <v>82.38</v>
      </c>
      <c r="E39" s="56" t="s">
        <v>133</v>
      </c>
      <c r="F39" s="5">
        <v>18</v>
      </c>
      <c r="G39" s="4">
        <v>9.9700000000000006</v>
      </c>
      <c r="H39" s="99">
        <v>12</v>
      </c>
      <c r="I39" s="4">
        <f t="shared" si="14"/>
        <v>1.8054162487462386</v>
      </c>
      <c r="J39" s="69" t="s">
        <v>50</v>
      </c>
      <c r="K39" s="66" t="s">
        <v>50</v>
      </c>
      <c r="L39" s="66" t="s">
        <v>50</v>
      </c>
      <c r="M39" s="66" t="s">
        <v>50</v>
      </c>
      <c r="N39" s="66" t="s">
        <v>50</v>
      </c>
      <c r="O39" s="66" t="s">
        <v>50</v>
      </c>
      <c r="P39" s="66" t="s">
        <v>50</v>
      </c>
      <c r="Q39" s="66" t="s">
        <v>50</v>
      </c>
      <c r="R39" s="102">
        <v>1350</v>
      </c>
      <c r="S39" s="4">
        <f t="shared" si="15"/>
        <v>1007.7800625000002</v>
      </c>
      <c r="T39" s="67">
        <f t="shared" si="16"/>
        <v>1819.4625000000003</v>
      </c>
      <c r="U39" s="16">
        <f t="shared" si="17"/>
        <v>201.80827284105141</v>
      </c>
      <c r="V39" s="18">
        <f t="shared" ref="V39:V46" si="20">(T39*3.6)/(AL$6*AP$6)</f>
        <v>364.34793491864843</v>
      </c>
      <c r="W39" s="29" t="s">
        <v>64</v>
      </c>
      <c r="X39" s="26" t="s">
        <v>50</v>
      </c>
      <c r="Y39" s="26" t="s">
        <v>50</v>
      </c>
      <c r="Z39" s="26" t="s">
        <v>50</v>
      </c>
      <c r="AA39" s="27" t="s">
        <v>50</v>
      </c>
      <c r="AB39" s="4">
        <f t="shared" si="4"/>
        <v>1.1549829536921155</v>
      </c>
      <c r="AC39" s="32">
        <f t="shared" ref="AC39:AC70" si="21">(V39/1000)*AL$15/1000</f>
        <v>7.2869586983729682E-4</v>
      </c>
      <c r="AD39" s="73">
        <f>(V39/1000)*AN$24/1000</f>
        <v>2.2917485106382984E-2</v>
      </c>
      <c r="AE39" s="67">
        <f t="shared" ref="AE39:AE46" si="22">V39*AL$6/3600</f>
        <v>4.2810882352941189</v>
      </c>
      <c r="AF39" s="40"/>
      <c r="AG39" s="4">
        <f t="shared" si="18"/>
        <v>91.048999165971665</v>
      </c>
      <c r="AH39" s="4">
        <f t="shared" si="19"/>
        <v>109.25879899916599</v>
      </c>
      <c r="AI39" s="4">
        <f t="shared" si="8"/>
        <v>704.30806451612909</v>
      </c>
      <c r="AJ39" s="75"/>
    </row>
    <row r="40" spans="1:36">
      <c r="A40">
        <v>36</v>
      </c>
      <c r="B40" t="s">
        <v>170</v>
      </c>
      <c r="C40" s="5" t="s">
        <v>171</v>
      </c>
      <c r="D40">
        <v>83.28</v>
      </c>
      <c r="E40" s="55" t="s">
        <v>172</v>
      </c>
      <c r="F40" s="5">
        <v>34</v>
      </c>
      <c r="G40" s="4">
        <v>10.58</v>
      </c>
      <c r="H40" s="99">
        <v>15</v>
      </c>
      <c r="I40" s="4">
        <f t="shared" si="14"/>
        <v>3.2136105860113422</v>
      </c>
      <c r="J40" s="69" t="s">
        <v>50</v>
      </c>
      <c r="K40" s="66" t="s">
        <v>50</v>
      </c>
      <c r="L40" s="66" t="s">
        <v>50</v>
      </c>
      <c r="M40" s="66" t="s">
        <v>50</v>
      </c>
      <c r="N40" s="66" t="s">
        <v>50</v>
      </c>
      <c r="O40" s="66" t="s">
        <v>50</v>
      </c>
      <c r="P40" s="66" t="s">
        <v>50</v>
      </c>
      <c r="Q40" s="66" t="s">
        <v>50</v>
      </c>
      <c r="R40" s="102">
        <v>5369</v>
      </c>
      <c r="S40" s="4">
        <f t="shared" si="15"/>
        <v>3117.4046176000002</v>
      </c>
      <c r="T40" s="67">
        <f t="shared" si="16"/>
        <v>10018.12448</v>
      </c>
      <c r="U40" s="16">
        <f t="shared" si="17"/>
        <v>624.26125008260328</v>
      </c>
      <c r="V40" s="18">
        <f t="shared" si="20"/>
        <v>2006.1325617021278</v>
      </c>
      <c r="W40" s="29" t="s">
        <v>64</v>
      </c>
      <c r="X40" s="26" t="s">
        <v>50</v>
      </c>
      <c r="Y40" s="26" t="s">
        <v>50</v>
      </c>
      <c r="Z40" s="26" t="s">
        <v>50</v>
      </c>
      <c r="AA40" s="27" t="s">
        <v>50</v>
      </c>
      <c r="AB40" s="4">
        <f t="shared" si="4"/>
        <v>6.3594402205957445</v>
      </c>
      <c r="AC40" s="32">
        <f t="shared" si="21"/>
        <v>4.0122651234042557E-3</v>
      </c>
      <c r="AD40" s="73">
        <f>(V40/1000)*AN$24/1000</f>
        <v>0.12618573813106385</v>
      </c>
      <c r="AE40" s="67">
        <f t="shared" si="22"/>
        <v>23.572057600000001</v>
      </c>
      <c r="AF40" s="62"/>
      <c r="AG40" s="4">
        <f t="shared" si="18"/>
        <v>501.32399399499582</v>
      </c>
      <c r="AH40" s="4">
        <f t="shared" si="19"/>
        <v>601.58879279399491</v>
      </c>
      <c r="AI40" s="4">
        <f t="shared" si="8"/>
        <v>3877.9836696774191</v>
      </c>
      <c r="AJ40" s="75"/>
    </row>
    <row r="41" spans="1:36">
      <c r="A41">
        <v>37</v>
      </c>
      <c r="B41" t="s">
        <v>173</v>
      </c>
      <c r="C41" s="5" t="s">
        <v>174</v>
      </c>
      <c r="D41">
        <v>87.4</v>
      </c>
      <c r="E41" s="51" t="s">
        <v>175</v>
      </c>
      <c r="F41" s="5">
        <v>263</v>
      </c>
      <c r="G41" s="4">
        <v>13.61</v>
      </c>
      <c r="H41" s="99">
        <v>15</v>
      </c>
      <c r="I41" s="4">
        <f t="shared" si="14"/>
        <v>19.32402645113887</v>
      </c>
      <c r="J41" s="70"/>
      <c r="K41" s="68"/>
      <c r="L41" s="68"/>
      <c r="M41" s="68"/>
      <c r="N41" s="68"/>
      <c r="O41" s="68"/>
      <c r="P41" s="68"/>
      <c r="Q41" s="68"/>
      <c r="R41" s="102">
        <v>2447</v>
      </c>
      <c r="S41" s="4">
        <f t="shared" si="15"/>
        <v>2096.7990632000001</v>
      </c>
      <c r="T41" s="67">
        <f t="shared" si="16"/>
        <v>40518.600560000006</v>
      </c>
      <c r="U41" s="16">
        <f t="shared" si="17"/>
        <v>419.88466847559459</v>
      </c>
      <c r="V41" s="18">
        <f>(T41*3.6)/(AL$6*AP$6)</f>
        <v>8113.8624400500648</v>
      </c>
      <c r="W41" s="29" t="s">
        <v>64</v>
      </c>
      <c r="X41" t="s">
        <v>176</v>
      </c>
      <c r="Y41" s="26" t="s">
        <v>50</v>
      </c>
      <c r="Z41" s="26" t="s">
        <v>50</v>
      </c>
      <c r="AA41" s="6" t="s">
        <v>177</v>
      </c>
      <c r="AB41" s="4">
        <f t="shared" si="4"/>
        <v>25.720943934958704</v>
      </c>
      <c r="AC41" s="32">
        <f t="shared" si="21"/>
        <v>1.6227724880100131E-2</v>
      </c>
      <c r="AD41" s="73">
        <f>(V41/1000)*AN$19/1000</f>
        <v>0.6369382015439301</v>
      </c>
      <c r="AE41" s="67">
        <f t="shared" si="22"/>
        <v>95.337883670588269</v>
      </c>
      <c r="AF41" s="42"/>
      <c r="AG41" s="4">
        <f t="shared" si="18"/>
        <v>2027.6197110925777</v>
      </c>
      <c r="AH41" s="4">
        <f t="shared" si="19"/>
        <v>2433.1436533110932</v>
      </c>
      <c r="AI41" s="4">
        <f>(3.6*T41)/(0.5*AL$12)</f>
        <v>15684.619571612906</v>
      </c>
      <c r="AJ41" s="75"/>
    </row>
    <row r="42" spans="1:36">
      <c r="A42">
        <v>38</v>
      </c>
      <c r="B42" t="s">
        <v>178</v>
      </c>
      <c r="C42" s="5" t="s">
        <v>179</v>
      </c>
      <c r="D42">
        <v>100.01</v>
      </c>
      <c r="E42" s="50" t="s">
        <v>180</v>
      </c>
      <c r="F42" s="5">
        <v>35</v>
      </c>
      <c r="G42" s="4">
        <v>12.25</v>
      </c>
      <c r="H42" s="99">
        <v>13</v>
      </c>
      <c r="I42" s="4">
        <f t="shared" si="14"/>
        <v>2.8571428571428572</v>
      </c>
      <c r="J42" s="104">
        <v>5</v>
      </c>
      <c r="K42" s="105">
        <f>(6*R42/90)*J42</f>
        <v>1800</v>
      </c>
      <c r="L42" s="106">
        <f t="shared" ref="L42:L44" si="23">K42*(V42/T42)</f>
        <v>360.45056320400511</v>
      </c>
      <c r="M42" s="105">
        <f t="shared" ref="M42:M44" si="24">(AB42/V42)*L42</f>
        <v>1.1426282853566962</v>
      </c>
      <c r="N42" s="105">
        <f t="shared" ref="N42:N44" si="25">AL$15*(L42/1000)</f>
        <v>0.72090112640801018</v>
      </c>
      <c r="O42" s="105">
        <f t="shared" ref="O42:O44" si="26">L42*(AD42/V42)*1000</f>
        <v>28.295369211514402</v>
      </c>
      <c r="P42" s="105">
        <f t="shared" ref="P42:P44" si="27">(3.6*K42)/(0.6*AL$9)</f>
        <v>90.075062552126781</v>
      </c>
      <c r="Q42" s="105">
        <f t="shared" ref="Q42:Q44" si="28">(3.6*K42)/(0.5*AL$12)</f>
        <v>696.77419354838707</v>
      </c>
      <c r="R42" s="102">
        <v>5400</v>
      </c>
      <c r="S42" s="4">
        <f t="shared" si="15"/>
        <v>4912.3224852071007</v>
      </c>
      <c r="T42" s="67">
        <f t="shared" si="16"/>
        <v>14035.207100591717</v>
      </c>
      <c r="U42" s="16">
        <f t="shared" si="17"/>
        <v>983.69411468477631</v>
      </c>
      <c r="V42" s="18">
        <f t="shared" si="20"/>
        <v>2810.5546133850753</v>
      </c>
      <c r="W42" s="29" t="s">
        <v>64</v>
      </c>
      <c r="X42" s="12" t="s">
        <v>181</v>
      </c>
      <c r="Y42" s="26" t="s">
        <v>50</v>
      </c>
      <c r="Z42" s="26" t="s">
        <v>50</v>
      </c>
      <c r="AA42" s="6" t="s">
        <v>118</v>
      </c>
      <c r="AB42" s="4">
        <f t="shared" si="4"/>
        <v>8.9094581244306887</v>
      </c>
      <c r="AC42" s="32">
        <f t="shared" si="21"/>
        <v>5.6211092267701504E-3</v>
      </c>
      <c r="AD42" s="73">
        <f>(V42/1000)*AN$19/1000</f>
        <v>0.22062853715072842</v>
      </c>
      <c r="AE42" s="67">
        <f t="shared" si="22"/>
        <v>33.024016707274633</v>
      </c>
      <c r="AF42" s="39"/>
      <c r="AG42" s="4">
        <f t="shared" si="18"/>
        <v>702.34564306547384</v>
      </c>
      <c r="AH42" s="4">
        <f t="shared" si="19"/>
        <v>842.81477167856849</v>
      </c>
      <c r="AI42" s="4">
        <f t="shared" si="8"/>
        <v>5432.9833937774392</v>
      </c>
      <c r="AJ42" s="75"/>
    </row>
    <row r="43" spans="1:36">
      <c r="A43">
        <v>39</v>
      </c>
      <c r="B43" t="s">
        <v>182</v>
      </c>
      <c r="C43" s="5" t="s">
        <v>183</v>
      </c>
      <c r="D43">
        <v>105.23</v>
      </c>
      <c r="E43" s="50" t="s">
        <v>180</v>
      </c>
      <c r="F43" s="5">
        <v>105</v>
      </c>
      <c r="G43" s="4">
        <v>11.07</v>
      </c>
      <c r="H43" s="99">
        <v>17</v>
      </c>
      <c r="I43" s="4">
        <f t="shared" si="14"/>
        <v>9.48509485094851</v>
      </c>
      <c r="J43" s="104">
        <v>18.75</v>
      </c>
      <c r="K43" s="105">
        <f>(6*R43/90)*J43</f>
        <v>10175</v>
      </c>
      <c r="L43" s="106">
        <f t="shared" si="23"/>
        <v>2037.5469336670842</v>
      </c>
      <c r="M43" s="105">
        <f t="shared" si="24"/>
        <v>6.4590237797246575</v>
      </c>
      <c r="N43" s="105">
        <f t="shared" si="25"/>
        <v>4.0750938673341688</v>
      </c>
      <c r="O43" s="105">
        <f t="shared" si="26"/>
        <v>159.94743429286609</v>
      </c>
      <c r="P43" s="105">
        <f t="shared" si="27"/>
        <v>509.17431192660553</v>
      </c>
      <c r="Q43" s="105">
        <f t="shared" si="28"/>
        <v>3938.7096774193546</v>
      </c>
      <c r="R43" s="102">
        <v>8140</v>
      </c>
      <c r="S43" s="4">
        <f t="shared" si="15"/>
        <v>4191.1969951557094</v>
      </c>
      <c r="T43" s="67">
        <f t="shared" si="16"/>
        <v>39753.901038062286</v>
      </c>
      <c r="U43" s="16">
        <f t="shared" si="17"/>
        <v>839.28850966822722</v>
      </c>
      <c r="V43" s="18">
        <f t="shared" si="20"/>
        <v>7960.7311215143509</v>
      </c>
      <c r="W43" s="29" t="s">
        <v>64</v>
      </c>
      <c r="X43" s="13" t="s">
        <v>184</v>
      </c>
      <c r="Y43" s="26" t="s">
        <v>50</v>
      </c>
      <c r="Z43" s="26" t="s">
        <v>50</v>
      </c>
      <c r="AA43" s="6" t="s">
        <v>118</v>
      </c>
      <c r="AB43" s="4">
        <f t="shared" si="4"/>
        <v>25.235517655200493</v>
      </c>
      <c r="AC43" s="32">
        <f t="shared" si="21"/>
        <v>1.5921462243028702E-2</v>
      </c>
      <c r="AD43" s="73">
        <f>(V43/1000)*AN$19/1000</f>
        <v>0.6249173930388765</v>
      </c>
      <c r="AE43" s="67">
        <f t="shared" si="22"/>
        <v>93.538590677793607</v>
      </c>
      <c r="AF43" s="39"/>
      <c r="AG43" s="4">
        <f t="shared" si="18"/>
        <v>1989.352845941399</v>
      </c>
      <c r="AH43" s="4">
        <f t="shared" si="19"/>
        <v>2387.2234151296789</v>
      </c>
      <c r="AI43" s="4">
        <f t="shared" si="8"/>
        <v>15388.606853443465</v>
      </c>
      <c r="AJ43" s="75"/>
    </row>
    <row r="44" spans="1:36">
      <c r="A44">
        <v>40</v>
      </c>
      <c r="B44" t="s">
        <v>185</v>
      </c>
      <c r="C44" s="5" t="s">
        <v>186</v>
      </c>
      <c r="D44">
        <v>108.55</v>
      </c>
      <c r="E44" s="50" t="s">
        <v>180</v>
      </c>
      <c r="F44" s="5">
        <v>34</v>
      </c>
      <c r="G44" s="4">
        <v>12.17</v>
      </c>
      <c r="H44" s="99">
        <v>17.5</v>
      </c>
      <c r="I44" s="4">
        <f t="shared" si="14"/>
        <v>2.7937551355792936</v>
      </c>
      <c r="J44" s="104">
        <v>1</v>
      </c>
      <c r="K44" s="105">
        <f>(6*R44/90)*J44</f>
        <v>317.33333333333331</v>
      </c>
      <c r="L44" s="106">
        <f t="shared" si="23"/>
        <v>63.546099290780134</v>
      </c>
      <c r="M44" s="105">
        <f t="shared" si="24"/>
        <v>0.20144113475177303</v>
      </c>
      <c r="N44" s="105">
        <f t="shared" si="25"/>
        <v>0.12709219858156026</v>
      </c>
      <c r="O44" s="105">
        <f t="shared" si="26"/>
        <v>4.9883687943262398</v>
      </c>
      <c r="P44" s="105">
        <f t="shared" si="27"/>
        <v>15.879899916597163</v>
      </c>
      <c r="Q44" s="105">
        <f t="shared" si="28"/>
        <v>122.83870967741933</v>
      </c>
      <c r="R44" s="102">
        <v>4760</v>
      </c>
      <c r="S44" s="4">
        <f t="shared" si="15"/>
        <v>2705.3172845714289</v>
      </c>
      <c r="T44" s="67">
        <f t="shared" si="16"/>
        <v>7557.9940571428588</v>
      </c>
      <c r="U44" s="16">
        <f t="shared" si="17"/>
        <v>541.74063270516729</v>
      </c>
      <c r="V44" s="18">
        <f t="shared" si="20"/>
        <v>1513.4906747720368</v>
      </c>
      <c r="W44" s="29" t="s">
        <v>64</v>
      </c>
      <c r="X44" s="13" t="s">
        <v>187</v>
      </c>
      <c r="Y44">
        <v>750</v>
      </c>
      <c r="Z44" s="26" t="s">
        <v>50</v>
      </c>
      <c r="AA44" s="6" t="s">
        <v>118</v>
      </c>
      <c r="AB44" s="4">
        <f t="shared" si="4"/>
        <v>4.7977654390273567</v>
      </c>
      <c r="AC44" s="32">
        <f t="shared" si="21"/>
        <v>3.0269813495440736E-3</v>
      </c>
      <c r="AD44" s="73">
        <f>(V44/1000)*AN$19/1000</f>
        <v>0.11880901796960489</v>
      </c>
      <c r="AE44" s="67">
        <f t="shared" si="22"/>
        <v>17.78351542857143</v>
      </c>
      <c r="AF44" s="39"/>
      <c r="AG44" s="4">
        <f t="shared" si="18"/>
        <v>378.21488192541415</v>
      </c>
      <c r="AH44" s="4">
        <f t="shared" si="19"/>
        <v>453.85785831049691</v>
      </c>
      <c r="AI44" s="4">
        <f t="shared" si="8"/>
        <v>2925.6751188940098</v>
      </c>
      <c r="AJ44" s="75"/>
    </row>
    <row r="45" spans="1:36">
      <c r="A45">
        <v>41</v>
      </c>
      <c r="B45" t="s">
        <v>188</v>
      </c>
      <c r="C45" s="5" t="s">
        <v>189</v>
      </c>
      <c r="D45">
        <v>108.57</v>
      </c>
      <c r="E45" s="51" t="s">
        <v>175</v>
      </c>
      <c r="F45" s="5">
        <v>304</v>
      </c>
      <c r="G45" s="4">
        <v>14.8</v>
      </c>
      <c r="H45" s="99">
        <v>17.5</v>
      </c>
      <c r="I45" s="4">
        <f t="shared" si="14"/>
        <v>20.54054054054054</v>
      </c>
      <c r="J45" s="107"/>
      <c r="K45" s="108"/>
      <c r="L45" s="108"/>
      <c r="M45" s="108"/>
      <c r="N45" s="108"/>
      <c r="O45" s="108"/>
      <c r="P45" s="108"/>
      <c r="Q45" s="108"/>
      <c r="R45" s="102">
        <f>2380*2</f>
        <v>4760</v>
      </c>
      <c r="S45" s="4">
        <f t="shared" si="15"/>
        <v>3652.9444571428571</v>
      </c>
      <c r="T45" s="67">
        <f t="shared" si="16"/>
        <v>75033.453714285715</v>
      </c>
      <c r="U45" s="16">
        <f t="shared" si="17"/>
        <v>731.50327051671741</v>
      </c>
      <c r="V45" s="18">
        <f t="shared" si="20"/>
        <v>15025.472583586627</v>
      </c>
      <c r="W45" s="29" t="s">
        <v>64</v>
      </c>
      <c r="X45" t="s">
        <v>187</v>
      </c>
      <c r="Y45">
        <v>750</v>
      </c>
      <c r="Z45" s="26" t="s">
        <v>50</v>
      </c>
      <c r="AA45" s="6" t="s">
        <v>118</v>
      </c>
      <c r="AB45" s="4">
        <f t="shared" si="4"/>
        <v>47.6307480899696</v>
      </c>
      <c r="AC45" s="32">
        <f t="shared" si="21"/>
        <v>3.0050945167173253E-2</v>
      </c>
      <c r="AD45" s="73">
        <f>(V45/1000)*AN$19/1000</f>
        <v>1.1794995978115503</v>
      </c>
      <c r="AE45" s="67">
        <f t="shared" si="22"/>
        <v>176.54930285714286</v>
      </c>
      <c r="AF45" s="42"/>
      <c r="AG45" s="4">
        <f t="shared" si="18"/>
        <v>3754.8016871202194</v>
      </c>
      <c r="AH45" s="4">
        <f t="shared" si="19"/>
        <v>4505.7620245442631</v>
      </c>
      <c r="AI45" s="4">
        <f t="shared" si="8"/>
        <v>29045.207889400921</v>
      </c>
      <c r="AJ45" s="75"/>
    </row>
    <row r="46" spans="1:36">
      <c r="A46">
        <v>42</v>
      </c>
      <c r="B46" t="s">
        <v>190</v>
      </c>
      <c r="C46" s="5" t="s">
        <v>191</v>
      </c>
      <c r="D46">
        <v>110</v>
      </c>
      <c r="E46" s="54" t="s">
        <v>78</v>
      </c>
      <c r="F46" s="5">
        <v>37</v>
      </c>
      <c r="G46" s="4">
        <v>12.81</v>
      </c>
      <c r="H46" s="99">
        <v>18.5</v>
      </c>
      <c r="I46" s="4">
        <f t="shared" si="14"/>
        <v>2.888368462138954</v>
      </c>
      <c r="J46" s="109" t="s">
        <v>50</v>
      </c>
      <c r="K46" s="110" t="s">
        <v>50</v>
      </c>
      <c r="L46" s="110" t="s">
        <v>50</v>
      </c>
      <c r="M46" s="110" t="s">
        <v>50</v>
      </c>
      <c r="N46" s="110" t="s">
        <v>50</v>
      </c>
      <c r="O46" s="110" t="s">
        <v>50</v>
      </c>
      <c r="P46" s="110" t="s">
        <v>50</v>
      </c>
      <c r="Q46" s="110" t="s">
        <v>50</v>
      </c>
      <c r="R46" s="102">
        <v>8000</v>
      </c>
      <c r="S46" s="4">
        <f t="shared" si="15"/>
        <v>4517.2046165084012</v>
      </c>
      <c r="T46" s="67">
        <f t="shared" si="16"/>
        <v>13047.351351351354</v>
      </c>
      <c r="U46" s="16">
        <f t="shared" si="17"/>
        <v>904.57163784899149</v>
      </c>
      <c r="V46" s="18">
        <f t="shared" si="20"/>
        <v>2612.7361905084063</v>
      </c>
      <c r="W46" s="29" t="s">
        <v>64</v>
      </c>
      <c r="X46" s="26" t="s">
        <v>50</v>
      </c>
      <c r="Y46" s="26" t="s">
        <v>50</v>
      </c>
      <c r="Z46" s="26" t="s">
        <v>50</v>
      </c>
      <c r="AA46" s="27" t="s">
        <v>50</v>
      </c>
      <c r="AB46" s="4">
        <f t="shared" si="4"/>
        <v>8.2823737239116468</v>
      </c>
      <c r="AC46" s="32">
        <f t="shared" si="21"/>
        <v>5.2254723810168128E-3</v>
      </c>
      <c r="AD46" s="73">
        <f>(V46/1000)*AN$24/1000</f>
        <v>0.16434110638297875</v>
      </c>
      <c r="AE46" s="67">
        <f t="shared" si="22"/>
        <v>30.699650238473772</v>
      </c>
      <c r="AF46" s="40"/>
      <c r="AG46" s="4">
        <f t="shared" si="18"/>
        <v>652.91166061808281</v>
      </c>
      <c r="AH46" s="4">
        <f t="shared" si="19"/>
        <v>783.49399274169923</v>
      </c>
      <c r="AI46" s="4">
        <f t="shared" si="8"/>
        <v>5050.5876198779433</v>
      </c>
      <c r="AJ46" s="75"/>
    </row>
    <row r="47" spans="1:36">
      <c r="A47">
        <v>43</v>
      </c>
      <c r="B47" t="s">
        <v>192</v>
      </c>
      <c r="C47" s="5" t="s">
        <v>193</v>
      </c>
      <c r="D47">
        <v>121.67</v>
      </c>
      <c r="E47" s="51" t="s">
        <v>175</v>
      </c>
      <c r="F47" s="5">
        <v>272</v>
      </c>
      <c r="G47" s="4">
        <v>14.27</v>
      </c>
      <c r="H47" s="99">
        <v>18</v>
      </c>
      <c r="I47" s="4">
        <f t="shared" si="14"/>
        <v>19.060967063770146</v>
      </c>
      <c r="J47" s="107"/>
      <c r="K47" s="108"/>
      <c r="L47" s="108"/>
      <c r="M47" s="108"/>
      <c r="N47" s="108"/>
      <c r="O47" s="108"/>
      <c r="P47" s="108"/>
      <c r="Q47" s="108"/>
      <c r="R47" s="102">
        <v>9000</v>
      </c>
      <c r="S47" s="4">
        <f t="shared" si="15"/>
        <v>6247.8816666666662</v>
      </c>
      <c r="T47" s="67">
        <f t="shared" si="16"/>
        <v>119090.66666666666</v>
      </c>
      <c r="U47" s="16">
        <f t="shared" si="17"/>
        <v>1239.4199752031959</v>
      </c>
      <c r="V47" s="18">
        <f t="shared" ref="V47:V52" si="29">(T47*3.6)/(AP$6*AL$5)</f>
        <v>23624.543325526931</v>
      </c>
      <c r="W47" s="29" t="s">
        <v>55</v>
      </c>
      <c r="X47" t="s">
        <v>194</v>
      </c>
      <c r="Y47">
        <v>500</v>
      </c>
      <c r="Z47" s="28" t="s">
        <v>50</v>
      </c>
      <c r="AA47" s="6" t="s">
        <v>121</v>
      </c>
      <c r="AB47" s="4">
        <f t="shared" si="4"/>
        <v>74.889802341920372</v>
      </c>
      <c r="AC47" s="32">
        <f t="shared" si="21"/>
        <v>4.7249086651053866E-2</v>
      </c>
      <c r="AD47" s="73">
        <f t="shared" ref="AD47:AD52" si="30">(V47/1000)*AN$20/1000</f>
        <v>1.8545266510538643</v>
      </c>
      <c r="AE47" s="67">
        <f t="shared" ref="AE47:AE52" si="31">V47*AL$5/3600</f>
        <v>280.21333333333331</v>
      </c>
      <c r="AF47" s="42"/>
      <c r="AG47" s="4">
        <f t="shared" si="18"/>
        <v>5959.4995829858208</v>
      </c>
      <c r="AH47" s="4">
        <f t="shared" si="19"/>
        <v>7151.3994995829853</v>
      </c>
      <c r="AI47" s="4">
        <f t="shared" si="8"/>
        <v>46099.612903225796</v>
      </c>
      <c r="AJ47" s="75"/>
    </row>
    <row r="48" spans="1:36">
      <c r="A48">
        <v>44</v>
      </c>
      <c r="B48" t="s">
        <v>195</v>
      </c>
      <c r="C48" s="5" t="s">
        <v>196</v>
      </c>
      <c r="D48">
        <v>121.8</v>
      </c>
      <c r="E48" s="51" t="s">
        <v>175</v>
      </c>
      <c r="F48" s="5">
        <v>272</v>
      </c>
      <c r="G48" s="4">
        <v>14.93</v>
      </c>
      <c r="H48" s="99">
        <v>18.600000000000001</v>
      </c>
      <c r="I48" s="4">
        <f t="shared" si="14"/>
        <v>18.218352310783658</v>
      </c>
      <c r="J48" s="107"/>
      <c r="K48" s="108"/>
      <c r="L48" s="108"/>
      <c r="M48" s="108"/>
      <c r="N48" s="108"/>
      <c r="O48" s="108"/>
      <c r="P48" s="108"/>
      <c r="Q48" s="108"/>
      <c r="R48" s="102">
        <v>9000</v>
      </c>
      <c r="S48" s="4">
        <f t="shared" si="15"/>
        <v>6368.9422476586878</v>
      </c>
      <c r="T48" s="67">
        <f t="shared" si="16"/>
        <v>116031.63371488031</v>
      </c>
      <c r="U48" s="16">
        <f t="shared" si="17"/>
        <v>1263.4352991635913</v>
      </c>
      <c r="V48" s="18">
        <f t="shared" si="29"/>
        <v>23017.709402042656</v>
      </c>
      <c r="W48" s="29" t="s">
        <v>55</v>
      </c>
      <c r="X48" t="s">
        <v>194</v>
      </c>
      <c r="Y48">
        <v>500</v>
      </c>
      <c r="Z48" s="26" t="s">
        <v>50</v>
      </c>
      <c r="AA48" s="6" t="s">
        <v>121</v>
      </c>
      <c r="AB48" s="4">
        <f t="shared" si="4"/>
        <v>72.966138804475221</v>
      </c>
      <c r="AC48" s="32">
        <f t="shared" si="21"/>
        <v>4.6035418804085307E-2</v>
      </c>
      <c r="AD48" s="73">
        <f t="shared" si="30"/>
        <v>1.8068901880603485</v>
      </c>
      <c r="AE48" s="67">
        <f t="shared" si="31"/>
        <v>273.01560874089483</v>
      </c>
      <c r="AF48" s="42"/>
      <c r="AG48" s="4">
        <f t="shared" si="18"/>
        <v>5806.4203693851705</v>
      </c>
      <c r="AH48" s="4">
        <f t="shared" si="19"/>
        <v>6967.7044432622042</v>
      </c>
      <c r="AI48" s="4">
        <f t="shared" si="8"/>
        <v>44915.47111543754</v>
      </c>
      <c r="AJ48" s="75"/>
    </row>
    <row r="49" spans="1:36">
      <c r="A49">
        <v>45</v>
      </c>
      <c r="B49" t="s">
        <v>197</v>
      </c>
      <c r="C49" s="5" t="s">
        <v>198</v>
      </c>
      <c r="D49">
        <v>121.8</v>
      </c>
      <c r="E49" s="51" t="s">
        <v>175</v>
      </c>
      <c r="F49" s="5">
        <v>306</v>
      </c>
      <c r="G49" s="4">
        <v>14.5</v>
      </c>
      <c r="H49" s="99">
        <v>18</v>
      </c>
      <c r="I49" s="4">
        <f t="shared" si="14"/>
        <v>21.103448275862068</v>
      </c>
      <c r="J49" s="107"/>
      <c r="K49" s="108"/>
      <c r="L49" s="108"/>
      <c r="M49" s="108"/>
      <c r="N49" s="108"/>
      <c r="O49" s="108"/>
      <c r="P49" s="108"/>
      <c r="Q49" s="108"/>
      <c r="R49" s="102">
        <v>9000</v>
      </c>
      <c r="S49" s="4">
        <f t="shared" si="15"/>
        <v>6404.166666666667</v>
      </c>
      <c r="T49" s="67">
        <f t="shared" si="16"/>
        <v>135150</v>
      </c>
      <c r="U49" s="16">
        <f t="shared" si="17"/>
        <v>1270.4229232676678</v>
      </c>
      <c r="V49" s="18">
        <f t="shared" si="29"/>
        <v>26810.304449648709</v>
      </c>
      <c r="W49" s="29" t="s">
        <v>55</v>
      </c>
      <c r="X49" t="s">
        <v>194</v>
      </c>
      <c r="Y49">
        <v>500</v>
      </c>
      <c r="Z49" s="26" t="s">
        <v>50</v>
      </c>
      <c r="AA49" s="6" t="s">
        <v>121</v>
      </c>
      <c r="AB49" s="4">
        <f t="shared" si="4"/>
        <v>84.988665105386403</v>
      </c>
      <c r="AC49" s="32">
        <f t="shared" si="21"/>
        <v>5.3620608899297414E-2</v>
      </c>
      <c r="AD49" s="73">
        <f t="shared" si="30"/>
        <v>2.1046088992974239</v>
      </c>
      <c r="AE49" s="67">
        <f t="shared" si="31"/>
        <v>318</v>
      </c>
      <c r="AF49" s="42"/>
      <c r="AG49" s="4">
        <f t="shared" si="18"/>
        <v>6763.1359466221857</v>
      </c>
      <c r="AH49" s="4">
        <f t="shared" si="19"/>
        <v>8115.7631359466222</v>
      </c>
      <c r="AI49" s="4">
        <f t="shared" si="8"/>
        <v>52316.129032258061</v>
      </c>
      <c r="AJ49" s="75"/>
    </row>
    <row r="50" spans="1:36">
      <c r="A50">
        <v>46</v>
      </c>
      <c r="B50" t="s">
        <v>199</v>
      </c>
      <c r="C50" s="5" t="s">
        <v>200</v>
      </c>
      <c r="D50">
        <v>123</v>
      </c>
      <c r="E50" s="51" t="s">
        <v>175</v>
      </c>
      <c r="F50" s="5">
        <v>272</v>
      </c>
      <c r="G50" s="4">
        <v>14.48</v>
      </c>
      <c r="H50" s="99">
        <v>18</v>
      </c>
      <c r="I50" s="4">
        <f t="shared" si="14"/>
        <v>18.784530386740332</v>
      </c>
      <c r="J50" s="107"/>
      <c r="K50" s="108"/>
      <c r="L50" s="108"/>
      <c r="M50" s="108"/>
      <c r="N50" s="108"/>
      <c r="O50" s="108"/>
      <c r="P50" s="108"/>
      <c r="Q50" s="108"/>
      <c r="R50" s="102">
        <f>3970*2</f>
        <v>7940</v>
      </c>
      <c r="S50" s="4">
        <f t="shared" si="15"/>
        <v>5637.8469925925938</v>
      </c>
      <c r="T50" s="67">
        <f t="shared" si="16"/>
        <v>105904.30814814818</v>
      </c>
      <c r="U50" s="16">
        <f t="shared" si="17"/>
        <v>1118.4046933921113</v>
      </c>
      <c r="V50" s="18">
        <f t="shared" si="29"/>
        <v>21008.706947697119</v>
      </c>
      <c r="W50" s="29" t="s">
        <v>64</v>
      </c>
      <c r="X50" t="s">
        <v>201</v>
      </c>
      <c r="Y50">
        <v>750</v>
      </c>
      <c r="Z50" s="26" t="s">
        <v>50</v>
      </c>
      <c r="AA50" s="6" t="s">
        <v>121</v>
      </c>
      <c r="AB50" s="4">
        <f>AP$11*V50/1000</f>
        <v>66.597601024199861</v>
      </c>
      <c r="AC50" s="32">
        <f t="shared" si="21"/>
        <v>4.2017413895394241E-2</v>
      </c>
      <c r="AD50" s="73">
        <f t="shared" si="30"/>
        <v>1.6491834953942239</v>
      </c>
      <c r="AE50" s="67">
        <f t="shared" si="31"/>
        <v>249.18660740740754</v>
      </c>
      <c r="AF50" s="42"/>
      <c r="AG50" s="4">
        <f t="shared" si="18"/>
        <v>5299.631767213421</v>
      </c>
      <c r="AH50" s="4">
        <f t="shared" si="19"/>
        <v>6359.5581206561046</v>
      </c>
      <c r="AI50" s="4">
        <f t="shared" si="8"/>
        <v>40995.216057347679</v>
      </c>
      <c r="AJ50" s="75"/>
    </row>
    <row r="51" spans="1:36">
      <c r="A51">
        <v>47</v>
      </c>
      <c r="B51" t="s">
        <v>202</v>
      </c>
      <c r="C51" s="5" t="s">
        <v>203</v>
      </c>
      <c r="D51">
        <v>123.3</v>
      </c>
      <c r="E51" s="51" t="s">
        <v>175</v>
      </c>
      <c r="F51" s="5">
        <v>272</v>
      </c>
      <c r="G51" s="4">
        <v>14.79</v>
      </c>
      <c r="H51" s="99">
        <v>18</v>
      </c>
      <c r="I51" s="4">
        <f t="shared" si="14"/>
        <v>18.390804597701152</v>
      </c>
      <c r="J51" s="107"/>
      <c r="K51" s="108"/>
      <c r="L51" s="108"/>
      <c r="M51" s="108"/>
      <c r="N51" s="108"/>
      <c r="O51" s="108"/>
      <c r="P51" s="108"/>
      <c r="Q51" s="108"/>
      <c r="R51" s="102">
        <v>9000</v>
      </c>
      <c r="S51" s="4">
        <f t="shared" si="15"/>
        <v>6603.7349999999997</v>
      </c>
      <c r="T51" s="67">
        <f t="shared" si="16"/>
        <v>121448.00000000001</v>
      </c>
      <c r="U51" s="16">
        <f t="shared" si="17"/>
        <v>1310.0121779859483</v>
      </c>
      <c r="V51" s="18">
        <f t="shared" si="29"/>
        <v>24092.177985948478</v>
      </c>
      <c r="W51" s="29" t="s">
        <v>55</v>
      </c>
      <c r="X51" t="s">
        <v>194</v>
      </c>
      <c r="Y51">
        <v>500</v>
      </c>
      <c r="Z51" s="26" t="s">
        <v>50</v>
      </c>
      <c r="AA51" s="6" t="s">
        <v>121</v>
      </c>
      <c r="AB51" s="4">
        <f t="shared" si="4"/>
        <v>76.372204215456676</v>
      </c>
      <c r="AC51" s="32">
        <f t="shared" si="21"/>
        <v>4.8184355971896957E-2</v>
      </c>
      <c r="AD51" s="73">
        <f t="shared" si="30"/>
        <v>1.8912359718969556</v>
      </c>
      <c r="AE51" s="67">
        <f t="shared" si="31"/>
        <v>285.76000000000005</v>
      </c>
      <c r="AF51" s="42"/>
      <c r="AG51" s="4">
        <f t="shared" si="18"/>
        <v>6077.46455379483</v>
      </c>
      <c r="AH51" s="4">
        <f t="shared" si="19"/>
        <v>7292.957464553795</v>
      </c>
      <c r="AI51" s="4">
        <f t="shared" si="8"/>
        <v>47012.129032258068</v>
      </c>
      <c r="AJ51" s="75"/>
    </row>
    <row r="52" spans="1:36">
      <c r="A52">
        <v>48</v>
      </c>
      <c r="B52" t="s">
        <v>204</v>
      </c>
      <c r="C52" s="5" t="s">
        <v>205</v>
      </c>
      <c r="D52">
        <v>123.3</v>
      </c>
      <c r="E52" s="51" t="s">
        <v>175</v>
      </c>
      <c r="F52" s="5">
        <v>272</v>
      </c>
      <c r="G52" s="4">
        <v>14.92</v>
      </c>
      <c r="H52" s="99">
        <v>18</v>
      </c>
      <c r="I52" s="4">
        <f t="shared" si="14"/>
        <v>18.230563002680967</v>
      </c>
      <c r="J52" s="107"/>
      <c r="K52" s="108"/>
      <c r="L52" s="108"/>
      <c r="M52" s="108"/>
      <c r="N52" s="108"/>
      <c r="O52" s="108"/>
      <c r="P52" s="108"/>
      <c r="Q52" s="108"/>
      <c r="R52" s="102">
        <v>9000</v>
      </c>
      <c r="S52" s="4">
        <f t="shared" si="15"/>
        <v>6694.1066666666666</v>
      </c>
      <c r="T52" s="67">
        <f t="shared" si="16"/>
        <v>122037.33333333334</v>
      </c>
      <c r="U52" s="16">
        <f t="shared" si="17"/>
        <v>1327.9396060063368</v>
      </c>
      <c r="V52" s="18">
        <f t="shared" si="29"/>
        <v>24209.086651053865</v>
      </c>
      <c r="W52" s="29" t="s">
        <v>55</v>
      </c>
      <c r="X52" t="s">
        <v>194</v>
      </c>
      <c r="Y52">
        <v>500</v>
      </c>
      <c r="Z52" s="26" t="s">
        <v>50</v>
      </c>
      <c r="AA52" s="6" t="s">
        <v>121</v>
      </c>
      <c r="AB52" s="4">
        <f t="shared" si="4"/>
        <v>76.742804683840745</v>
      </c>
      <c r="AC52" s="32">
        <f t="shared" si="21"/>
        <v>4.841817330210773E-2</v>
      </c>
      <c r="AD52" s="73">
        <f t="shared" si="30"/>
        <v>1.9004133021077285</v>
      </c>
      <c r="AE52" s="67">
        <f t="shared" si="31"/>
        <v>287.1466666666667</v>
      </c>
      <c r="AF52" s="42"/>
      <c r="AG52" s="4">
        <f t="shared" si="18"/>
        <v>6106.9557964970818</v>
      </c>
      <c r="AH52" s="4">
        <f t="shared" si="19"/>
        <v>7328.3469557964972</v>
      </c>
      <c r="AI52" s="4">
        <f t="shared" si="8"/>
        <v>47240.258064516129</v>
      </c>
      <c r="AJ52" s="75"/>
    </row>
    <row r="53" spans="1:36">
      <c r="A53">
        <v>49</v>
      </c>
      <c r="B53" t="s">
        <v>206</v>
      </c>
      <c r="C53" s="5" t="s">
        <v>207</v>
      </c>
      <c r="D53">
        <v>130.63999999999999</v>
      </c>
      <c r="E53" s="50" t="s">
        <v>180</v>
      </c>
      <c r="F53" s="5">
        <v>148</v>
      </c>
      <c r="G53" s="4">
        <v>11.3</v>
      </c>
      <c r="H53" s="99">
        <v>20</v>
      </c>
      <c r="I53" s="4">
        <f t="shared" si="14"/>
        <v>13.097345132743362</v>
      </c>
      <c r="J53" s="104">
        <v>28.23</v>
      </c>
      <c r="K53" s="105">
        <f>(6*R53/90)*J53</f>
        <v>22614.112000000001</v>
      </c>
      <c r="L53" s="106">
        <f>K53*(V53/T53)</f>
        <v>4599.1556076548277</v>
      </c>
      <c r="M53" s="105">
        <f>(AB53/V53)*L53</f>
        <v>9.7195488508438679</v>
      </c>
      <c r="N53" s="105">
        <f t="shared" ref="N53:N56" si="32">AL$15*(L53/1000)</f>
        <v>9.1983112153096549</v>
      </c>
      <c r="O53" s="105">
        <f>L53*(AD53/V53)*1000</f>
        <v>290.5976470696703</v>
      </c>
      <c r="P53" s="105">
        <f>(3.6*K53)/(0.6*AL$9)</f>
        <v>1131.6486405337782</v>
      </c>
      <c r="Q53" s="105">
        <f>(3.6*K53)/(0.5*AL$12)</f>
        <v>8753.8498064516134</v>
      </c>
      <c r="R53" s="102">
        <v>12016</v>
      </c>
      <c r="S53" s="4">
        <f t="shared" si="15"/>
        <v>5017.1005600000008</v>
      </c>
      <c r="T53" s="67">
        <f t="shared" si="16"/>
        <v>65710.6976</v>
      </c>
      <c r="U53" s="16">
        <f t="shared" si="17"/>
        <v>1020.3551735611894</v>
      </c>
      <c r="V53" s="18">
        <f>(T53*3.6)/(AL$11*AP$6)</f>
        <v>13363.943866111153</v>
      </c>
      <c r="W53" s="29" t="s">
        <v>93</v>
      </c>
      <c r="X53" s="49" t="s">
        <v>208</v>
      </c>
      <c r="Y53">
        <v>750</v>
      </c>
      <c r="Z53">
        <v>178.8</v>
      </c>
      <c r="AA53" s="6" t="s">
        <v>54</v>
      </c>
      <c r="AB53" s="4">
        <f>(AP$15*V53+2*AP$11*V53)/3000</f>
        <v>28.242468037048233</v>
      </c>
      <c r="AC53" s="32">
        <f t="shared" si="21"/>
        <v>2.6727887732222306E-2</v>
      </c>
      <c r="AD53" s="73">
        <f>(V53/1000)*AN$25/1000</f>
        <v>0.8444007931802332</v>
      </c>
      <c r="AE53" s="67">
        <f>V53*AL$11/3600</f>
        <v>154.61340611764709</v>
      </c>
      <c r="AF53" s="42"/>
      <c r="AG53" s="4">
        <f t="shared" si="18"/>
        <v>3288.275109257715</v>
      </c>
      <c r="AH53" s="4">
        <f t="shared" si="19"/>
        <v>3945.9301311092577</v>
      </c>
      <c r="AI53" s="4">
        <f t="shared" si="8"/>
        <v>25436.399070967742</v>
      </c>
      <c r="AJ53" s="75"/>
    </row>
    <row r="54" spans="1:36">
      <c r="A54">
        <v>50</v>
      </c>
      <c r="B54" t="s">
        <v>209</v>
      </c>
      <c r="C54" s="5" t="s">
        <v>210</v>
      </c>
      <c r="D54">
        <v>131.56</v>
      </c>
      <c r="E54" s="50" t="s">
        <v>180</v>
      </c>
      <c r="F54" s="5">
        <v>39</v>
      </c>
      <c r="G54" s="4">
        <v>9.68</v>
      </c>
      <c r="H54" s="99">
        <v>15</v>
      </c>
      <c r="I54" s="4">
        <f t="shared" si="14"/>
        <v>4.0289256198347108</v>
      </c>
      <c r="J54" s="104">
        <v>5</v>
      </c>
      <c r="K54" s="105">
        <f t="shared" ref="K54:K56" si="33">(6*R54/90)*J54</f>
        <v>2133.3333333333335</v>
      </c>
      <c r="L54" s="106">
        <f t="shared" ref="L54:L56" si="34">K54*(V54/T54)</f>
        <v>491.71668667466997</v>
      </c>
      <c r="M54" s="105">
        <f t="shared" ref="M54:M56" si="35">(AB54/V54)*L54</f>
        <v>1.0391612645058026</v>
      </c>
      <c r="N54" s="105">
        <f t="shared" si="32"/>
        <v>0.98343337334933989</v>
      </c>
      <c r="O54" s="105">
        <f t="shared" ref="O54:O56" si="36">L54*(AD54/V54)*1000</f>
        <v>28.207327731092448</v>
      </c>
      <c r="P54" s="105">
        <f t="shared" ref="P54:P56" si="37">(3.6*K54)/(0.6*AL$9)</f>
        <v>106.75562969140952</v>
      </c>
      <c r="Q54" s="105">
        <f t="shared" ref="Q54:Q56" si="38">(3.6*K54)/(0.5*AL$12)</f>
        <v>825.80645161290329</v>
      </c>
      <c r="R54" s="102">
        <v>6400</v>
      </c>
      <c r="S54" s="4">
        <f t="shared" si="15"/>
        <v>3251.2409599999996</v>
      </c>
      <c r="T54" s="67">
        <f t="shared" si="16"/>
        <v>13099.007999999998</v>
      </c>
      <c r="U54" s="16">
        <f t="shared" si="17"/>
        <v>749.38567145258094</v>
      </c>
      <c r="V54" s="118">
        <f>(T54*3.6)/(AL$11*AP$5)</f>
        <v>3019.2191308523406</v>
      </c>
      <c r="W54" s="29" t="s">
        <v>93</v>
      </c>
      <c r="X54" s="12" t="s">
        <v>211</v>
      </c>
      <c r="Y54" t="s">
        <v>212</v>
      </c>
      <c r="Z54">
        <v>190</v>
      </c>
      <c r="AA54" s="6" t="s">
        <v>213</v>
      </c>
      <c r="AB54" s="4">
        <f>(AP$15*V54+2*AP$11*V54)/3000</f>
        <v>6.3806164298679473</v>
      </c>
      <c r="AC54" s="32">
        <f t="shared" si="21"/>
        <v>6.0384382617046815E-3</v>
      </c>
      <c r="AD54" s="73">
        <f>(V54/1000)*AN28/1000</f>
        <v>0.17319750544134455</v>
      </c>
      <c r="AE54" s="67">
        <f>V54*AL$11/3600</f>
        <v>34.930687999999996</v>
      </c>
      <c r="AF54" s="42"/>
      <c r="AG54" s="4">
        <f t="shared" si="18"/>
        <v>655.49664720600492</v>
      </c>
      <c r="AH54" s="4">
        <f t="shared" si="19"/>
        <v>786.59597664720582</v>
      </c>
      <c r="AI54" s="4">
        <f t="shared" si="8"/>
        <v>5070.583741935483</v>
      </c>
      <c r="AJ54" s="75" t="s">
        <v>214</v>
      </c>
    </row>
    <row r="55" spans="1:36">
      <c r="A55">
        <v>51</v>
      </c>
      <c r="B55" t="s">
        <v>215</v>
      </c>
      <c r="C55" s="5" t="s">
        <v>216</v>
      </c>
      <c r="D55">
        <v>133.4</v>
      </c>
      <c r="E55" s="50" t="s">
        <v>180</v>
      </c>
      <c r="F55" s="5">
        <v>74</v>
      </c>
      <c r="G55" s="4">
        <v>10.58</v>
      </c>
      <c r="H55" s="99">
        <v>19</v>
      </c>
      <c r="I55" s="4">
        <f t="shared" si="14"/>
        <v>6.9943289224952743</v>
      </c>
      <c r="J55" s="104">
        <v>9</v>
      </c>
      <c r="K55" s="105">
        <f t="shared" si="33"/>
        <v>4368</v>
      </c>
      <c r="L55" s="106">
        <f t="shared" si="34"/>
        <v>874.69336670838572</v>
      </c>
      <c r="M55" s="105">
        <f t="shared" si="35"/>
        <v>2.7727779724655823</v>
      </c>
      <c r="N55" s="105">
        <f t="shared" si="32"/>
        <v>1.7493867334167714</v>
      </c>
      <c r="O55" s="105">
        <f t="shared" si="36"/>
        <v>68.663429286608277</v>
      </c>
      <c r="P55" s="105">
        <f t="shared" si="37"/>
        <v>218.58215179316099</v>
      </c>
      <c r="Q55" s="105">
        <f t="shared" si="38"/>
        <v>1690.8387096774193</v>
      </c>
      <c r="R55" s="102">
        <v>7280</v>
      </c>
      <c r="S55" s="4">
        <f t="shared" si="15"/>
        <v>2975.9236432132966</v>
      </c>
      <c r="T55" s="67">
        <f t="shared" si="16"/>
        <v>20814.588808864268</v>
      </c>
      <c r="U55" s="16">
        <f t="shared" si="17"/>
        <v>595.92964069352638</v>
      </c>
      <c r="V55" s="18">
        <f>(T55*3.6)/(AL$6*AP$6)</f>
        <v>4168.1279216749481</v>
      </c>
      <c r="W55" s="29" t="s">
        <v>64</v>
      </c>
      <c r="X55" s="12" t="s">
        <v>217</v>
      </c>
      <c r="Y55" t="s">
        <v>218</v>
      </c>
      <c r="Z55" s="26" t="s">
        <v>50</v>
      </c>
      <c r="AA55" s="6" t="s">
        <v>118</v>
      </c>
      <c r="AB55" s="4">
        <f>AP$11*V55/1000</f>
        <v>13.212965511709584</v>
      </c>
      <c r="AC55" s="32">
        <f t="shared" si="21"/>
        <v>8.3362558433498959E-3</v>
      </c>
      <c r="AD55" s="73">
        <f>(V55/1000)*AN$19/1000</f>
        <v>0.32719804185148343</v>
      </c>
      <c r="AE55" s="67">
        <f>V55*AL$6/3600</f>
        <v>48.975503079680635</v>
      </c>
      <c r="AF55" s="39"/>
      <c r="AG55" s="4">
        <f t="shared" si="18"/>
        <v>1041.5974383084706</v>
      </c>
      <c r="AH55" s="4">
        <f t="shared" si="19"/>
        <v>1249.9169259701646</v>
      </c>
      <c r="AI55" s="4">
        <f t="shared" si="8"/>
        <v>8057.260184076491</v>
      </c>
      <c r="AJ55" s="75"/>
    </row>
    <row r="56" spans="1:36">
      <c r="A56">
        <v>52</v>
      </c>
      <c r="B56" t="s">
        <v>219</v>
      </c>
      <c r="C56" s="5" t="s">
        <v>220</v>
      </c>
      <c r="D56">
        <v>133.80000000000001</v>
      </c>
      <c r="E56" s="50" t="s">
        <v>180</v>
      </c>
      <c r="F56" s="5">
        <v>74</v>
      </c>
      <c r="G56" s="4">
        <v>11.63</v>
      </c>
      <c r="H56" s="99">
        <v>19</v>
      </c>
      <c r="I56" s="4">
        <f t="shared" si="14"/>
        <v>6.3628546861564912</v>
      </c>
      <c r="J56" s="104">
        <v>11.08</v>
      </c>
      <c r="K56" s="105">
        <f t="shared" si="33"/>
        <v>5377.4933333333329</v>
      </c>
      <c r="L56" s="106">
        <f t="shared" si="34"/>
        <v>1076.844722569879</v>
      </c>
      <c r="M56" s="105">
        <f t="shared" si="35"/>
        <v>3.4135977705465161</v>
      </c>
      <c r="N56" s="105">
        <f t="shared" si="32"/>
        <v>2.1536894451397579</v>
      </c>
      <c r="O56" s="105">
        <f t="shared" si="36"/>
        <v>84.532310721735485</v>
      </c>
      <c r="P56" s="105">
        <f t="shared" si="37"/>
        <v>269.09891576313595</v>
      </c>
      <c r="Q56" s="105">
        <f t="shared" si="38"/>
        <v>2081.6103225806451</v>
      </c>
      <c r="R56" s="102">
        <v>7280</v>
      </c>
      <c r="S56" s="4">
        <f t="shared" si="15"/>
        <v>3419.0215490304718</v>
      </c>
      <c r="T56" s="67">
        <f t="shared" si="16"/>
        <v>21754.737285318562</v>
      </c>
      <c r="U56" s="16">
        <f t="shared" si="17"/>
        <v>684.66013497481288</v>
      </c>
      <c r="V56" s="18">
        <f>(T56*3.6)/(AL$6*AP$6)</f>
        <v>4356.3929482490239</v>
      </c>
      <c r="W56" s="29" t="s">
        <v>64</v>
      </c>
      <c r="X56" t="s">
        <v>217</v>
      </c>
      <c r="Y56" t="s">
        <v>218</v>
      </c>
      <c r="Z56" s="26" t="s">
        <v>50</v>
      </c>
      <c r="AA56" s="6" t="s">
        <v>118</v>
      </c>
      <c r="AB56" s="4">
        <f>AP$11*V56/1000</f>
        <v>13.809765645949405</v>
      </c>
      <c r="AC56" s="32">
        <f t="shared" si="21"/>
        <v>8.7127858964980483E-3</v>
      </c>
      <c r="AD56" s="73">
        <f>(V56/1000)*AN$19/1000</f>
        <v>0.34197684643754839</v>
      </c>
      <c r="AE56" s="67">
        <f>V56*AL$6/3600</f>
        <v>51.187617141926026</v>
      </c>
      <c r="AF56" s="39"/>
      <c r="AG56" s="4">
        <f t="shared" si="18"/>
        <v>1088.6440676556413</v>
      </c>
      <c r="AH56" s="4">
        <f t="shared" si="19"/>
        <v>1306.3728811867693</v>
      </c>
      <c r="AI56" s="4">
        <f t="shared" si="8"/>
        <v>8421.1886265749272</v>
      </c>
      <c r="AJ56" s="75"/>
    </row>
    <row r="57" spans="1:36">
      <c r="A57">
        <v>53</v>
      </c>
      <c r="B57" t="s">
        <v>221</v>
      </c>
      <c r="C57" s="5" t="s">
        <v>222</v>
      </c>
      <c r="D57">
        <v>135.75</v>
      </c>
      <c r="E57" s="51" t="s">
        <v>175</v>
      </c>
      <c r="F57" s="5">
        <v>272</v>
      </c>
      <c r="G57" s="4">
        <v>14.73</v>
      </c>
      <c r="H57" s="99">
        <v>18</v>
      </c>
      <c r="I57" s="4">
        <f t="shared" si="14"/>
        <v>18.465716225390359</v>
      </c>
      <c r="J57" s="107"/>
      <c r="K57" s="108"/>
      <c r="L57" s="108"/>
      <c r="M57" s="108"/>
      <c r="N57" s="108"/>
      <c r="O57" s="108"/>
      <c r="P57" s="108"/>
      <c r="Q57" s="108"/>
      <c r="R57" s="102">
        <v>8240</v>
      </c>
      <c r="S57" s="4">
        <f t="shared" si="15"/>
        <v>6008.0724000000009</v>
      </c>
      <c r="T57" s="67">
        <f t="shared" si="16"/>
        <v>110943.36000000002</v>
      </c>
      <c r="U57" s="16">
        <f t="shared" si="17"/>
        <v>1221.8945351317002</v>
      </c>
      <c r="V57" s="18">
        <f>(T57*3.6)/(AL$11*AP$6)</f>
        <v>22563.157743097247</v>
      </c>
      <c r="W57" s="29" t="s">
        <v>93</v>
      </c>
      <c r="X57" t="s">
        <v>223</v>
      </c>
      <c r="Y57">
        <v>750</v>
      </c>
      <c r="Z57">
        <v>178.8</v>
      </c>
      <c r="AA57" s="6" t="s">
        <v>54</v>
      </c>
      <c r="AB57" s="4">
        <f>(AP$15*V57+2*AP$11*V57)/3000</f>
        <v>47.683473363745513</v>
      </c>
      <c r="AC57" s="32">
        <f t="shared" si="21"/>
        <v>4.5126315486194495E-2</v>
      </c>
      <c r="AD57" s="73">
        <f>(V57/1000)*AN$25/1000</f>
        <v>1.4256531219975996</v>
      </c>
      <c r="AE57" s="67">
        <f>V57*AL$11/3600</f>
        <v>261.04320000000007</v>
      </c>
      <c r="AF57" s="42"/>
      <c r="AG57" s="4">
        <f t="shared" si="18"/>
        <v>5551.7944954128452</v>
      </c>
      <c r="AH57" s="4">
        <f t="shared" si="19"/>
        <v>6662.1533944954135</v>
      </c>
      <c r="AI57" s="4">
        <f t="shared" si="8"/>
        <v>42945.816774193554</v>
      </c>
      <c r="AJ57" s="75"/>
    </row>
    <row r="58" spans="1:36">
      <c r="A58">
        <v>54</v>
      </c>
      <c r="B58" t="s">
        <v>224</v>
      </c>
      <c r="C58" s="5" t="s">
        <v>225</v>
      </c>
      <c r="D58">
        <v>135.75</v>
      </c>
      <c r="E58" s="51" t="s">
        <v>175</v>
      </c>
      <c r="F58" s="5">
        <v>276</v>
      </c>
      <c r="G58" s="4">
        <v>14.35</v>
      </c>
      <c r="H58" s="99">
        <v>18</v>
      </c>
      <c r="I58" s="4">
        <f t="shared" si="14"/>
        <v>19.233449477351918</v>
      </c>
      <c r="J58" s="107"/>
      <c r="K58" s="108"/>
      <c r="L58" s="108"/>
      <c r="M58" s="108"/>
      <c r="N58" s="108"/>
      <c r="O58" s="108"/>
      <c r="P58" s="108"/>
      <c r="Q58" s="108"/>
      <c r="R58" s="102">
        <v>8280</v>
      </c>
      <c r="S58" s="4">
        <f t="shared" si="15"/>
        <v>5797.8783333333322</v>
      </c>
      <c r="T58" s="67">
        <f t="shared" si="16"/>
        <v>111513.19999999998</v>
      </c>
      <c r="U58" s="16">
        <f t="shared" si="17"/>
        <v>1179.1462184873949</v>
      </c>
      <c r="V58" s="18">
        <f>(T58*3.6)/(AL$11*AP$6)</f>
        <v>22679.049219687877</v>
      </c>
      <c r="W58" s="29" t="s">
        <v>93</v>
      </c>
      <c r="X58" t="s">
        <v>223</v>
      </c>
      <c r="Y58">
        <v>750</v>
      </c>
      <c r="Z58">
        <v>178.8</v>
      </c>
      <c r="AA58" s="6" t="s">
        <v>54</v>
      </c>
      <c r="AB58" s="4">
        <f>(AP$15*V58+2*AP$11*V58)/3000</f>
        <v>47.928390684273715</v>
      </c>
      <c r="AC58" s="32">
        <f t="shared" si="21"/>
        <v>4.5358098439375751E-2</v>
      </c>
      <c r="AD58" s="73">
        <f>(V58/1000)*AN$25/1000</f>
        <v>1.4329757249459785</v>
      </c>
      <c r="AE58" s="67">
        <f>V58*AL$11/3600</f>
        <v>262.38400000000001</v>
      </c>
      <c r="AF58" s="42"/>
      <c r="AG58" s="4">
        <f t="shared" si="18"/>
        <v>5580.3102585487904</v>
      </c>
      <c r="AH58" s="4">
        <f t="shared" si="19"/>
        <v>6696.3723102585482</v>
      </c>
      <c r="AI58" s="4">
        <f t="shared" si="8"/>
        <v>43166.399999999994</v>
      </c>
      <c r="AJ58" s="75"/>
    </row>
    <row r="59" spans="1:36">
      <c r="A59">
        <v>55</v>
      </c>
      <c r="B59" t="s">
        <v>226</v>
      </c>
      <c r="C59" s="5" t="s">
        <v>227</v>
      </c>
      <c r="D59">
        <v>135.75</v>
      </c>
      <c r="E59" s="51" t="s">
        <v>175</v>
      </c>
      <c r="F59" s="5">
        <v>275</v>
      </c>
      <c r="G59" s="4">
        <v>14.6</v>
      </c>
      <c r="H59" s="99">
        <v>18</v>
      </c>
      <c r="I59" s="4">
        <f t="shared" si="14"/>
        <v>18.835616438356166</v>
      </c>
      <c r="J59" s="107"/>
      <c r="K59" s="108"/>
      <c r="L59" s="108"/>
      <c r="M59" s="108"/>
      <c r="N59" s="108"/>
      <c r="O59" s="108"/>
      <c r="P59" s="108"/>
      <c r="Q59" s="108"/>
      <c r="R59" s="102">
        <v>8280</v>
      </c>
      <c r="S59" s="4">
        <f t="shared" si="15"/>
        <v>5954.8533333333335</v>
      </c>
      <c r="T59" s="67">
        <f t="shared" si="16"/>
        <v>112163.33333333334</v>
      </c>
      <c r="U59" s="16">
        <f t="shared" si="17"/>
        <v>1211.0710825506676</v>
      </c>
      <c r="V59" s="18">
        <f>(T59*3.6)/(AL$11*AP$6)</f>
        <v>22811.270390509151</v>
      </c>
      <c r="W59" s="29" t="s">
        <v>93</v>
      </c>
      <c r="X59" t="s">
        <v>223</v>
      </c>
      <c r="Y59">
        <v>750</v>
      </c>
      <c r="Z59">
        <v>178.8</v>
      </c>
      <c r="AA59" s="6" t="s">
        <v>54</v>
      </c>
      <c r="AB59" s="4">
        <f>(AP$15*V59+2*AP$11*V59)/3000</f>
        <v>48.207818091942677</v>
      </c>
      <c r="AC59" s="32">
        <f t="shared" si="21"/>
        <v>4.5622540781018302E-2</v>
      </c>
      <c r="AD59" s="73">
        <f>(V59/1000)*AN$25/1000</f>
        <v>1.4413301196243209</v>
      </c>
      <c r="AE59" s="67">
        <f>V59*AL$11/3600</f>
        <v>263.91372549019616</v>
      </c>
      <c r="AF59" s="42"/>
      <c r="AG59" s="4">
        <f t="shared" si="18"/>
        <v>5612.8440366972491</v>
      </c>
      <c r="AH59" s="4">
        <f t="shared" si="19"/>
        <v>6735.4128440366976</v>
      </c>
      <c r="AI59" s="4">
        <f t="shared" si="8"/>
        <v>43418.064516129038</v>
      </c>
      <c r="AJ59" s="75"/>
    </row>
    <row r="60" spans="1:36">
      <c r="A60">
        <v>56</v>
      </c>
      <c r="B60" t="s">
        <v>228</v>
      </c>
      <c r="C60" s="5" t="s">
        <v>229</v>
      </c>
      <c r="D60">
        <v>139</v>
      </c>
      <c r="E60" s="50" t="s">
        <v>180</v>
      </c>
      <c r="F60" s="5">
        <v>35</v>
      </c>
      <c r="G60" s="4">
        <v>12.19</v>
      </c>
      <c r="H60" s="99">
        <v>16</v>
      </c>
      <c r="I60" s="4">
        <f t="shared" si="14"/>
        <v>2.8712059064807218</v>
      </c>
      <c r="J60" s="104">
        <v>6</v>
      </c>
      <c r="K60" s="105">
        <f>(6*R60/90)*J60</f>
        <v>4480</v>
      </c>
      <c r="L60" s="106">
        <f t="shared" ref="L60:L61" si="39">K60*(V60/T60)</f>
        <v>911.12209589718248</v>
      </c>
      <c r="M60" s="105">
        <f t="shared" ref="M60:M122" si="40">(AB60/V60)*L60</f>
        <v>2.8627456253089472</v>
      </c>
      <c r="N60" s="105">
        <f t="shared" ref="N60:N61" si="41">AL$15*(L60/1000)</f>
        <v>1.822244191794365</v>
      </c>
      <c r="O60" s="105">
        <f>L60*(AD60/V60)*1000</f>
        <v>57.569249629263467</v>
      </c>
      <c r="P60" s="105">
        <f>(3.6*K60)/(0.6*AL$9)</f>
        <v>224.18682235195996</v>
      </c>
      <c r="Q60" s="105">
        <f>(3.6*K60)/(0.5*AL$12)</f>
        <v>1734.1935483870966</v>
      </c>
      <c r="R60" s="102">
        <v>11200</v>
      </c>
      <c r="S60" s="4">
        <f t="shared" si="15"/>
        <v>7313.8476249999994</v>
      </c>
      <c r="T60" s="67">
        <f t="shared" si="16"/>
        <v>20999.562499999996</v>
      </c>
      <c r="U60" s="16">
        <f t="shared" si="17"/>
        <v>1487.4571824023726</v>
      </c>
      <c r="V60" s="18">
        <f>(T60*3.6)/(AL$7*AP$6)</f>
        <v>4270.7958477508646</v>
      </c>
      <c r="W60" s="29" t="s">
        <v>73</v>
      </c>
      <c r="X60" s="12" t="s">
        <v>230</v>
      </c>
      <c r="Y60" t="s">
        <v>231</v>
      </c>
      <c r="Z60">
        <v>183</v>
      </c>
      <c r="AA60" s="6" t="s">
        <v>54</v>
      </c>
      <c r="AB60" s="4">
        <f>AP$13*V60/1000</f>
        <v>13.418840553633215</v>
      </c>
      <c r="AC60" s="32">
        <f t="shared" si="21"/>
        <v>8.5415916955017303E-3</v>
      </c>
      <c r="AD60" s="73">
        <f>(V60/1000)*AN$25/1000</f>
        <v>0.26985023564013838</v>
      </c>
      <c r="AE60" s="67">
        <f>V60*AL$7/3600</f>
        <v>49.410735294117636</v>
      </c>
      <c r="AF60" s="39"/>
      <c r="AG60" s="4">
        <f t="shared" si="18"/>
        <v>1050.8538365304419</v>
      </c>
      <c r="AH60" s="4">
        <f t="shared" si="19"/>
        <v>1261.0246038365301</v>
      </c>
      <c r="AI60" s="4">
        <f t="shared" si="8"/>
        <v>8128.862903225805</v>
      </c>
      <c r="AJ60" s="75"/>
    </row>
    <row r="61" spans="1:36">
      <c r="A61">
        <v>57</v>
      </c>
      <c r="B61" t="s">
        <v>232</v>
      </c>
      <c r="C61" s="5" t="s">
        <v>233</v>
      </c>
      <c r="D61">
        <v>139.30000000000001</v>
      </c>
      <c r="E61" s="50" t="s">
        <v>180</v>
      </c>
      <c r="F61" s="5">
        <v>109</v>
      </c>
      <c r="G61" s="4">
        <v>12.98</v>
      </c>
      <c r="H61" s="99">
        <v>18</v>
      </c>
      <c r="I61" s="4">
        <f t="shared" si="14"/>
        <v>8.397534668721109</v>
      </c>
      <c r="J61" s="104">
        <v>23.74</v>
      </c>
      <c r="K61" s="105">
        <f>(6*R61/90)*J61</f>
        <v>11173.626666666667</v>
      </c>
      <c r="L61" s="106">
        <f t="shared" si="39"/>
        <v>2237.5222361284941</v>
      </c>
      <c r="M61" s="105">
        <f t="shared" si="40"/>
        <v>7.0929454885273264</v>
      </c>
      <c r="N61" s="105">
        <f t="shared" si="41"/>
        <v>4.4750444722569886</v>
      </c>
      <c r="O61" s="105"/>
      <c r="P61" s="105">
        <f>(3.6*K61)/(0.6*AL$9)</f>
        <v>559.14728940783993</v>
      </c>
      <c r="Q61" s="105">
        <f>(3.6*K61)/(0.5*AL$12)</f>
        <v>4325.2748387096772</v>
      </c>
      <c r="R61" s="102">
        <v>7060</v>
      </c>
      <c r="S61" s="4">
        <f t="shared" si="15"/>
        <v>4239.1430074074078</v>
      </c>
      <c r="T61" s="67">
        <f t="shared" si="16"/>
        <v>35598.350370370375</v>
      </c>
      <c r="U61" s="16">
        <f t="shared" si="17"/>
        <v>848.88971362351117</v>
      </c>
      <c r="V61" s="18">
        <f>(T61*3.6)/(AL$6*AP$6)</f>
        <v>7128.580800074169</v>
      </c>
      <c r="W61" s="29" t="s">
        <v>64</v>
      </c>
      <c r="X61" s="12" t="s">
        <v>234</v>
      </c>
      <c r="Y61">
        <v>600</v>
      </c>
      <c r="Z61">
        <v>178.3</v>
      </c>
      <c r="AA61" s="27" t="s">
        <v>50</v>
      </c>
      <c r="AB61" s="4">
        <f>AP$11*V61/1000</f>
        <v>22.597601136235117</v>
      </c>
      <c r="AC61" s="32">
        <f t="shared" si="21"/>
        <v>1.4257161600148338E-2</v>
      </c>
      <c r="AD61" s="73">
        <f>(V61/1000)*AN$24/1000</f>
        <v>0.44838773232466528</v>
      </c>
      <c r="AE61" s="67">
        <f>V61*AL$6/3600</f>
        <v>83.760824400871485</v>
      </c>
      <c r="AF61" s="39"/>
      <c r="AG61" s="4">
        <f t="shared" si="18"/>
        <v>1781.4020202020206</v>
      </c>
      <c r="AH61" s="4">
        <f t="shared" si="19"/>
        <v>2137.6824242424245</v>
      </c>
      <c r="AI61" s="4">
        <f t="shared" si="8"/>
        <v>13780.00659498208</v>
      </c>
      <c r="AJ61" s="75"/>
    </row>
    <row r="62" spans="1:36">
      <c r="A62">
        <v>58</v>
      </c>
      <c r="B62" t="s">
        <v>235</v>
      </c>
      <c r="C62" s="5" t="s">
        <v>236</v>
      </c>
      <c r="D62">
        <v>140</v>
      </c>
      <c r="E62" s="51" t="s">
        <v>175</v>
      </c>
      <c r="F62" s="5">
        <v>35</v>
      </c>
      <c r="G62" s="4">
        <v>12.85</v>
      </c>
      <c r="H62" s="99">
        <v>17</v>
      </c>
      <c r="I62" s="4">
        <f t="shared" si="14"/>
        <v>2.7237354085603114</v>
      </c>
      <c r="J62" s="107"/>
      <c r="K62" s="108"/>
      <c r="L62" s="108"/>
      <c r="M62" s="108"/>
      <c r="N62" s="108"/>
      <c r="O62" s="108"/>
      <c r="P62" s="108"/>
      <c r="Q62" s="108"/>
      <c r="R62" s="102">
        <v>14500</v>
      </c>
      <c r="S62" s="4">
        <f t="shared" si="15"/>
        <v>9354.9333910034602</v>
      </c>
      <c r="T62" s="67">
        <f t="shared" si="16"/>
        <v>25480.363321799308</v>
      </c>
      <c r="U62" s="16">
        <f t="shared" si="17"/>
        <v>1886.709255328429</v>
      </c>
      <c r="V62" s="18">
        <f>(T62*3.6)/(AL$10*AP$6)</f>
        <v>5138.8968043964996</v>
      </c>
      <c r="W62" s="29" t="s">
        <v>237</v>
      </c>
      <c r="X62" s="12" t="s">
        <v>238</v>
      </c>
      <c r="Y62" t="s">
        <v>231</v>
      </c>
      <c r="Z62">
        <v>175</v>
      </c>
      <c r="AA62" s="6" t="s">
        <v>213</v>
      </c>
      <c r="AB62" s="4">
        <f>AP$13*V62/1000</f>
        <v>16.1464137594138</v>
      </c>
      <c r="AC62" s="32">
        <f t="shared" si="21"/>
        <v>1.0277793608792999E-2</v>
      </c>
      <c r="AD62" s="73">
        <f>(V62/1000)*AN$25/1000</f>
        <v>0.32470119458579283</v>
      </c>
      <c r="AE62" s="67">
        <f>V62*AL$10/3600</f>
        <v>59.953796051292493</v>
      </c>
      <c r="AF62" s="42"/>
      <c r="AG62" s="4">
        <f t="shared" si="18"/>
        <v>1275.0807333677719</v>
      </c>
      <c r="AH62" s="4">
        <f t="shared" si="19"/>
        <v>1530.0968800413261</v>
      </c>
      <c r="AI62" s="4">
        <f t="shared" si="8"/>
        <v>9863.3664471481188</v>
      </c>
      <c r="AJ62" s="75" t="s">
        <v>239</v>
      </c>
    </row>
    <row r="63" spans="1:36">
      <c r="A63">
        <v>59</v>
      </c>
      <c r="B63" t="s">
        <v>240</v>
      </c>
      <c r="C63" s="5" t="s">
        <v>241</v>
      </c>
      <c r="D63">
        <v>142.1</v>
      </c>
      <c r="E63" s="50" t="s">
        <v>180</v>
      </c>
      <c r="F63" s="5">
        <v>35</v>
      </c>
      <c r="G63" s="4">
        <v>14.08</v>
      </c>
      <c r="H63" s="99">
        <v>17.399999999999999</v>
      </c>
      <c r="I63" s="4">
        <f t="shared" si="14"/>
        <v>2.4857954545454546</v>
      </c>
      <c r="J63" s="104">
        <v>6.25</v>
      </c>
      <c r="K63" s="105">
        <f>(6*R63/90)*J63</f>
        <v>2666.666666666667</v>
      </c>
      <c r="L63" s="106">
        <f t="shared" ref="L63:L122" si="42">K63*(V63/T63)</f>
        <v>614.64585834333752</v>
      </c>
      <c r="M63" s="105">
        <f t="shared" si="40"/>
        <v>1.2989515806322534</v>
      </c>
      <c r="N63" s="105">
        <f t="shared" ref="N63:N122" si="43">AL$15*(L63/1000)</f>
        <v>1.229291716686675</v>
      </c>
      <c r="O63" s="105">
        <f>L63*(AD63/V63)*1000</f>
        <v>35.259159663865567</v>
      </c>
      <c r="P63" s="105">
        <f>(3.6*K63)/(0.6*AL$9)</f>
        <v>133.44453711426192</v>
      </c>
      <c r="Q63" s="105">
        <f>(3.6*K63)/(0.5*AL$12)</f>
        <v>1032.2580645161293</v>
      </c>
      <c r="R63" s="102">
        <v>6400</v>
      </c>
      <c r="S63" s="4">
        <f t="shared" si="15"/>
        <v>4585.9614744351975</v>
      </c>
      <c r="T63" s="67">
        <f t="shared" si="16"/>
        <v>11399.762187871585</v>
      </c>
      <c r="U63" s="16">
        <f t="shared" si="17"/>
        <v>1057.0283350438872</v>
      </c>
      <c r="V63" s="118">
        <f>(T63*3.6)/(AL$11*AP$5)</f>
        <v>2627.5562305778449</v>
      </c>
      <c r="W63" s="29" t="s">
        <v>93</v>
      </c>
      <c r="X63" s="12" t="s">
        <v>242</v>
      </c>
      <c r="Y63" t="s">
        <v>212</v>
      </c>
      <c r="Z63">
        <v>190</v>
      </c>
      <c r="AA63" s="6" t="s">
        <v>213</v>
      </c>
      <c r="AB63" s="4">
        <f>(AP$15*V63+2*AP$11*V63)/3000</f>
        <v>5.5529021672878454</v>
      </c>
      <c r="AC63" s="32">
        <f t="shared" si="21"/>
        <v>5.2551124611556902E-3</v>
      </c>
      <c r="AD63" s="73">
        <f>(V63/1000)*AN$28/1000</f>
        <v>0.1507297631670981</v>
      </c>
      <c r="AE63" s="67">
        <f>V63*AL$11/3600</f>
        <v>30.399365834324232</v>
      </c>
      <c r="AF63" s="42"/>
      <c r="AG63" s="4">
        <f t="shared" si="18"/>
        <v>570.4634956399459</v>
      </c>
      <c r="AH63" s="4">
        <f t="shared" si="19"/>
        <v>684.55619476793504</v>
      </c>
      <c r="AI63" s="4">
        <f t="shared" si="8"/>
        <v>4412.8111694986783</v>
      </c>
      <c r="AJ63" s="75"/>
    </row>
    <row r="64" spans="1:36">
      <c r="A64">
        <v>60</v>
      </c>
      <c r="B64" t="s">
        <v>243</v>
      </c>
      <c r="C64" s="5" t="s">
        <v>244</v>
      </c>
      <c r="D64">
        <v>142.1</v>
      </c>
      <c r="E64" s="50" t="s">
        <v>180</v>
      </c>
      <c r="F64" s="5">
        <v>35</v>
      </c>
      <c r="G64" s="4">
        <v>9.93</v>
      </c>
      <c r="H64" s="99">
        <v>17.399999999999999</v>
      </c>
      <c r="I64" s="4">
        <f t="shared" si="14"/>
        <v>3.5246727089627394</v>
      </c>
      <c r="J64" s="104">
        <v>6.5</v>
      </c>
      <c r="K64" s="105">
        <f t="shared" ref="K64:K122" si="44">(6*R64/90)*J64</f>
        <v>2773.3333333333335</v>
      </c>
      <c r="L64" s="106">
        <f t="shared" si="42"/>
        <v>639.23169267707101</v>
      </c>
      <c r="M64" s="105">
        <f t="shared" si="40"/>
        <v>1.3509096438575434</v>
      </c>
      <c r="N64" s="105">
        <f t="shared" si="43"/>
        <v>1.2784633853541421</v>
      </c>
      <c r="O64" s="105">
        <f t="shared" ref="O64:O122" si="45">L64*(AD64/V64)*1000</f>
        <v>36.669526050420181</v>
      </c>
      <c r="P64" s="105">
        <f t="shared" ref="P64:P122" si="46">(3.6*K64)/(0.6*AL$9)</f>
        <v>138.78231859883238</v>
      </c>
      <c r="Q64" s="105">
        <f t="shared" ref="Q64:Q122" si="47">(3.6*K64)/(0.5*AL$12)</f>
        <v>1073.5483870967741</v>
      </c>
      <c r="R64" s="102">
        <v>6400</v>
      </c>
      <c r="S64" s="4">
        <f t="shared" si="15"/>
        <v>2711.6023781212843</v>
      </c>
      <c r="T64" s="67">
        <f t="shared" si="16"/>
        <v>9557.5108997225543</v>
      </c>
      <c r="U64" s="16">
        <f t="shared" si="17"/>
        <v>625.00318919482197</v>
      </c>
      <c r="V64" s="118">
        <f>(T64*3.6)/(AL$11*AP$5)</f>
        <v>2202.9316839696648</v>
      </c>
      <c r="W64" s="29" t="s">
        <v>93</v>
      </c>
      <c r="X64" s="12" t="s">
        <v>242</v>
      </c>
      <c r="Y64" t="s">
        <v>212</v>
      </c>
      <c r="Z64">
        <v>190</v>
      </c>
      <c r="AA64" s="6" t="s">
        <v>213</v>
      </c>
      <c r="AB64" s="4">
        <f>(AP$15*V64+2*AP$11*V64)/3000</f>
        <v>4.6555289587892252</v>
      </c>
      <c r="AC64" s="32">
        <f t="shared" si="21"/>
        <v>4.4058633679393295E-3</v>
      </c>
      <c r="AD64" s="73">
        <f>(V64/1000)*AN$28/1000</f>
        <v>0.12637117605091983</v>
      </c>
      <c r="AE64" s="67">
        <f>V64*AL$11/3600</f>
        <v>25.486695732593482</v>
      </c>
      <c r="AF64" s="42"/>
      <c r="AG64" s="4">
        <f t="shared" si="18"/>
        <v>478.27410674174587</v>
      </c>
      <c r="AH64" s="4">
        <f t="shared" si="19"/>
        <v>573.92892809009504</v>
      </c>
      <c r="AI64" s="4">
        <f t="shared" si="8"/>
        <v>3699.6816386022792</v>
      </c>
      <c r="AJ64" s="75"/>
    </row>
    <row r="65" spans="1:36">
      <c r="A65">
        <v>61</v>
      </c>
      <c r="B65" t="s">
        <v>245</v>
      </c>
      <c r="C65" s="5" t="s">
        <v>246</v>
      </c>
      <c r="D65">
        <v>145</v>
      </c>
      <c r="E65" s="50" t="s">
        <v>180</v>
      </c>
      <c r="F65" s="5">
        <v>109</v>
      </c>
      <c r="G65" s="4">
        <v>12.38</v>
      </c>
      <c r="H65" s="99">
        <v>18</v>
      </c>
      <c r="I65" s="4">
        <f t="shared" si="14"/>
        <v>8.8045234248788358</v>
      </c>
      <c r="J65" s="104">
        <v>17.600000000000001</v>
      </c>
      <c r="K65" s="105">
        <f t="shared" si="44"/>
        <v>12390.400000000001</v>
      </c>
      <c r="L65" s="106">
        <f t="shared" si="42"/>
        <v>2519.9033966527795</v>
      </c>
      <c r="M65" s="105">
        <f t="shared" si="40"/>
        <v>5.3253958449262075</v>
      </c>
      <c r="N65" s="105">
        <f t="shared" si="43"/>
        <v>5.0398067933055595</v>
      </c>
      <c r="O65" s="105">
        <f t="shared" si="45"/>
        <v>159.22009611750585</v>
      </c>
      <c r="P65" s="105">
        <f t="shared" si="46"/>
        <v>620.03669724770657</v>
      </c>
      <c r="Q65" s="105">
        <f t="shared" si="47"/>
        <v>4796.2838709677426</v>
      </c>
      <c r="R65" s="102">
        <v>10560</v>
      </c>
      <c r="S65" s="4">
        <f t="shared" si="15"/>
        <v>5902.343822222223</v>
      </c>
      <c r="T65" s="67">
        <f t="shared" si="16"/>
        <v>51967.324444444443</v>
      </c>
      <c r="U65" s="16">
        <f t="shared" si="17"/>
        <v>1200.3919361627006</v>
      </c>
      <c r="V65" s="18">
        <f>(T65*3.6)/(AL$11*AP$6)</f>
        <v>10568.878920980158</v>
      </c>
      <c r="W65" s="29" t="s">
        <v>93</v>
      </c>
      <c r="X65" s="12" t="s">
        <v>247</v>
      </c>
      <c r="Y65">
        <v>750</v>
      </c>
      <c r="Z65">
        <v>178.8</v>
      </c>
      <c r="AA65" s="6" t="s">
        <v>54</v>
      </c>
      <c r="AB65" s="4">
        <f>(AP$15*V65+2*AP$11*V65)/3000</f>
        <v>22.3355641196714</v>
      </c>
      <c r="AC65" s="32">
        <f t="shared" si="21"/>
        <v>2.1137757841960314E-2</v>
      </c>
      <c r="AD65" s="73">
        <f>(V65/1000)*AN$25/1000</f>
        <v>0.66779461462213119</v>
      </c>
      <c r="AE65" s="67">
        <f>V65*AL$11/3600</f>
        <v>122.27605751633989</v>
      </c>
      <c r="AF65" s="42"/>
      <c r="AG65" s="4">
        <f t="shared" si="18"/>
        <v>2600.5333333333333</v>
      </c>
      <c r="AH65" s="4">
        <f t="shared" si="19"/>
        <v>3120.64</v>
      </c>
      <c r="AI65" s="4">
        <f t="shared" si="8"/>
        <v>20116.383655913975</v>
      </c>
      <c r="AJ65" s="75"/>
    </row>
    <row r="66" spans="1:36">
      <c r="A66">
        <v>62</v>
      </c>
      <c r="B66" t="s">
        <v>248</v>
      </c>
      <c r="C66" s="5" t="s">
        <v>249</v>
      </c>
      <c r="D66">
        <v>155.81</v>
      </c>
      <c r="E66" s="50" t="s">
        <v>180</v>
      </c>
      <c r="F66" s="5">
        <v>39</v>
      </c>
      <c r="G66" s="4">
        <v>12.8</v>
      </c>
      <c r="H66" s="99">
        <v>20.5</v>
      </c>
      <c r="I66" s="4">
        <f t="shared" si="14"/>
        <v>3.046875</v>
      </c>
      <c r="J66" s="104">
        <v>13.75</v>
      </c>
      <c r="K66" s="105">
        <f t="shared" si="44"/>
        <v>10725</v>
      </c>
      <c r="L66" s="106">
        <f t="shared" si="42"/>
        <v>2181.2018925217149</v>
      </c>
      <c r="M66" s="105">
        <f t="shared" si="40"/>
        <v>6.8533363463032275</v>
      </c>
      <c r="N66" s="105">
        <f t="shared" si="43"/>
        <v>4.3624037850434298</v>
      </c>
      <c r="O66" s="105">
        <f t="shared" si="45"/>
        <v>137.81924157898456</v>
      </c>
      <c r="P66" s="105">
        <f t="shared" si="46"/>
        <v>536.69724770642199</v>
      </c>
      <c r="Q66" s="105">
        <f t="shared" si="47"/>
        <v>4151.6129032258059</v>
      </c>
      <c r="R66" s="102">
        <v>11700</v>
      </c>
      <c r="S66" s="4">
        <f t="shared" si="15"/>
        <v>5658.9858417608566</v>
      </c>
      <c r="T66" s="67">
        <f t="shared" si="16"/>
        <v>17242.222486615108</v>
      </c>
      <c r="U66" s="16">
        <f t="shared" si="17"/>
        <v>1150.8988930351859</v>
      </c>
      <c r="V66" s="18">
        <f>(T66*3.6)/(AL$7*AP$6)</f>
        <v>3506.6450647165821</v>
      </c>
      <c r="W66" s="29" t="s">
        <v>250</v>
      </c>
      <c r="X66" s="12" t="s">
        <v>251</v>
      </c>
      <c r="Y66">
        <v>600</v>
      </c>
      <c r="Z66">
        <v>175</v>
      </c>
      <c r="AA66" s="6" t="s">
        <v>213</v>
      </c>
      <c r="AB66" s="4">
        <f>AP$13*V66/1000</f>
        <v>11.0178787933395</v>
      </c>
      <c r="AC66" s="32">
        <f t="shared" si="21"/>
        <v>7.013290129433164E-3</v>
      </c>
      <c r="AD66" s="73">
        <f>(V66/1000)*AN$25/1000</f>
        <v>0.22156736841411726</v>
      </c>
      <c r="AE66" s="67">
        <f>V66*AL$7/3600</f>
        <v>40.569935262623794</v>
      </c>
      <c r="AF66" s="39"/>
      <c r="AG66" s="4">
        <f t="shared" si="18"/>
        <v>862.83014945530158</v>
      </c>
      <c r="AH66" s="4">
        <f t="shared" si="19"/>
        <v>1035.3961793463618</v>
      </c>
      <c r="AI66" s="4">
        <f t="shared" si="8"/>
        <v>6674.4087044961707</v>
      </c>
      <c r="AJ66" s="75"/>
    </row>
    <row r="67" spans="1:36">
      <c r="A67">
        <v>63</v>
      </c>
      <c r="B67" t="s">
        <v>252</v>
      </c>
      <c r="C67" s="5" t="s">
        <v>253</v>
      </c>
      <c r="D67">
        <v>160.08000000000001</v>
      </c>
      <c r="E67" s="50" t="s">
        <v>180</v>
      </c>
      <c r="F67" s="5">
        <v>183</v>
      </c>
      <c r="G67" s="4">
        <v>12.87</v>
      </c>
      <c r="H67" s="99">
        <v>19</v>
      </c>
      <c r="I67" s="4">
        <f t="shared" si="14"/>
        <v>14.219114219114219</v>
      </c>
      <c r="J67" s="104">
        <v>41.71</v>
      </c>
      <c r="K67" s="105">
        <f t="shared" si="44"/>
        <v>29775.378666666667</v>
      </c>
      <c r="L67" s="106">
        <f t="shared" si="42"/>
        <v>6055.5815662735704</v>
      </c>
      <c r="M67" s="105">
        <f t="shared" si="40"/>
        <v>12.797462376724809</v>
      </c>
      <c r="N67" s="105">
        <f t="shared" si="43"/>
        <v>12.111163132547141</v>
      </c>
      <c r="O67" s="105">
        <f t="shared" si="45"/>
        <v>382.62192126499559</v>
      </c>
      <c r="P67" s="105">
        <f t="shared" si="46"/>
        <v>1490.0106088407008</v>
      </c>
      <c r="Q67" s="105">
        <f t="shared" si="47"/>
        <v>11525.953032258065</v>
      </c>
      <c r="R67" s="102">
        <v>10708</v>
      </c>
      <c r="S67" s="4">
        <f t="shared" si="15"/>
        <v>5849.1824130747909</v>
      </c>
      <c r="T67" s="67">
        <f t="shared" si="16"/>
        <v>83170.192819944583</v>
      </c>
      <c r="U67" s="16">
        <f t="shared" si="17"/>
        <v>1189.5802097066171</v>
      </c>
      <c r="V67" s="18">
        <f>(T67*3.6)/(AL$11*AP$6)</f>
        <v>16914.776874616233</v>
      </c>
      <c r="W67" s="29" t="s">
        <v>93</v>
      </c>
      <c r="X67" s="12" t="s">
        <v>254</v>
      </c>
      <c r="Y67">
        <v>750</v>
      </c>
      <c r="Z67">
        <v>178.8</v>
      </c>
      <c r="AA67" s="6" t="s">
        <v>54</v>
      </c>
      <c r="AB67" s="4">
        <f>(AP$15*V67+2*AP$11*V67)/3000</f>
        <v>35.746561795022302</v>
      </c>
      <c r="AC67" s="32">
        <f t="shared" si="21"/>
        <v>3.3829553749232466E-2</v>
      </c>
      <c r="AD67" s="73">
        <f>(V67/1000)*AN$25/1000</f>
        <v>1.0687601768226269</v>
      </c>
      <c r="AE67" s="67">
        <f>V67*AL$11/3600</f>
        <v>195.69457134104613</v>
      </c>
      <c r="AF67" s="42"/>
      <c r="AG67" s="4">
        <f t="shared" si="18"/>
        <v>4161.9779559605304</v>
      </c>
      <c r="AH67" s="4">
        <f t="shared" si="19"/>
        <v>4994.3735471526361</v>
      </c>
      <c r="AI67" s="4">
        <f t="shared" si="8"/>
        <v>32194.91334965597</v>
      </c>
      <c r="AJ67" s="75"/>
    </row>
    <row r="68" spans="1:36">
      <c r="A68">
        <v>64</v>
      </c>
      <c r="B68" t="s">
        <v>255</v>
      </c>
      <c r="C68" s="5" t="s">
        <v>256</v>
      </c>
      <c r="D68">
        <v>175.49</v>
      </c>
      <c r="E68" s="50" t="s">
        <v>180</v>
      </c>
      <c r="F68" s="5">
        <v>34</v>
      </c>
      <c r="G68" s="4">
        <v>12.55</v>
      </c>
      <c r="H68" s="99">
        <v>20</v>
      </c>
      <c r="I68" s="4">
        <f t="shared" si="14"/>
        <v>2.7091633466135456</v>
      </c>
      <c r="J68" s="104">
        <v>7.5</v>
      </c>
      <c r="K68" s="105">
        <f t="shared" si="44"/>
        <v>6160</v>
      </c>
      <c r="L68" s="106">
        <f t="shared" si="42"/>
        <v>1252.7928818586258</v>
      </c>
      <c r="M68" s="105">
        <f t="shared" si="40"/>
        <v>3.936275234799802</v>
      </c>
      <c r="N68" s="105">
        <f t="shared" si="43"/>
        <v>2.5055857637172516</v>
      </c>
      <c r="O68" s="105">
        <f t="shared" si="45"/>
        <v>79.157718240237273</v>
      </c>
      <c r="P68" s="105">
        <f t="shared" si="46"/>
        <v>308.25688073394497</v>
      </c>
      <c r="Q68" s="105">
        <f t="shared" si="47"/>
        <v>2384.516129032258</v>
      </c>
      <c r="R68" s="102">
        <v>12320</v>
      </c>
      <c r="S68" s="4">
        <f t="shared" si="15"/>
        <v>6002.9662000000008</v>
      </c>
      <c r="T68" s="67">
        <f t="shared" si="16"/>
        <v>16263.016000000001</v>
      </c>
      <c r="U68" s="16">
        <f t="shared" si="17"/>
        <v>1220.8560593178449</v>
      </c>
      <c r="V68" s="18">
        <f>(T68*3.6)/(AL$7*AP$6)</f>
        <v>3307.4984873949584</v>
      </c>
      <c r="W68" s="29" t="s">
        <v>73</v>
      </c>
      <c r="X68" s="12" t="s">
        <v>257</v>
      </c>
      <c r="Y68">
        <v>600</v>
      </c>
      <c r="Z68">
        <v>177.5</v>
      </c>
      <c r="AA68" s="6" t="s">
        <v>54</v>
      </c>
      <c r="AB68" s="4">
        <f>AP$13*V68/1000</f>
        <v>10.392160247394958</v>
      </c>
      <c r="AC68" s="32">
        <f t="shared" si="21"/>
        <v>6.6149969747899169E-3</v>
      </c>
      <c r="AD68" s="73">
        <f>(V68/1000)*AN$25/1000</f>
        <v>0.20898429192605045</v>
      </c>
      <c r="AE68" s="67">
        <f>V68*AL$7/3600</f>
        <v>38.265920000000001</v>
      </c>
      <c r="AF68" s="39"/>
      <c r="AG68" s="4">
        <f t="shared" si="18"/>
        <v>813.82899082568815</v>
      </c>
      <c r="AH68" s="4">
        <f t="shared" si="19"/>
        <v>976.59478899082569</v>
      </c>
      <c r="AI68" s="4">
        <f t="shared" si="8"/>
        <v>6295.3610322580644</v>
      </c>
      <c r="AJ68" s="75"/>
    </row>
    <row r="69" spans="1:36">
      <c r="A69">
        <v>65</v>
      </c>
      <c r="B69" t="s">
        <v>258</v>
      </c>
      <c r="C69" s="5" t="s">
        <v>259</v>
      </c>
      <c r="D69">
        <v>176.26</v>
      </c>
      <c r="E69" s="50" t="s">
        <v>180</v>
      </c>
      <c r="F69" s="5">
        <v>35</v>
      </c>
      <c r="G69" s="4">
        <v>12.56</v>
      </c>
      <c r="H69" s="99">
        <v>20</v>
      </c>
      <c r="I69" s="4">
        <f t="shared" ref="I69:I100" si="48">F69/G69</f>
        <v>2.7866242038216558</v>
      </c>
      <c r="J69" s="104">
        <v>1.22</v>
      </c>
      <c r="K69" s="105">
        <f t="shared" si="44"/>
        <v>1252.5333333333333</v>
      </c>
      <c r="L69" s="106">
        <f t="shared" si="42"/>
        <v>258.77302725968434</v>
      </c>
      <c r="M69" s="105">
        <f t="shared" si="40"/>
        <v>0.80581920688665698</v>
      </c>
      <c r="N69" s="105">
        <f t="shared" si="43"/>
        <v>0.51754605451936864</v>
      </c>
      <c r="O69" s="105">
        <f t="shared" si="45"/>
        <v>16.424324040172166</v>
      </c>
      <c r="P69" s="105">
        <f t="shared" si="46"/>
        <v>62.678899082568805</v>
      </c>
      <c r="Q69" s="105">
        <f t="shared" si="47"/>
        <v>484.85161290322577</v>
      </c>
      <c r="R69" s="102">
        <v>15400</v>
      </c>
      <c r="S69" s="4">
        <f t="shared" ref="S69:S100" si="49">((0.6*(G69/H69)*(G69/H69))+(0.4*(G69/H69)))*R69</f>
        <v>7512.5881600000002</v>
      </c>
      <c r="T69" s="67">
        <f t="shared" ref="T69:T100" si="50">(F69/G69)*S69</f>
        <v>20934.759999999998</v>
      </c>
      <c r="U69" s="16">
        <f t="shared" ref="U69:U100" si="51">V69/I69</f>
        <v>1552.0985581635582</v>
      </c>
      <c r="V69" s="18">
        <f>(T69*3.6)/(AL$8*AP$6)</f>
        <v>4325.1154088952653</v>
      </c>
      <c r="W69" s="29" t="s">
        <v>105</v>
      </c>
      <c r="X69" s="12" t="s">
        <v>260</v>
      </c>
      <c r="Y69">
        <v>510</v>
      </c>
      <c r="Z69">
        <v>185</v>
      </c>
      <c r="AA69" s="27" t="s">
        <v>50</v>
      </c>
      <c r="AB69" s="4">
        <f>AP$14*V69/1000</f>
        <v>13.468409383299855</v>
      </c>
      <c r="AC69" s="32">
        <f t="shared" si="21"/>
        <v>8.6502308177905315E-3</v>
      </c>
      <c r="AD69" s="73">
        <f>(V69/1000)*AN$26/1000</f>
        <v>0.27451507500258249</v>
      </c>
      <c r="AE69" s="67">
        <f>V69*AL$8/3600</f>
        <v>49.25825882352941</v>
      </c>
      <c r="AF69" s="42"/>
      <c r="AG69" s="4">
        <f t="shared" ref="AG69:AG100" si="52">(3.6*T69)/(0.6*AL$9)</f>
        <v>1047.6110091743119</v>
      </c>
      <c r="AH69" s="4">
        <f t="shared" ref="AH69:AH100" si="53">(3.6*T69)/(0.5*AL$9)</f>
        <v>1257.1332110091741</v>
      </c>
      <c r="AI69" s="4">
        <f t="shared" si="8"/>
        <v>8103.7780645161283</v>
      </c>
      <c r="AJ69" s="75"/>
    </row>
    <row r="70" spans="1:36">
      <c r="A70">
        <v>66</v>
      </c>
      <c r="B70" t="s">
        <v>261</v>
      </c>
      <c r="C70" s="5" t="s">
        <v>262</v>
      </c>
      <c r="D70">
        <v>176.28</v>
      </c>
      <c r="E70" s="50" t="s">
        <v>180</v>
      </c>
      <c r="F70" s="5">
        <v>37</v>
      </c>
      <c r="G70" s="4">
        <v>13.61</v>
      </c>
      <c r="H70" s="99">
        <v>20.5</v>
      </c>
      <c r="I70" s="4">
        <f t="shared" si="48"/>
        <v>2.7185892725936811</v>
      </c>
      <c r="J70" s="104">
        <v>8.5</v>
      </c>
      <c r="K70" s="105">
        <f>(6*R70/90)*J70</f>
        <v>8752.1666666666679</v>
      </c>
      <c r="L70" s="106">
        <f t="shared" si="42"/>
        <v>1536.9658536585366</v>
      </c>
      <c r="M70" s="105">
        <f t="shared" si="40"/>
        <v>4.7861116682926825</v>
      </c>
      <c r="N70" s="105">
        <f t="shared" si="43"/>
        <v>3.0739317073170733</v>
      </c>
      <c r="O70" s="105">
        <f t="shared" si="45"/>
        <v>97.551222731707327</v>
      </c>
      <c r="P70" s="105">
        <f t="shared" si="46"/>
        <v>437.97331109257726</v>
      </c>
      <c r="Q70" s="105">
        <f t="shared" si="47"/>
        <v>3387.9354838709683</v>
      </c>
      <c r="R70" s="102">
        <v>15445</v>
      </c>
      <c r="S70" s="4">
        <f t="shared" si="49"/>
        <v>8186.1719469363461</v>
      </c>
      <c r="T70" s="67">
        <f t="shared" si="50"/>
        <v>22254.83923854848</v>
      </c>
      <c r="U70" s="16">
        <f t="shared" si="51"/>
        <v>1437.5716589741876</v>
      </c>
      <c r="V70" s="118">
        <f>(T70*3.6)/(AL$8*AP$7)</f>
        <v>3908.1668906719283</v>
      </c>
      <c r="W70" s="29" t="s">
        <v>105</v>
      </c>
      <c r="X70" t="s">
        <v>263</v>
      </c>
      <c r="Y70">
        <v>122</v>
      </c>
      <c r="Z70" s="26" t="s">
        <v>50</v>
      </c>
      <c r="AA70" s="27" t="s">
        <v>50</v>
      </c>
      <c r="AB70" s="4">
        <f>AP$14*V70/1000</f>
        <v>12.170031697552384</v>
      </c>
      <c r="AC70" s="32">
        <f t="shared" si="21"/>
        <v>7.8163337813438559E-3</v>
      </c>
      <c r="AD70" s="73">
        <f>(V70/1000)*AN$26/1000</f>
        <v>0.24805135255094729</v>
      </c>
      <c r="AE70" s="67">
        <f>V70*AL$8/3600</f>
        <v>44.509678477096962</v>
      </c>
      <c r="AF70" s="42"/>
      <c r="AG70" s="4">
        <f t="shared" si="52"/>
        <v>1113.6700202776553</v>
      </c>
      <c r="AH70" s="4">
        <f t="shared" si="53"/>
        <v>1336.4040243331865</v>
      </c>
      <c r="AI70" s="4">
        <f t="shared" ref="AI70:AI122" si="54">(3.6*T70)/(0.5*AL$12)</f>
        <v>8614.7764794381201</v>
      </c>
      <c r="AJ70" s="75"/>
    </row>
    <row r="71" spans="1:36">
      <c r="A71">
        <v>67</v>
      </c>
      <c r="B71" t="s">
        <v>264</v>
      </c>
      <c r="C71" s="5" t="s">
        <v>265</v>
      </c>
      <c r="D71">
        <v>181</v>
      </c>
      <c r="E71" s="50" t="s">
        <v>180</v>
      </c>
      <c r="F71" s="5">
        <v>39</v>
      </c>
      <c r="G71" s="4">
        <v>13.12</v>
      </c>
      <c r="H71" s="99">
        <v>21</v>
      </c>
      <c r="I71" s="4">
        <f t="shared" si="48"/>
        <v>2.9725609756097562</v>
      </c>
      <c r="J71" s="104">
        <v>6</v>
      </c>
      <c r="K71" s="105">
        <f t="shared" si="44"/>
        <v>5400</v>
      </c>
      <c r="L71" s="106">
        <f t="shared" si="42"/>
        <v>1098.2275263046397</v>
      </c>
      <c r="M71" s="105">
        <f t="shared" si="40"/>
        <v>2.3209208389238047</v>
      </c>
      <c r="N71" s="105">
        <f t="shared" si="43"/>
        <v>2.1964550526092794</v>
      </c>
      <c r="O71" s="105">
        <f t="shared" si="45"/>
        <v>69.39150624955866</v>
      </c>
      <c r="P71" s="105">
        <f t="shared" si="46"/>
        <v>270.22518765638034</v>
      </c>
      <c r="Q71" s="105">
        <f t="shared" si="47"/>
        <v>2090.322580645161</v>
      </c>
      <c r="R71" s="102">
        <v>13500</v>
      </c>
      <c r="S71" s="4">
        <f t="shared" si="49"/>
        <v>6535.3665306122439</v>
      </c>
      <c r="T71" s="67">
        <f t="shared" si="50"/>
        <v>19426.775510204079</v>
      </c>
      <c r="U71" s="16">
        <f t="shared" si="51"/>
        <v>1329.1332256311889</v>
      </c>
      <c r="V71" s="18">
        <f>(T71*3.6)/(AL$11*AP$6)</f>
        <v>3950.9295578975893</v>
      </c>
      <c r="W71" s="29" t="s">
        <v>93</v>
      </c>
      <c r="X71" s="12" t="s">
        <v>266</v>
      </c>
      <c r="Y71">
        <v>750</v>
      </c>
      <c r="Z71">
        <v>178.8</v>
      </c>
      <c r="AA71" s="6" t="s">
        <v>54</v>
      </c>
      <c r="AB71" s="4">
        <f>(AP$15*V71+2*AP$11*V71)/3000</f>
        <v>8.3496311323569046</v>
      </c>
      <c r="AC71" s="32">
        <f t="shared" ref="AC71:AC102" si="55">(V71/1000)*AL$15/1000</f>
        <v>7.9018591157951779E-3</v>
      </c>
      <c r="AD71" s="73">
        <f>(V71/1000)*AN$25/1000</f>
        <v>0.24963948411575917</v>
      </c>
      <c r="AE71" s="67">
        <f>V71*AL$11/3600</f>
        <v>45.710060024009607</v>
      </c>
      <c r="AF71" s="39"/>
      <c r="AG71" s="4">
        <f t="shared" si="52"/>
        <v>972.14889959319839</v>
      </c>
      <c r="AH71" s="4">
        <f t="shared" si="53"/>
        <v>1166.5786795118381</v>
      </c>
      <c r="AI71" s="4">
        <f t="shared" si="54"/>
        <v>7520.0421329822248</v>
      </c>
      <c r="AJ71" s="75"/>
    </row>
    <row r="72" spans="1:36">
      <c r="A72">
        <v>68</v>
      </c>
      <c r="B72" t="s">
        <v>267</v>
      </c>
      <c r="C72" s="5" t="s">
        <v>268</v>
      </c>
      <c r="D72">
        <v>181</v>
      </c>
      <c r="E72" s="50" t="s">
        <v>180</v>
      </c>
      <c r="F72" s="5">
        <v>34</v>
      </c>
      <c r="G72" s="4">
        <v>14.01</v>
      </c>
      <c r="H72" s="99">
        <v>21</v>
      </c>
      <c r="I72" s="4">
        <f t="shared" si="48"/>
        <v>2.4268379728765166</v>
      </c>
      <c r="J72" s="104">
        <v>6.23</v>
      </c>
      <c r="K72" s="105">
        <f t="shared" si="44"/>
        <v>7575.68</v>
      </c>
      <c r="L72" s="106">
        <f t="shared" si="42"/>
        <v>1540.7074641621357</v>
      </c>
      <c r="M72" s="105">
        <f t="shared" si="40"/>
        <v>3.2560284409293128</v>
      </c>
      <c r="N72" s="105">
        <f t="shared" si="43"/>
        <v>3.0814149283242713</v>
      </c>
      <c r="O72" s="105">
        <f t="shared" si="45"/>
        <v>97.34960112308454</v>
      </c>
      <c r="P72" s="105">
        <f t="shared" si="46"/>
        <v>379.09991659716434</v>
      </c>
      <c r="Q72" s="105">
        <f t="shared" si="47"/>
        <v>2932.5212903225806</v>
      </c>
      <c r="R72" s="102">
        <v>18240</v>
      </c>
      <c r="S72" s="4">
        <f t="shared" si="49"/>
        <v>9738.4253387755089</v>
      </c>
      <c r="T72" s="67">
        <f t="shared" si="50"/>
        <v>23633.58040816326</v>
      </c>
      <c r="U72" s="16">
        <f t="shared" si="51"/>
        <v>1980.5568092418239</v>
      </c>
      <c r="V72" s="18">
        <f>(T72*3.6)/(AL$11*AP$6)</f>
        <v>4806.4904721072098</v>
      </c>
      <c r="W72" s="29" t="s">
        <v>93</v>
      </c>
      <c r="X72" s="12" t="s">
        <v>269</v>
      </c>
      <c r="Y72">
        <v>750</v>
      </c>
      <c r="Z72">
        <v>178.8</v>
      </c>
      <c r="AA72" s="6" t="s">
        <v>54</v>
      </c>
      <c r="AB72" s="4">
        <f>(AP$15*V72+2*AP$11*V72)/3000</f>
        <v>10.157716531053236</v>
      </c>
      <c r="AC72" s="32">
        <f t="shared" si="55"/>
        <v>9.6129809442144186E-3</v>
      </c>
      <c r="AD72" s="73">
        <f>(V72/1000)*AN$25/1000</f>
        <v>0.30369810048009405</v>
      </c>
      <c r="AE72" s="67">
        <f>V72*AL$11/3600</f>
        <v>55.608424489795908</v>
      </c>
      <c r="AF72" s="39"/>
      <c r="AG72" s="4">
        <f t="shared" si="52"/>
        <v>1182.664574220013</v>
      </c>
      <c r="AH72" s="4">
        <f t="shared" si="53"/>
        <v>1419.1974890640156</v>
      </c>
      <c r="AI72" s="4">
        <f t="shared" si="54"/>
        <v>9148.4827386438428</v>
      </c>
      <c r="AJ72" s="75"/>
    </row>
    <row r="73" spans="1:36">
      <c r="A73">
        <v>69</v>
      </c>
      <c r="B73" t="s">
        <v>270</v>
      </c>
      <c r="C73" s="5" t="s">
        <v>271</v>
      </c>
      <c r="D73">
        <v>190</v>
      </c>
      <c r="E73" s="50" t="s">
        <v>180</v>
      </c>
      <c r="F73" s="5">
        <v>140</v>
      </c>
      <c r="G73" s="4">
        <v>13.32</v>
      </c>
      <c r="H73" s="99">
        <v>21</v>
      </c>
      <c r="I73" s="4">
        <f t="shared" si="48"/>
        <v>10.51051051051051</v>
      </c>
      <c r="J73" s="104">
        <v>20.079999999999998</v>
      </c>
      <c r="K73" s="105">
        <f t="shared" si="44"/>
        <v>23177.674666666666</v>
      </c>
      <c r="L73" s="106">
        <f t="shared" si="42"/>
        <v>4788.5009354375889</v>
      </c>
      <c r="M73" s="105">
        <f t="shared" si="40"/>
        <v>14.91139191295265</v>
      </c>
      <c r="N73" s="105">
        <f t="shared" si="43"/>
        <v>9.5770018708751774</v>
      </c>
      <c r="O73" s="105">
        <f t="shared" si="45"/>
        <v>303.92615437222372</v>
      </c>
      <c r="P73" s="105">
        <f t="shared" si="46"/>
        <v>1159.850275229358</v>
      </c>
      <c r="Q73" s="105">
        <f t="shared" si="47"/>
        <v>8972.0030967741932</v>
      </c>
      <c r="R73" s="102">
        <v>17314</v>
      </c>
      <c r="S73" s="4">
        <f t="shared" si="49"/>
        <v>8572.2532702040826</v>
      </c>
      <c r="T73" s="67">
        <f t="shared" si="50"/>
        <v>90098.75809523811</v>
      </c>
      <c r="U73" s="16">
        <f t="shared" si="51"/>
        <v>1771.0250658671275</v>
      </c>
      <c r="V73" s="18">
        <f>(T73*3.6)/(AL$8*AP$6)</f>
        <v>18614.377569174012</v>
      </c>
      <c r="W73" s="29" t="s">
        <v>105</v>
      </c>
      <c r="X73" s="12" t="s">
        <v>272</v>
      </c>
      <c r="Y73">
        <v>400</v>
      </c>
      <c r="Z73" s="26" t="s">
        <v>50</v>
      </c>
      <c r="AA73" s="6" t="s">
        <v>54</v>
      </c>
      <c r="AB73" s="4">
        <f>AP$14*V73/1000</f>
        <v>57.965171750407869</v>
      </c>
      <c r="AC73" s="32">
        <f t="shared" si="55"/>
        <v>3.7228755138348023E-2</v>
      </c>
      <c r="AD73" s="73">
        <f>(V73/1000)*AN$26/1000</f>
        <v>1.1814545443154743</v>
      </c>
      <c r="AE73" s="67">
        <f>V73*AL$8/3600</f>
        <v>211.99707787114846</v>
      </c>
      <c r="AF73" s="42"/>
      <c r="AG73" s="4">
        <f t="shared" si="52"/>
        <v>4508.6951507208396</v>
      </c>
      <c r="AH73" s="4">
        <f t="shared" si="53"/>
        <v>5410.434180865007</v>
      </c>
      <c r="AI73" s="4">
        <f t="shared" si="54"/>
        <v>34876.938617511521</v>
      </c>
      <c r="AJ73" s="75"/>
    </row>
    <row r="74" spans="1:36">
      <c r="A74">
        <v>70</v>
      </c>
      <c r="B74" t="s">
        <v>273</v>
      </c>
      <c r="C74" s="5" t="s">
        <v>274</v>
      </c>
      <c r="D74">
        <v>198.6</v>
      </c>
      <c r="E74" s="50" t="s">
        <v>180</v>
      </c>
      <c r="F74" s="5">
        <v>39</v>
      </c>
      <c r="G74" s="4">
        <v>12.7</v>
      </c>
      <c r="H74" s="99">
        <v>21</v>
      </c>
      <c r="I74" s="4">
        <f t="shared" si="48"/>
        <v>3.0708661417322838</v>
      </c>
      <c r="J74" s="104">
        <v>9</v>
      </c>
      <c r="K74" s="105">
        <f t="shared" si="44"/>
        <v>12960</v>
      </c>
      <c r="L74" s="106">
        <f t="shared" si="42"/>
        <v>2677.5322812051645</v>
      </c>
      <c r="M74" s="105">
        <f t="shared" si="40"/>
        <v>8.3378355236728829</v>
      </c>
      <c r="N74" s="105">
        <f t="shared" si="43"/>
        <v>5.3550645624103286</v>
      </c>
      <c r="O74" s="105">
        <f t="shared" si="45"/>
        <v>169.94297388809179</v>
      </c>
      <c r="P74" s="105">
        <f t="shared" si="46"/>
        <v>648.54045037531273</v>
      </c>
      <c r="Q74" s="105">
        <f t="shared" si="47"/>
        <v>5016.7741935483864</v>
      </c>
      <c r="R74" s="102">
        <v>21600</v>
      </c>
      <c r="S74" s="4">
        <f t="shared" si="49"/>
        <v>9965.0938775510185</v>
      </c>
      <c r="T74" s="67">
        <f t="shared" si="50"/>
        <v>30601.4693877551</v>
      </c>
      <c r="U74" s="16">
        <f t="shared" si="51"/>
        <v>2058.7855356776854</v>
      </c>
      <c r="V74" s="18">
        <f>(T74*3.6)/(AL$8*AP$6)</f>
        <v>6322.2547946007662</v>
      </c>
      <c r="W74" s="29" t="s">
        <v>105</v>
      </c>
      <c r="X74" t="s">
        <v>275</v>
      </c>
      <c r="Y74" t="s">
        <v>276</v>
      </c>
      <c r="Z74">
        <v>181</v>
      </c>
      <c r="AA74" s="6" t="s">
        <v>54</v>
      </c>
      <c r="AB74" s="4">
        <f>AP$14*V74/1000</f>
        <v>19.687501430386785</v>
      </c>
      <c r="AC74" s="32">
        <f t="shared" si="55"/>
        <v>1.2644509589201533E-2</v>
      </c>
      <c r="AD74" s="73">
        <f>(V74/1000)*AN$26/1000</f>
        <v>0.40127351181331061</v>
      </c>
      <c r="AE74" s="67">
        <f>V74*AL$8/3600</f>
        <v>72.003457382953172</v>
      </c>
      <c r="AF74" s="39"/>
      <c r="AG74" s="4">
        <f t="shared" si="52"/>
        <v>1531.3495940494629</v>
      </c>
      <c r="AH74" s="4">
        <f t="shared" si="53"/>
        <v>1837.6195128593554</v>
      </c>
      <c r="AI74" s="4">
        <f t="shared" si="54"/>
        <v>11845.730085582618</v>
      </c>
      <c r="AJ74" s="75"/>
    </row>
    <row r="75" spans="1:36">
      <c r="A75">
        <v>71</v>
      </c>
      <c r="B75" t="s">
        <v>277</v>
      </c>
      <c r="C75" s="5" t="s">
        <v>278</v>
      </c>
      <c r="D75">
        <v>199.63</v>
      </c>
      <c r="E75" s="50" t="s">
        <v>180</v>
      </c>
      <c r="F75" s="5">
        <v>37</v>
      </c>
      <c r="G75" s="4">
        <v>12.53</v>
      </c>
      <c r="H75" s="99">
        <v>21</v>
      </c>
      <c r="I75" s="4">
        <f t="shared" si="48"/>
        <v>2.9529130087789306</v>
      </c>
      <c r="J75" s="104">
        <v>18</v>
      </c>
      <c r="K75" s="105">
        <f t="shared" si="44"/>
        <v>25536</v>
      </c>
      <c r="L75" s="106">
        <f t="shared" si="42"/>
        <v>4484.3707317073167</v>
      </c>
      <c r="M75" s="105">
        <f t="shared" si="40"/>
        <v>13.964330458536583</v>
      </c>
      <c r="N75" s="105">
        <f t="shared" si="43"/>
        <v>8.9687414634146343</v>
      </c>
      <c r="O75" s="105">
        <f t="shared" si="45"/>
        <v>352.02310243902434</v>
      </c>
      <c r="P75" s="105">
        <f t="shared" si="46"/>
        <v>1277.8648874061719</v>
      </c>
      <c r="Q75" s="105">
        <f t="shared" si="47"/>
        <v>9884.9032258064508</v>
      </c>
      <c r="R75" s="102">
        <v>21280</v>
      </c>
      <c r="S75" s="4">
        <f t="shared" si="49"/>
        <v>9624.376533333334</v>
      </c>
      <c r="T75" s="67">
        <f t="shared" si="50"/>
        <v>28419.94666666667</v>
      </c>
      <c r="U75" s="16">
        <f t="shared" si="51"/>
        <v>1690.1344156097564</v>
      </c>
      <c r="V75" s="118">
        <f>(T75*3.6)/(AL$8*AP$7)</f>
        <v>4990.8199024390251</v>
      </c>
      <c r="W75" s="29" t="s">
        <v>105</v>
      </c>
      <c r="X75" t="s">
        <v>279</v>
      </c>
      <c r="Y75">
        <v>145</v>
      </c>
      <c r="Z75">
        <v>185</v>
      </c>
      <c r="AA75" s="6" t="s">
        <v>121</v>
      </c>
      <c r="AB75" s="4">
        <f>AP$14*V75/1000</f>
        <v>15.541413176195123</v>
      </c>
      <c r="AC75" s="32">
        <f t="shared" si="55"/>
        <v>9.9816398048780501E-3</v>
      </c>
      <c r="AD75" s="73">
        <f>(V75/1000)*AN$20/1000</f>
        <v>0.39177936234146349</v>
      </c>
      <c r="AE75" s="67">
        <f>V75*AL$8/3600</f>
        <v>56.839893333333343</v>
      </c>
      <c r="AF75" s="39"/>
      <c r="AG75" s="4">
        <f t="shared" si="52"/>
        <v>1422.182485404504</v>
      </c>
      <c r="AH75" s="4">
        <f t="shared" si="53"/>
        <v>1706.6189824854048</v>
      </c>
      <c r="AI75" s="4">
        <f t="shared" si="54"/>
        <v>11001.269677419356</v>
      </c>
      <c r="AJ75" s="75"/>
    </row>
    <row r="76" spans="1:36">
      <c r="A76">
        <v>72</v>
      </c>
      <c r="B76" t="s">
        <v>280</v>
      </c>
      <c r="C76" s="5" t="s">
        <v>281</v>
      </c>
      <c r="D76">
        <v>203.2</v>
      </c>
      <c r="E76" s="50" t="s">
        <v>180</v>
      </c>
      <c r="F76" s="5">
        <v>78</v>
      </c>
      <c r="G76" s="4">
        <v>13</v>
      </c>
      <c r="H76" s="99">
        <v>21</v>
      </c>
      <c r="I76" s="4">
        <f t="shared" si="48"/>
        <v>6</v>
      </c>
      <c r="J76" s="104">
        <v>20</v>
      </c>
      <c r="K76" s="105">
        <f t="shared" si="44"/>
        <v>36733.333333333336</v>
      </c>
      <c r="L76" s="106">
        <f t="shared" si="42"/>
        <v>7589.0961262553801</v>
      </c>
      <c r="M76" s="105">
        <f t="shared" si="40"/>
        <v>23.63244533715925</v>
      </c>
      <c r="N76" s="105">
        <f t="shared" si="43"/>
        <v>15.17819225251076</v>
      </c>
      <c r="O76" s="105">
        <f t="shared" si="45"/>
        <v>595.74404591104724</v>
      </c>
      <c r="P76" s="105">
        <f t="shared" si="46"/>
        <v>1838.1984987489575</v>
      </c>
      <c r="Q76" s="105">
        <f t="shared" si="47"/>
        <v>14219.354838709676</v>
      </c>
      <c r="R76" s="102">
        <v>27550</v>
      </c>
      <c r="S76" s="4">
        <f t="shared" si="49"/>
        <v>13156.5306122449</v>
      </c>
      <c r="T76" s="67">
        <f t="shared" si="50"/>
        <v>78939.183673469408</v>
      </c>
      <c r="U76" s="16">
        <f t="shared" si="51"/>
        <v>2718.1354493016725</v>
      </c>
      <c r="V76" s="18">
        <f>(T76*3.6)/(AL$8*AP$6)</f>
        <v>16308.812695810035</v>
      </c>
      <c r="W76" s="29" t="s">
        <v>105</v>
      </c>
      <c r="X76" s="12" t="s">
        <v>282</v>
      </c>
      <c r="Y76">
        <v>600</v>
      </c>
      <c r="Z76">
        <v>176.5</v>
      </c>
      <c r="AA76" s="6" t="s">
        <v>121</v>
      </c>
      <c r="AB76" s="4">
        <f>AP$14*V76/1000</f>
        <v>50.785642734752443</v>
      </c>
      <c r="AC76" s="32">
        <f t="shared" si="55"/>
        <v>3.2617625391620067E-2</v>
      </c>
      <c r="AD76" s="73">
        <f>(V76/1000)*AN$20/1000</f>
        <v>1.2802417966210875</v>
      </c>
      <c r="AE76" s="67">
        <f>V76*AL$8/3600</f>
        <v>185.73925570228096</v>
      </c>
      <c r="AF76" s="39"/>
      <c r="AG76" s="4">
        <f t="shared" si="52"/>
        <v>3950.2510595564345</v>
      </c>
      <c r="AH76" s="4">
        <f t="shared" si="53"/>
        <v>4740.3012714677207</v>
      </c>
      <c r="AI76" s="4">
        <f t="shared" si="54"/>
        <v>30557.103357472028</v>
      </c>
      <c r="AJ76" s="75"/>
    </row>
    <row r="77" spans="1:36">
      <c r="A77">
        <v>73</v>
      </c>
      <c r="B77" t="s">
        <v>283</v>
      </c>
      <c r="C77" s="5" t="s">
        <v>284</v>
      </c>
      <c r="D77">
        <v>204</v>
      </c>
      <c r="E77" s="50" t="s">
        <v>180</v>
      </c>
      <c r="F77" s="5">
        <v>70</v>
      </c>
      <c r="G77" s="4">
        <v>8.6999999999999993</v>
      </c>
      <c r="H77" s="99">
        <v>21.8</v>
      </c>
      <c r="I77" s="4">
        <f t="shared" si="48"/>
        <v>8.0459770114942533</v>
      </c>
      <c r="J77" s="104">
        <v>27.19</v>
      </c>
      <c r="K77" s="105">
        <f t="shared" si="44"/>
        <v>38283.520000000004</v>
      </c>
      <c r="L77" s="106">
        <f t="shared" si="42"/>
        <v>8007.0107189542496</v>
      </c>
      <c r="M77" s="105">
        <f t="shared" si="40"/>
        <v>24.933831378823534</v>
      </c>
      <c r="N77" s="105">
        <f t="shared" si="43"/>
        <v>16.0140214379085</v>
      </c>
      <c r="O77" s="105">
        <f t="shared" si="45"/>
        <v>508.20497033202628</v>
      </c>
      <c r="P77" s="105">
        <f t="shared" si="46"/>
        <v>1915.7724770642205</v>
      </c>
      <c r="Q77" s="105">
        <f t="shared" si="47"/>
        <v>14819.427096774194</v>
      </c>
      <c r="R77" s="102">
        <v>21120</v>
      </c>
      <c r="S77" s="4">
        <f t="shared" si="49"/>
        <v>5389.6796565945615</v>
      </c>
      <c r="T77" s="67">
        <f t="shared" si="50"/>
        <v>43365.238616278082</v>
      </c>
      <c r="U77" s="16">
        <f t="shared" si="51"/>
        <v>1127.2532615099738</v>
      </c>
      <c r="V77" s="18">
        <f>(T77*3.6)/(40.5*AP$6)</f>
        <v>9069.8538282411682</v>
      </c>
      <c r="W77" s="29" t="s">
        <v>105</v>
      </c>
      <c r="X77" s="12" t="s">
        <v>285</v>
      </c>
      <c r="Y77">
        <v>510</v>
      </c>
      <c r="Z77">
        <v>185</v>
      </c>
      <c r="AA77" s="27" t="s">
        <v>50</v>
      </c>
      <c r="AB77" s="4">
        <f>AP$14*V77/1000</f>
        <v>28.243524821142998</v>
      </c>
      <c r="AC77" s="32">
        <f t="shared" si="55"/>
        <v>1.8139707656482335E-2</v>
      </c>
      <c r="AD77" s="73">
        <f>(V77/1000)*AN$26/1000</f>
        <v>0.57566362247846692</v>
      </c>
      <c r="AE77" s="67">
        <f>V77*AL$8/3600</f>
        <v>103.29555748830219</v>
      </c>
      <c r="AF77" s="42"/>
      <c r="AG77" s="4">
        <f t="shared" si="52"/>
        <v>2170.0703227495287</v>
      </c>
      <c r="AH77" s="4">
        <f t="shared" si="53"/>
        <v>2604.0843872994342</v>
      </c>
      <c r="AI77" s="4">
        <f t="shared" si="54"/>
        <v>16786.543980494742</v>
      </c>
      <c r="AJ77" s="75"/>
    </row>
    <row r="78" spans="1:36">
      <c r="A78">
        <v>74</v>
      </c>
      <c r="B78" t="s">
        <v>286</v>
      </c>
      <c r="C78" s="5" t="s">
        <v>287</v>
      </c>
      <c r="D78">
        <v>205.46</v>
      </c>
      <c r="E78" s="50" t="s">
        <v>180</v>
      </c>
      <c r="F78" s="5">
        <v>105</v>
      </c>
      <c r="G78" s="4">
        <v>13.09</v>
      </c>
      <c r="H78" s="99">
        <v>21.5</v>
      </c>
      <c r="I78" s="4">
        <f t="shared" si="48"/>
        <v>8.0213903743315509</v>
      </c>
      <c r="J78" s="104">
        <v>18.7</v>
      </c>
      <c r="K78" s="105">
        <f t="shared" si="44"/>
        <v>21692</v>
      </c>
      <c r="L78" s="106">
        <f t="shared" si="42"/>
        <v>4411.6206482593043</v>
      </c>
      <c r="M78" s="105">
        <f t="shared" si="40"/>
        <v>13.861312076830734</v>
      </c>
      <c r="N78" s="105">
        <f t="shared" si="43"/>
        <v>8.8232412965186082</v>
      </c>
      <c r="O78" s="105">
        <f t="shared" si="45"/>
        <v>346.3122208883554</v>
      </c>
      <c r="P78" s="105">
        <f t="shared" si="46"/>
        <v>1085.5045871559632</v>
      </c>
      <c r="Q78" s="105">
        <f t="shared" si="47"/>
        <v>8396.9032258064508</v>
      </c>
      <c r="R78" s="102">
        <v>17400</v>
      </c>
      <c r="S78" s="4">
        <f t="shared" si="49"/>
        <v>8107.4348599242821</v>
      </c>
      <c r="T78" s="67">
        <f t="shared" si="50"/>
        <v>65032.899945916703</v>
      </c>
      <c r="U78" s="16">
        <f t="shared" si="51"/>
        <v>1648.853357572342</v>
      </c>
      <c r="V78" s="18">
        <f>(T78*3.6)/(AL$7*AP$6)</f>
        <v>13226.096451115043</v>
      </c>
      <c r="W78" s="29" t="s">
        <v>73</v>
      </c>
      <c r="X78" s="12" t="s">
        <v>288</v>
      </c>
      <c r="Y78">
        <v>600</v>
      </c>
      <c r="Z78">
        <v>177</v>
      </c>
      <c r="AA78" s="6" t="s">
        <v>121</v>
      </c>
      <c r="AB78" s="4">
        <f>AP$13*V78/1000</f>
        <v>41.556395049403463</v>
      </c>
      <c r="AC78" s="32">
        <f t="shared" si="55"/>
        <v>2.6452192902230089E-2</v>
      </c>
      <c r="AD78" s="73">
        <f>(V78/1000)*AN$20/1000</f>
        <v>1.0382485714125309</v>
      </c>
      <c r="AE78" s="67">
        <f>V78*AL$7/3600</f>
        <v>153.0185881080393</v>
      </c>
      <c r="AF78" s="39"/>
      <c r="AG78" s="4">
        <f t="shared" si="52"/>
        <v>3254.3569614303606</v>
      </c>
      <c r="AH78" s="4">
        <f t="shared" si="53"/>
        <v>3905.2283537164321</v>
      </c>
      <c r="AI78" s="4">
        <f t="shared" si="54"/>
        <v>25174.02578551614</v>
      </c>
      <c r="AJ78" s="75"/>
    </row>
    <row r="79" spans="1:36">
      <c r="A79">
        <v>75</v>
      </c>
      <c r="B79" t="s">
        <v>289</v>
      </c>
      <c r="C79" s="5" t="s">
        <v>290</v>
      </c>
      <c r="D79">
        <v>206.96</v>
      </c>
      <c r="E79" s="50" t="s">
        <v>180</v>
      </c>
      <c r="F79" s="5">
        <v>72</v>
      </c>
      <c r="G79" s="4">
        <v>12.59</v>
      </c>
      <c r="H79" s="99">
        <v>21</v>
      </c>
      <c r="I79" s="4">
        <f t="shared" si="48"/>
        <v>5.7188244638602068</v>
      </c>
      <c r="J79" s="104">
        <v>12.9</v>
      </c>
      <c r="K79" s="105">
        <f t="shared" si="44"/>
        <v>12040</v>
      </c>
      <c r="L79" s="106">
        <f t="shared" si="42"/>
        <v>2428.2352941176473</v>
      </c>
      <c r="M79" s="105">
        <f t="shared" si="40"/>
        <v>7.6295152941176481</v>
      </c>
      <c r="N79" s="105">
        <f t="shared" si="43"/>
        <v>4.856470588235295</v>
      </c>
      <c r="O79" s="105">
        <f t="shared" si="45"/>
        <v>153.42804705882355</v>
      </c>
      <c r="P79" s="105">
        <f t="shared" si="46"/>
        <v>602.50208507089246</v>
      </c>
      <c r="Q79" s="105">
        <f t="shared" si="47"/>
        <v>4660.645161290322</v>
      </c>
      <c r="R79" s="102">
        <v>14000</v>
      </c>
      <c r="S79" s="4">
        <f t="shared" si="49"/>
        <v>6376.535238095239</v>
      </c>
      <c r="T79" s="67">
        <f t="shared" si="50"/>
        <v>36466.285714285725</v>
      </c>
      <c r="U79" s="16">
        <f t="shared" si="51"/>
        <v>1286.0239135654267</v>
      </c>
      <c r="V79" s="18">
        <f>(T79*3.6)/(AL$10*AP$6)</f>
        <v>7354.5450180072066</v>
      </c>
      <c r="W79" s="29" t="s">
        <v>237</v>
      </c>
      <c r="X79" t="s">
        <v>291</v>
      </c>
      <c r="Y79" t="s">
        <v>231</v>
      </c>
      <c r="Z79">
        <v>183</v>
      </c>
      <c r="AA79" s="6" t="s">
        <v>54</v>
      </c>
      <c r="AB79" s="4">
        <f>AP$13*V79/1000</f>
        <v>23.107980446578644</v>
      </c>
      <c r="AC79" s="32">
        <f t="shared" si="55"/>
        <v>1.4709090036014413E-2</v>
      </c>
      <c r="AD79" s="73">
        <f>(V79/1000)*AN$25/1000</f>
        <v>0.46469692696278536</v>
      </c>
      <c r="AE79" s="67">
        <f>V79*AL$10/3600</f>
        <v>85.803025210084087</v>
      </c>
      <c r="AF79" s="39"/>
      <c r="AG79" s="4">
        <f t="shared" si="52"/>
        <v>1824.8349815322299</v>
      </c>
      <c r="AH79" s="4">
        <f t="shared" si="53"/>
        <v>2189.8019778386756</v>
      </c>
      <c r="AI79" s="4">
        <f t="shared" si="54"/>
        <v>14115.981566820281</v>
      </c>
      <c r="AJ79" s="75"/>
    </row>
    <row r="80" spans="1:36">
      <c r="A80">
        <v>76</v>
      </c>
      <c r="B80" t="s">
        <v>292</v>
      </c>
      <c r="C80" s="5" t="s">
        <v>293</v>
      </c>
      <c r="D80">
        <v>208</v>
      </c>
      <c r="E80" s="50" t="s">
        <v>180</v>
      </c>
      <c r="F80" s="5">
        <v>470</v>
      </c>
      <c r="G80" s="4">
        <v>13.65</v>
      </c>
      <c r="H80" s="99">
        <v>21.5</v>
      </c>
      <c r="I80" s="4">
        <f t="shared" si="48"/>
        <v>34.432234432234431</v>
      </c>
      <c r="J80" s="104">
        <v>102</v>
      </c>
      <c r="K80" s="105">
        <f t="shared" si="44"/>
        <v>135864</v>
      </c>
      <c r="L80" s="106">
        <f t="shared" si="42"/>
        <v>28069.463414634149</v>
      </c>
      <c r="M80" s="105">
        <f t="shared" si="40"/>
        <v>87.408309073170741</v>
      </c>
      <c r="N80" s="105">
        <f t="shared" si="43"/>
        <v>56.1389268292683</v>
      </c>
      <c r="O80" s="105">
        <f t="shared" si="45"/>
        <v>1781.5688429268296</v>
      </c>
      <c r="P80" s="105">
        <f t="shared" si="46"/>
        <v>6798.8657214345294</v>
      </c>
      <c r="Q80" s="105">
        <f t="shared" si="47"/>
        <v>52592.516129032258</v>
      </c>
      <c r="R80" s="102">
        <v>19980</v>
      </c>
      <c r="S80" s="4">
        <f t="shared" si="49"/>
        <v>9906.0818388318021</v>
      </c>
      <c r="T80" s="67">
        <f t="shared" si="50"/>
        <v>341088.53217955655</v>
      </c>
      <c r="U80" s="16">
        <f t="shared" si="51"/>
        <v>2046.5936654114485</v>
      </c>
      <c r="V80" s="18">
        <f>(T80*3.6)/(AL$8*AP$6)</f>
        <v>70468.792874972947</v>
      </c>
      <c r="W80" s="29" t="s">
        <v>105</v>
      </c>
      <c r="X80" s="12" t="s">
        <v>294</v>
      </c>
      <c r="Y80" t="s">
        <v>276</v>
      </c>
      <c r="Z80">
        <v>181</v>
      </c>
      <c r="AA80" s="6" t="s">
        <v>54</v>
      </c>
      <c r="AB80" s="4">
        <f>AP$14*V80/1000</f>
        <v>219.43982101266576</v>
      </c>
      <c r="AC80" s="32">
        <f t="shared" si="55"/>
        <v>0.14093758574994589</v>
      </c>
      <c r="AD80" s="73">
        <f>(V80/1000)*AN$26/1000</f>
        <v>4.4726542837745331</v>
      </c>
      <c r="AE80" s="67">
        <f>V80*AL$8/3600</f>
        <v>802.56125218719194</v>
      </c>
      <c r="AF80" s="42"/>
      <c r="AG80" s="4">
        <f t="shared" si="52"/>
        <v>17068.65048438148</v>
      </c>
      <c r="AH80" s="4">
        <f t="shared" si="53"/>
        <v>20482.380581257778</v>
      </c>
      <c r="AI80" s="4">
        <f t="shared" si="54"/>
        <v>132034.27052111868</v>
      </c>
      <c r="AJ80" s="75"/>
    </row>
    <row r="81" spans="1:36">
      <c r="A81">
        <v>77</v>
      </c>
      <c r="B81" t="s">
        <v>295</v>
      </c>
      <c r="C81" s="5" t="s">
        <v>296</v>
      </c>
      <c r="D81">
        <v>210.7</v>
      </c>
      <c r="E81" s="50" t="s">
        <v>180</v>
      </c>
      <c r="F81" s="5">
        <v>78</v>
      </c>
      <c r="G81" s="4">
        <v>11.67</v>
      </c>
      <c r="H81" s="99">
        <v>20.3</v>
      </c>
      <c r="I81" s="4">
        <f t="shared" si="48"/>
        <v>6.6838046272493576</v>
      </c>
      <c r="J81" s="104">
        <v>14.2</v>
      </c>
      <c r="K81" s="105">
        <f t="shared" si="44"/>
        <v>24708</v>
      </c>
      <c r="L81" s="106">
        <f t="shared" si="42"/>
        <v>5025.001059247229</v>
      </c>
      <c r="M81" s="105">
        <f t="shared" si="40"/>
        <v>15.788553328154793</v>
      </c>
      <c r="N81" s="105">
        <f t="shared" si="43"/>
        <v>10.050002118494458</v>
      </c>
      <c r="O81" s="105">
        <f t="shared" si="45"/>
        <v>394.46258315090739</v>
      </c>
      <c r="P81" s="105">
        <f t="shared" si="46"/>
        <v>1236.4303586321935</v>
      </c>
      <c r="Q81" s="105">
        <f t="shared" si="47"/>
        <v>9564.3870967741932</v>
      </c>
      <c r="R81" s="102">
        <v>26100</v>
      </c>
      <c r="S81" s="4">
        <f t="shared" si="49"/>
        <v>11177.084166080223</v>
      </c>
      <c r="T81" s="67">
        <f t="shared" si="50"/>
        <v>74705.44686840252</v>
      </c>
      <c r="U81" s="16">
        <f t="shared" si="51"/>
        <v>2273.1447212987109</v>
      </c>
      <c r="V81" s="18">
        <f>(T81*3.6)/(AL$7*AP$6)</f>
        <v>15193.255206623775</v>
      </c>
      <c r="W81" s="29" t="s">
        <v>73</v>
      </c>
      <c r="X81" s="12" t="s">
        <v>297</v>
      </c>
      <c r="Y81">
        <v>600</v>
      </c>
      <c r="Z81">
        <v>176</v>
      </c>
      <c r="AA81" s="6" t="s">
        <v>121</v>
      </c>
      <c r="AB81" s="4">
        <f>AP$13*V81/1000</f>
        <v>47.7372078592119</v>
      </c>
      <c r="AC81" s="32">
        <f t="shared" si="55"/>
        <v>3.0386510413247549E-2</v>
      </c>
      <c r="AD81" s="73">
        <f>(V81/1000)*AN$20/1000</f>
        <v>1.1926705337199661</v>
      </c>
      <c r="AE81" s="67">
        <f>V81*AL$7/3600</f>
        <v>175.77752204330005</v>
      </c>
      <c r="AF81" s="39"/>
      <c r="AG81" s="4">
        <f t="shared" si="52"/>
        <v>3738.3876664755226</v>
      </c>
      <c r="AH81" s="4">
        <f t="shared" si="53"/>
        <v>4486.0651997706264</v>
      </c>
      <c r="AI81" s="4">
        <f t="shared" si="54"/>
        <v>28918.237497446135</v>
      </c>
      <c r="AJ81" s="75"/>
    </row>
    <row r="82" spans="1:36">
      <c r="A82">
        <v>78</v>
      </c>
      <c r="B82" t="s">
        <v>298</v>
      </c>
      <c r="C82" s="5" t="s">
        <v>299</v>
      </c>
      <c r="D82">
        <v>217.91</v>
      </c>
      <c r="E82" s="50" t="s">
        <v>180</v>
      </c>
      <c r="F82" s="5">
        <v>108</v>
      </c>
      <c r="G82" s="4">
        <v>12.19</v>
      </c>
      <c r="H82" s="99">
        <v>22.5</v>
      </c>
      <c r="I82" s="4">
        <f t="shared" si="48"/>
        <v>8.859721082854799</v>
      </c>
      <c r="J82" s="104">
        <v>19.32</v>
      </c>
      <c r="K82" s="105">
        <f t="shared" si="44"/>
        <v>27434.400000000001</v>
      </c>
      <c r="L82" s="106">
        <f t="shared" si="42"/>
        <v>5579.4839347503712</v>
      </c>
      <c r="M82" s="105">
        <f t="shared" si="40"/>
        <v>17.530738522985668</v>
      </c>
      <c r="N82" s="105">
        <f t="shared" si="43"/>
        <v>11.158967869500742</v>
      </c>
      <c r="O82" s="105">
        <f t="shared" si="45"/>
        <v>352.53969241720216</v>
      </c>
      <c r="P82" s="105">
        <f t="shared" si="46"/>
        <v>1372.864053377815</v>
      </c>
      <c r="Q82" s="105">
        <f t="shared" si="47"/>
        <v>10619.767741935484</v>
      </c>
      <c r="R82" s="102">
        <v>21300</v>
      </c>
      <c r="S82" s="4">
        <f t="shared" si="49"/>
        <v>8367.172657777779</v>
      </c>
      <c r="T82" s="67">
        <f t="shared" si="50"/>
        <v>74130.816000000006</v>
      </c>
      <c r="U82" s="16">
        <f t="shared" si="51"/>
        <v>1701.6776537250196</v>
      </c>
      <c r="V82" s="18">
        <f>(T82*3.6)/(AL$7*AP$6)</f>
        <v>15076.389384930444</v>
      </c>
      <c r="W82" s="29" t="s">
        <v>73</v>
      </c>
      <c r="X82" s="12" t="s">
        <v>300</v>
      </c>
      <c r="Y82" t="s">
        <v>301</v>
      </c>
      <c r="Z82">
        <v>177</v>
      </c>
      <c r="AA82" s="6" t="s">
        <v>54</v>
      </c>
      <c r="AB82" s="4">
        <f>AP$13*V82/1000</f>
        <v>47.370015447451458</v>
      </c>
      <c r="AC82" s="32">
        <f t="shared" si="55"/>
        <v>3.0152778769860888E-2</v>
      </c>
      <c r="AD82" s="73">
        <f>(V82/1000)*AN$25/1000</f>
        <v>0.95260166328683016</v>
      </c>
      <c r="AE82" s="67">
        <f>V82*AL$7/3600</f>
        <v>174.42544941176473</v>
      </c>
      <c r="AF82" s="39"/>
      <c r="AG82" s="4">
        <f t="shared" si="52"/>
        <v>3709.6321601334448</v>
      </c>
      <c r="AH82" s="4">
        <f t="shared" si="53"/>
        <v>4451.5585921601332</v>
      </c>
      <c r="AI82" s="4">
        <f t="shared" si="54"/>
        <v>28695.799741935483</v>
      </c>
      <c r="AJ82" s="75"/>
    </row>
    <row r="83" spans="1:36">
      <c r="A83">
        <v>79</v>
      </c>
      <c r="B83" t="s">
        <v>302</v>
      </c>
      <c r="C83" s="5" t="s">
        <v>303</v>
      </c>
      <c r="D83">
        <v>219.21</v>
      </c>
      <c r="E83" s="50" t="s">
        <v>180</v>
      </c>
      <c r="F83" s="5">
        <v>93</v>
      </c>
      <c r="G83" s="4">
        <v>9.1999999999999993</v>
      </c>
      <c r="H83" s="99">
        <v>22.6</v>
      </c>
      <c r="I83" s="4">
        <f t="shared" si="48"/>
        <v>10.108695652173914</v>
      </c>
      <c r="J83" s="104">
        <v>14</v>
      </c>
      <c r="K83" s="105">
        <f t="shared" si="44"/>
        <v>32256</v>
      </c>
      <c r="L83" s="106">
        <f t="shared" si="42"/>
        <v>6664.0803443328541</v>
      </c>
      <c r="M83" s="105">
        <f t="shared" si="40"/>
        <v>20.751946192252504</v>
      </c>
      <c r="N83" s="105">
        <f t="shared" si="43"/>
        <v>13.328160688665708</v>
      </c>
      <c r="O83" s="105">
        <f t="shared" si="45"/>
        <v>422.96917945480629</v>
      </c>
      <c r="P83" s="105">
        <f t="shared" si="46"/>
        <v>1614.1451209341119</v>
      </c>
      <c r="Q83" s="105">
        <f t="shared" si="47"/>
        <v>12486.193548387097</v>
      </c>
      <c r="R83" s="102">
        <v>34560</v>
      </c>
      <c r="S83" s="4">
        <f t="shared" si="49"/>
        <v>9063.7111755031692</v>
      </c>
      <c r="T83" s="67">
        <f t="shared" si="50"/>
        <v>91622.297752369006</v>
      </c>
      <c r="U83" s="16">
        <f t="shared" si="51"/>
        <v>1872.560128080999</v>
      </c>
      <c r="V83" s="18">
        <f>(T83*3.6)/(AL$8*AP$6)</f>
        <v>18929.140425166621</v>
      </c>
      <c r="W83" s="29" t="s">
        <v>105</v>
      </c>
      <c r="X83" s="12" t="s">
        <v>304</v>
      </c>
      <c r="Y83">
        <v>510</v>
      </c>
      <c r="Z83">
        <v>185</v>
      </c>
      <c r="AA83" s="27" t="s">
        <v>50</v>
      </c>
      <c r="AB83" s="4">
        <f>AP$14*V83/1000</f>
        <v>58.945343283968853</v>
      </c>
      <c r="AC83" s="32">
        <f t="shared" si="55"/>
        <v>3.7858280850333242E-2</v>
      </c>
      <c r="AD83" s="73">
        <f>(V83/1000)*AN$26/1000</f>
        <v>1.2014325427853254</v>
      </c>
      <c r="AE83" s="67">
        <f>V83*AL$8/3600</f>
        <v>215.58187706439762</v>
      </c>
      <c r="AF83" s="39"/>
      <c r="AG83" s="4">
        <f t="shared" si="52"/>
        <v>4584.9356673412349</v>
      </c>
      <c r="AH83" s="4">
        <f t="shared" si="53"/>
        <v>5501.9228008094815</v>
      </c>
      <c r="AI83" s="4">
        <f t="shared" si="54"/>
        <v>35466.695904142834</v>
      </c>
      <c r="AJ83" s="75"/>
    </row>
    <row r="84" spans="1:36">
      <c r="A84">
        <v>80</v>
      </c>
      <c r="B84" t="s">
        <v>305</v>
      </c>
      <c r="C84" s="5" t="s">
        <v>306</v>
      </c>
      <c r="D84">
        <v>221.57</v>
      </c>
      <c r="E84" s="50" t="s">
        <v>180</v>
      </c>
      <c r="F84" s="5">
        <v>140</v>
      </c>
      <c r="G84" s="4">
        <v>13.4</v>
      </c>
      <c r="H84" s="99">
        <v>19.5</v>
      </c>
      <c r="I84" s="4">
        <f t="shared" si="48"/>
        <v>10.44776119402985</v>
      </c>
      <c r="J84" s="104">
        <v>30.02</v>
      </c>
      <c r="K84" s="105">
        <f t="shared" si="44"/>
        <v>47071.360000000001</v>
      </c>
      <c r="L84" s="106">
        <f t="shared" si="42"/>
        <v>8266.1900487804887</v>
      </c>
      <c r="M84" s="105">
        <f t="shared" si="40"/>
        <v>25.740915811902443</v>
      </c>
      <c r="N84" s="105">
        <f t="shared" si="43"/>
        <v>16.532380097560978</v>
      </c>
      <c r="O84" s="105">
        <f t="shared" si="45"/>
        <v>524.65508239609755</v>
      </c>
      <c r="P84" s="105">
        <f t="shared" si="46"/>
        <v>2355.5309424520437</v>
      </c>
      <c r="Q84" s="105">
        <f t="shared" si="47"/>
        <v>18221.171612903225</v>
      </c>
      <c r="R84" s="102">
        <v>23520</v>
      </c>
      <c r="S84" s="4">
        <f t="shared" si="49"/>
        <v>13128.891834319527</v>
      </c>
      <c r="T84" s="67">
        <f t="shared" si="50"/>
        <v>137167.52662721893</v>
      </c>
      <c r="U84" s="16">
        <f t="shared" si="51"/>
        <v>2305.5614928561122</v>
      </c>
      <c r="V84" s="118">
        <f>(T84*3.6)/(AL$8*AP$7)</f>
        <v>24087.955895511619</v>
      </c>
      <c r="W84" s="29" t="s">
        <v>105</v>
      </c>
      <c r="X84" s="12" t="s">
        <v>307</v>
      </c>
      <c r="Y84">
        <v>140</v>
      </c>
      <c r="Z84" s="26" t="s">
        <v>50</v>
      </c>
      <c r="AA84" s="27" t="s">
        <v>50</v>
      </c>
      <c r="AB84" s="4">
        <f>AP$14*V84/1000</f>
        <v>75.009894658623182</v>
      </c>
      <c r="AC84" s="32">
        <f t="shared" si="55"/>
        <v>4.8175911791023242E-2</v>
      </c>
      <c r="AD84" s="73">
        <f>(V84/1000)*AN$26/1000</f>
        <v>1.5288625606881223</v>
      </c>
      <c r="AE84" s="67">
        <f>V84*AL$8/3600</f>
        <v>274.33505325443787</v>
      </c>
      <c r="AF84" s="39"/>
      <c r="AG84" s="4">
        <f t="shared" si="52"/>
        <v>6864.0964117040339</v>
      </c>
      <c r="AH84" s="4">
        <f t="shared" si="53"/>
        <v>8236.9156940448393</v>
      </c>
      <c r="AI84" s="4">
        <f t="shared" si="54"/>
        <v>53097.107081504102</v>
      </c>
      <c r="AJ84" s="75"/>
    </row>
    <row r="85" spans="1:36">
      <c r="A85">
        <v>81</v>
      </c>
      <c r="B85" t="s">
        <v>308</v>
      </c>
      <c r="C85" s="5" t="s">
        <v>309</v>
      </c>
      <c r="D85">
        <v>224.02</v>
      </c>
      <c r="E85" s="50" t="s">
        <v>180</v>
      </c>
      <c r="F85" s="5">
        <v>39</v>
      </c>
      <c r="G85" s="4">
        <v>11.26</v>
      </c>
      <c r="H85" s="99">
        <v>23.5</v>
      </c>
      <c r="I85" s="4">
        <f t="shared" si="48"/>
        <v>3.463587921847247</v>
      </c>
      <c r="J85" s="104">
        <v>8</v>
      </c>
      <c r="K85" s="105">
        <f t="shared" si="44"/>
        <v>17066.666666666668</v>
      </c>
      <c r="L85" s="106">
        <f t="shared" si="42"/>
        <v>3470.9413177035526</v>
      </c>
      <c r="M85" s="105">
        <f t="shared" si="40"/>
        <v>10.90569762022456</v>
      </c>
      <c r="N85" s="105">
        <f t="shared" si="43"/>
        <v>6.9418826354071053</v>
      </c>
      <c r="O85" s="105">
        <f t="shared" si="45"/>
        <v>219.31142715909897</v>
      </c>
      <c r="P85" s="105">
        <f t="shared" si="46"/>
        <v>854.04503753127619</v>
      </c>
      <c r="Q85" s="105">
        <f t="shared" si="47"/>
        <v>6606.4516129032263</v>
      </c>
      <c r="R85" s="102">
        <v>32000</v>
      </c>
      <c r="S85" s="4">
        <f t="shared" si="49"/>
        <v>10541.11348121322</v>
      </c>
      <c r="T85" s="67">
        <f t="shared" si="50"/>
        <v>36510.073336351299</v>
      </c>
      <c r="U85" s="16">
        <f t="shared" si="51"/>
        <v>2143.8038857350525</v>
      </c>
      <c r="V85" s="18">
        <f>(T85*3.6)/(AL$7*AP$6)</f>
        <v>7425.2532454411239</v>
      </c>
      <c r="W85" s="29" t="s">
        <v>73</v>
      </c>
      <c r="X85" s="12" t="s">
        <v>310</v>
      </c>
      <c r="Y85" t="s">
        <v>301</v>
      </c>
      <c r="Z85">
        <v>177</v>
      </c>
      <c r="AA85" s="6" t="s">
        <v>54</v>
      </c>
      <c r="AB85" s="4">
        <f>AP$13*V85/1000</f>
        <v>23.330145697176008</v>
      </c>
      <c r="AC85" s="32">
        <f t="shared" si="55"/>
        <v>1.4850506490882247E-2</v>
      </c>
      <c r="AD85" s="73">
        <f>(V85/1000)*AN$25/1000</f>
        <v>0.46916462631319744</v>
      </c>
      <c r="AE85" s="67">
        <f>V85*AL$7/3600</f>
        <v>85.906054909061879</v>
      </c>
      <c r="AF85" s="40"/>
      <c r="AG85" s="4">
        <f t="shared" si="52"/>
        <v>1827.026188641433</v>
      </c>
      <c r="AH85" s="4">
        <f t="shared" si="53"/>
        <v>2192.4314263697192</v>
      </c>
      <c r="AI85" s="4">
        <f t="shared" si="54"/>
        <v>14132.931614071471</v>
      </c>
      <c r="AJ85" s="75"/>
    </row>
    <row r="86" spans="1:36">
      <c r="A86">
        <v>82</v>
      </c>
      <c r="B86" t="s">
        <v>311</v>
      </c>
      <c r="C86" s="5" t="s">
        <v>312</v>
      </c>
      <c r="D86">
        <v>225.62</v>
      </c>
      <c r="E86" s="50" t="s">
        <v>180</v>
      </c>
      <c r="F86" s="5">
        <v>35</v>
      </c>
      <c r="G86" s="4">
        <v>14.23</v>
      </c>
      <c r="H86" s="99">
        <v>21.4</v>
      </c>
      <c r="I86" s="4">
        <f t="shared" si="48"/>
        <v>2.4595924104005622</v>
      </c>
      <c r="J86" s="104">
        <v>9</v>
      </c>
      <c r="K86" s="105">
        <f t="shared" si="44"/>
        <v>14400</v>
      </c>
      <c r="L86" s="106">
        <f t="shared" si="42"/>
        <v>2928.6067368123727</v>
      </c>
      <c r="M86" s="105">
        <f t="shared" si="40"/>
        <v>9.2016823670644747</v>
      </c>
      <c r="N86" s="105">
        <f t="shared" si="43"/>
        <v>5.8572134736247454</v>
      </c>
      <c r="O86" s="105">
        <f t="shared" si="45"/>
        <v>185.04401666548975</v>
      </c>
      <c r="P86" s="105">
        <f t="shared" si="46"/>
        <v>720.60050041701425</v>
      </c>
      <c r="Q86" s="105">
        <f t="shared" si="47"/>
        <v>5574.1935483870966</v>
      </c>
      <c r="R86" s="102">
        <v>24000</v>
      </c>
      <c r="S86" s="4">
        <f t="shared" si="49"/>
        <v>12750.696480041928</v>
      </c>
      <c r="T86" s="67">
        <f t="shared" si="50"/>
        <v>31361.516289632291</v>
      </c>
      <c r="U86" s="16">
        <f t="shared" si="51"/>
        <v>2593.1788618403193</v>
      </c>
      <c r="V86" s="18">
        <f>(T86*3.6)/(AL$7*AP$6)</f>
        <v>6378.1630473936175</v>
      </c>
      <c r="W86" s="29" t="s">
        <v>73</v>
      </c>
      <c r="X86" s="12" t="s">
        <v>313</v>
      </c>
      <c r="Y86" t="s">
        <v>301</v>
      </c>
      <c r="Z86">
        <v>177</v>
      </c>
      <c r="AA86" s="6" t="s">
        <v>54</v>
      </c>
      <c r="AB86" s="4">
        <f>AP$13*V86/1000</f>
        <v>20.040188294910745</v>
      </c>
      <c r="AC86" s="32">
        <f t="shared" si="55"/>
        <v>1.2756326094787235E-2</v>
      </c>
      <c r="AD86" s="73">
        <f>(V86/1000)*AN$25/1000</f>
        <v>0.40300423214956571</v>
      </c>
      <c r="AE86" s="67">
        <f>V86*AL$7/3600</f>
        <v>73.791803034428938</v>
      </c>
      <c r="AF86" s="40"/>
      <c r="AG86" s="4">
        <f t="shared" si="52"/>
        <v>1569.3836341767619</v>
      </c>
      <c r="AH86" s="4">
        <f t="shared" si="53"/>
        <v>1883.2603610121143</v>
      </c>
      <c r="AI86" s="4">
        <f t="shared" si="54"/>
        <v>12139.94178953508</v>
      </c>
      <c r="AJ86" s="75"/>
    </row>
    <row r="87" spans="1:36">
      <c r="A87">
        <v>83</v>
      </c>
      <c r="B87" t="s">
        <v>314</v>
      </c>
      <c r="C87" s="5" t="s">
        <v>315</v>
      </c>
      <c r="D87">
        <v>227.2</v>
      </c>
      <c r="E87" s="50" t="s">
        <v>180</v>
      </c>
      <c r="F87" s="5">
        <v>35</v>
      </c>
      <c r="G87" s="4">
        <v>13.79</v>
      </c>
      <c r="H87" s="99">
        <v>20</v>
      </c>
      <c r="I87" s="4">
        <f t="shared" si="48"/>
        <v>2.5380710659898478</v>
      </c>
      <c r="J87" s="104">
        <v>10</v>
      </c>
      <c r="K87" s="105">
        <f t="shared" si="44"/>
        <v>15680</v>
      </c>
      <c r="L87" s="106">
        <f t="shared" si="42"/>
        <v>3239.4835007173597</v>
      </c>
      <c r="M87" s="105">
        <f t="shared" si="40"/>
        <v>10.087751621233856</v>
      </c>
      <c r="N87" s="105">
        <f t="shared" si="43"/>
        <v>6.4789670014347189</v>
      </c>
      <c r="O87" s="105">
        <f t="shared" si="45"/>
        <v>205.6100177905308</v>
      </c>
      <c r="P87" s="105">
        <f t="shared" si="46"/>
        <v>784.65387823185995</v>
      </c>
      <c r="Q87" s="105">
        <f t="shared" si="47"/>
        <v>6069.6774193548381</v>
      </c>
      <c r="R87" s="102">
        <v>23520</v>
      </c>
      <c r="S87" s="4">
        <f t="shared" si="49"/>
        <v>13195.805448000001</v>
      </c>
      <c r="T87" s="67">
        <f t="shared" si="50"/>
        <v>33491.892</v>
      </c>
      <c r="U87" s="16">
        <f t="shared" si="51"/>
        <v>2726.2496190989955</v>
      </c>
      <c r="V87" s="18">
        <f>(T87*3.6)/(AL$8*AP$6)</f>
        <v>6919.4152769010034</v>
      </c>
      <c r="W87" s="29" t="s">
        <v>105</v>
      </c>
      <c r="X87" t="s">
        <v>316</v>
      </c>
      <c r="Y87" t="s">
        <v>231</v>
      </c>
      <c r="Z87">
        <v>172</v>
      </c>
      <c r="AA87" s="6" t="s">
        <v>213</v>
      </c>
      <c r="AB87" s="4">
        <f>AP$14*V87/1000</f>
        <v>21.547059172269723</v>
      </c>
      <c r="AC87" s="32">
        <f t="shared" si="55"/>
        <v>1.3838830553802006E-2</v>
      </c>
      <c r="AD87" s="73">
        <f>(V87/1000)*AN$26/1000</f>
        <v>0.43917528762490665</v>
      </c>
      <c r="AE87" s="67">
        <f>V87*AL$8/3600</f>
        <v>78.80445176470586</v>
      </c>
      <c r="AF87" s="37"/>
      <c r="AG87" s="4">
        <f t="shared" si="52"/>
        <v>1675.991259382819</v>
      </c>
      <c r="AH87" s="4">
        <f t="shared" si="53"/>
        <v>2011.1895112593827</v>
      </c>
      <c r="AI87" s="4">
        <f t="shared" si="54"/>
        <v>12964.603354838708</v>
      </c>
      <c r="AJ87" s="75" t="s">
        <v>317</v>
      </c>
    </row>
    <row r="88" spans="1:36">
      <c r="A88">
        <v>84</v>
      </c>
      <c r="B88" t="s">
        <v>318</v>
      </c>
      <c r="C88" s="5" t="s">
        <v>319</v>
      </c>
      <c r="D88">
        <v>228.26</v>
      </c>
      <c r="E88" s="50" t="s">
        <v>180</v>
      </c>
      <c r="F88" s="5">
        <v>70</v>
      </c>
      <c r="G88" s="4">
        <v>14.34</v>
      </c>
      <c r="H88" s="99">
        <v>20</v>
      </c>
      <c r="I88" s="4">
        <f t="shared" si="48"/>
        <v>4.8814504881450489</v>
      </c>
      <c r="J88" s="104">
        <v>20</v>
      </c>
      <c r="K88" s="105">
        <f t="shared" si="44"/>
        <v>31360</v>
      </c>
      <c r="L88" s="106">
        <f t="shared" si="42"/>
        <v>6478.9670014347203</v>
      </c>
      <c r="M88" s="105">
        <f t="shared" si="40"/>
        <v>20.17550324246772</v>
      </c>
      <c r="N88" s="105">
        <f t="shared" si="43"/>
        <v>12.95793400286944</v>
      </c>
      <c r="O88" s="105">
        <f t="shared" si="45"/>
        <v>411.22003558106167</v>
      </c>
      <c r="P88" s="105">
        <f t="shared" si="46"/>
        <v>1569.3077564637199</v>
      </c>
      <c r="Q88" s="105">
        <f t="shared" si="47"/>
        <v>12139.354838709676</v>
      </c>
      <c r="R88" s="102">
        <v>23520</v>
      </c>
      <c r="S88" s="4">
        <f t="shared" si="49"/>
        <v>14000.359968000001</v>
      </c>
      <c r="T88" s="67">
        <f t="shared" si="50"/>
        <v>68342.063999999998</v>
      </c>
      <c r="U88" s="16">
        <f t="shared" si="51"/>
        <v>2892.4703520688663</v>
      </c>
      <c r="V88" s="18">
        <f>(T88*3.6)/(AL$8*AP$6)</f>
        <v>14119.450812051649</v>
      </c>
      <c r="W88" s="29" t="s">
        <v>105</v>
      </c>
      <c r="X88" t="s">
        <v>316</v>
      </c>
      <c r="Y88" t="s">
        <v>231</v>
      </c>
      <c r="Z88">
        <v>172</v>
      </c>
      <c r="AA88" s="6" t="s">
        <v>213</v>
      </c>
      <c r="AB88" s="4">
        <f>AP$14*V88/1000</f>
        <v>43.967969828728833</v>
      </c>
      <c r="AC88" s="32">
        <f t="shared" si="55"/>
        <v>2.8238901624103301E-2</v>
      </c>
      <c r="AD88" s="73">
        <f>(V88/1000)*AN$26/1000</f>
        <v>0.89616154304091822</v>
      </c>
      <c r="AE88" s="67">
        <f>V88*AL$8/3600</f>
        <v>160.80485647058822</v>
      </c>
      <c r="AF88" s="37"/>
      <c r="AG88" s="4">
        <f t="shared" si="52"/>
        <v>3419.9531609674732</v>
      </c>
      <c r="AH88" s="4">
        <f t="shared" si="53"/>
        <v>4103.9437931609673</v>
      </c>
      <c r="AI88" s="4">
        <f t="shared" si="54"/>
        <v>26454.99251612903</v>
      </c>
      <c r="AJ88" s="75" t="s">
        <v>317</v>
      </c>
    </row>
    <row r="89" spans="1:36">
      <c r="A89">
        <v>85</v>
      </c>
      <c r="B89" t="s">
        <v>320</v>
      </c>
      <c r="C89" s="5" t="s">
        <v>321</v>
      </c>
      <c r="D89">
        <v>228.28</v>
      </c>
      <c r="E89" s="50" t="s">
        <v>180</v>
      </c>
      <c r="F89" s="5">
        <v>140</v>
      </c>
      <c r="G89" s="4">
        <v>10.33</v>
      </c>
      <c r="H89" s="99">
        <v>20</v>
      </c>
      <c r="I89" s="4">
        <f t="shared" si="48"/>
        <v>13.552758954501453</v>
      </c>
      <c r="J89" s="104">
        <v>42.08</v>
      </c>
      <c r="K89" s="105">
        <f t="shared" si="44"/>
        <v>65981.440000000002</v>
      </c>
      <c r="L89" s="106">
        <f t="shared" si="42"/>
        <v>13631.746571018653</v>
      </c>
      <c r="M89" s="105">
        <f t="shared" si="40"/>
        <v>42.449258822152089</v>
      </c>
      <c r="N89" s="105">
        <f t="shared" si="43"/>
        <v>27.263493142037309</v>
      </c>
      <c r="O89" s="105">
        <f t="shared" si="45"/>
        <v>865.20695486255397</v>
      </c>
      <c r="P89" s="105">
        <f t="shared" si="46"/>
        <v>3301.8235195996667</v>
      </c>
      <c r="Q89" s="105">
        <f t="shared" si="47"/>
        <v>25541.20258064516</v>
      </c>
      <c r="R89" s="102">
        <v>23520</v>
      </c>
      <c r="S89" s="4">
        <f t="shared" si="49"/>
        <v>8623.9219919999978</v>
      </c>
      <c r="T89" s="67">
        <f t="shared" si="50"/>
        <v>116877.93599999997</v>
      </c>
      <c r="U89" s="16">
        <f t="shared" si="51"/>
        <v>1781.6998089641315</v>
      </c>
      <c r="V89" s="18">
        <f>(T89*3.6)/(AL$8*AP$6)</f>
        <v>24146.948040172163</v>
      </c>
      <c r="W89" s="29" t="s">
        <v>105</v>
      </c>
      <c r="X89" s="12" t="s">
        <v>316</v>
      </c>
      <c r="Y89" t="s">
        <v>231</v>
      </c>
      <c r="Z89">
        <v>172</v>
      </c>
      <c r="AA89" s="6" t="s">
        <v>213</v>
      </c>
      <c r="AB89" s="4">
        <f>AP$14*V89/1000</f>
        <v>75.193596197096113</v>
      </c>
      <c r="AC89" s="32">
        <f t="shared" si="55"/>
        <v>4.8293896080344324E-2</v>
      </c>
      <c r="AD89" s="73">
        <f>(V89/1000)*AN$26/1000</f>
        <v>1.5326067921097271</v>
      </c>
      <c r="AE89" s="67">
        <f>V89*AL$8/3600</f>
        <v>275.00690823529408</v>
      </c>
      <c r="AF89" s="37"/>
      <c r="AG89" s="4">
        <f t="shared" si="52"/>
        <v>5848.7707756463715</v>
      </c>
      <c r="AH89" s="4">
        <f t="shared" si="53"/>
        <v>7018.5249307756449</v>
      </c>
      <c r="AI89" s="4">
        <f t="shared" si="54"/>
        <v>45243.071999999986</v>
      </c>
      <c r="AJ89" s="75" t="s">
        <v>317</v>
      </c>
    </row>
    <row r="90" spans="1:36">
      <c r="A90">
        <v>86</v>
      </c>
      <c r="B90" t="s">
        <v>322</v>
      </c>
      <c r="C90" s="5" t="s">
        <v>323</v>
      </c>
      <c r="D90">
        <v>228.3</v>
      </c>
      <c r="E90" s="50" t="s">
        <v>180</v>
      </c>
      <c r="F90" s="5">
        <v>70</v>
      </c>
      <c r="G90" s="4">
        <v>14.54</v>
      </c>
      <c r="H90" s="99">
        <v>20</v>
      </c>
      <c r="I90" s="4">
        <f t="shared" si="48"/>
        <v>4.814305364511692</v>
      </c>
      <c r="J90" s="104">
        <v>20</v>
      </c>
      <c r="K90" s="105">
        <f t="shared" si="44"/>
        <v>31360</v>
      </c>
      <c r="L90" s="106">
        <f t="shared" si="42"/>
        <v>6478.9670014347194</v>
      </c>
      <c r="M90" s="105">
        <f t="shared" si="40"/>
        <v>20.175503242467713</v>
      </c>
      <c r="N90" s="105">
        <f t="shared" si="43"/>
        <v>12.957934002869438</v>
      </c>
      <c r="O90" s="105">
        <f t="shared" si="45"/>
        <v>411.22003558106161</v>
      </c>
      <c r="P90" s="105">
        <f t="shared" si="46"/>
        <v>1569.3077564637199</v>
      </c>
      <c r="Q90" s="105">
        <f t="shared" si="47"/>
        <v>12139.354838709676</v>
      </c>
      <c r="R90" s="102">
        <v>23520</v>
      </c>
      <c r="S90" s="4">
        <f t="shared" si="49"/>
        <v>14298.217248000001</v>
      </c>
      <c r="T90" s="67">
        <f t="shared" si="50"/>
        <v>68835.984000000011</v>
      </c>
      <c r="U90" s="16">
        <f t="shared" si="51"/>
        <v>2954.0075806484938</v>
      </c>
      <c r="V90" s="18">
        <f>(T90*3.6)/(AL$8*AP$6)</f>
        <v>14221.494542324248</v>
      </c>
      <c r="W90" s="29" t="s">
        <v>105</v>
      </c>
      <c r="X90" s="12" t="s">
        <v>316</v>
      </c>
      <c r="Y90" t="s">
        <v>231</v>
      </c>
      <c r="Z90">
        <v>172</v>
      </c>
      <c r="AA90" s="6" t="s">
        <v>213</v>
      </c>
      <c r="AB90" s="4">
        <f>AP$14*V90/1000</f>
        <v>44.285734004797703</v>
      </c>
      <c r="AC90" s="32">
        <f t="shared" si="55"/>
        <v>2.8442989084648495E-2</v>
      </c>
      <c r="AD90" s="73">
        <f>(V90/1000)*AN$26/1000</f>
        <v>0.90263825860131996</v>
      </c>
      <c r="AE90" s="67">
        <f>V90*AL$8/3600</f>
        <v>161.96702117647061</v>
      </c>
      <c r="AF90" s="37"/>
      <c r="AG90" s="4">
        <f t="shared" si="52"/>
        <v>3444.6697581317771</v>
      </c>
      <c r="AH90" s="4">
        <f t="shared" si="53"/>
        <v>4133.603709758132</v>
      </c>
      <c r="AI90" s="4">
        <f t="shared" si="54"/>
        <v>26646.187354838712</v>
      </c>
      <c r="AJ90" s="75" t="s">
        <v>317</v>
      </c>
    </row>
    <row r="91" spans="1:36">
      <c r="A91">
        <v>87</v>
      </c>
      <c r="B91" t="s">
        <v>324</v>
      </c>
      <c r="C91" s="5" t="s">
        <v>325</v>
      </c>
      <c r="D91">
        <v>230.6</v>
      </c>
      <c r="E91" s="50" t="s">
        <v>180</v>
      </c>
      <c r="F91" s="5">
        <v>140</v>
      </c>
      <c r="G91" s="4">
        <v>15.18</v>
      </c>
      <c r="H91" s="99">
        <v>21.5</v>
      </c>
      <c r="I91" s="4">
        <f t="shared" si="48"/>
        <v>9.2226613965744395</v>
      </c>
      <c r="J91" s="104">
        <v>20.79</v>
      </c>
      <c r="K91" s="105">
        <f t="shared" si="44"/>
        <v>40415.759999999995</v>
      </c>
      <c r="L91" s="106">
        <f t="shared" si="42"/>
        <v>8219.5740978744434</v>
      </c>
      <c r="M91" s="105">
        <f t="shared" si="40"/>
        <v>17.370699926841326</v>
      </c>
      <c r="N91" s="105">
        <f t="shared" si="43"/>
        <v>16.439148195748889</v>
      </c>
      <c r="O91" s="105">
        <f t="shared" si="45"/>
        <v>519.35378937419671</v>
      </c>
      <c r="P91" s="105">
        <f t="shared" si="46"/>
        <v>2022.4733944954125</v>
      </c>
      <c r="Q91" s="105">
        <f t="shared" si="47"/>
        <v>15644.810322580641</v>
      </c>
      <c r="R91" s="102">
        <v>29160</v>
      </c>
      <c r="S91" s="4">
        <f t="shared" si="49"/>
        <v>16957.111845105464</v>
      </c>
      <c r="T91" s="67">
        <f t="shared" si="50"/>
        <v>156389.70081124932</v>
      </c>
      <c r="U91" s="16">
        <f t="shared" si="51"/>
        <v>3448.6605546150513</v>
      </c>
      <c r="V91" s="18">
        <f>(T91*3.6)/(AL$11*AP$6)</f>
        <v>31805.828566937231</v>
      </c>
      <c r="W91" s="29" t="s">
        <v>93</v>
      </c>
      <c r="X91" s="12" t="s">
        <v>266</v>
      </c>
      <c r="Y91">
        <v>750</v>
      </c>
      <c r="Z91">
        <v>178.8</v>
      </c>
      <c r="AA91" s="6" t="s">
        <v>54</v>
      </c>
      <c r="AB91" s="4">
        <f>(AP$15*V91+2*AP$11*V91)/3000</f>
        <v>67.216317704794022</v>
      </c>
      <c r="AC91" s="32">
        <f t="shared" si="55"/>
        <v>6.3611657133874455E-2</v>
      </c>
      <c r="AD91" s="73">
        <f>(V91/1000)*AN$25/1000</f>
        <v>2.0096512780019289</v>
      </c>
      <c r="AE91" s="67">
        <f>V91*AL$11/3600</f>
        <v>367.97576661470436</v>
      </c>
      <c r="AF91" s="40"/>
      <c r="AG91" s="4">
        <f t="shared" si="52"/>
        <v>7826.0067128231531</v>
      </c>
      <c r="AH91" s="4">
        <f t="shared" si="53"/>
        <v>9391.2080553877822</v>
      </c>
      <c r="AI91" s="4">
        <f t="shared" si="54"/>
        <v>60537.948701128771</v>
      </c>
      <c r="AJ91" s="75"/>
    </row>
    <row r="92" spans="1:36">
      <c r="A92">
        <v>88</v>
      </c>
      <c r="B92" t="s">
        <v>326</v>
      </c>
      <c r="C92" s="5" t="s">
        <v>327</v>
      </c>
      <c r="D92">
        <v>236</v>
      </c>
      <c r="E92" s="50" t="s">
        <v>180</v>
      </c>
      <c r="F92" s="5">
        <v>35</v>
      </c>
      <c r="G92" s="4">
        <v>10.97</v>
      </c>
      <c r="H92" s="99">
        <v>18</v>
      </c>
      <c r="I92" s="4">
        <f t="shared" si="48"/>
        <v>3.1905195989061075</v>
      </c>
      <c r="J92" s="104">
        <v>18</v>
      </c>
      <c r="K92" s="105">
        <f t="shared" si="44"/>
        <v>25920</v>
      </c>
      <c r="L92" s="106">
        <f t="shared" si="42"/>
        <v>5355.0645624103299</v>
      </c>
      <c r="M92" s="105">
        <f t="shared" si="40"/>
        <v>16.675671047345769</v>
      </c>
      <c r="N92" s="105">
        <f t="shared" si="43"/>
        <v>10.710129124820661</v>
      </c>
      <c r="O92" s="105">
        <f t="shared" si="45"/>
        <v>339.88594777618357</v>
      </c>
      <c r="P92" s="105">
        <f t="shared" si="46"/>
        <v>1297.0809007506255</v>
      </c>
      <c r="Q92" s="105">
        <f t="shared" si="47"/>
        <v>10033.548387096773</v>
      </c>
      <c r="R92" s="102">
        <v>21600</v>
      </c>
      <c r="S92" s="4">
        <f t="shared" si="49"/>
        <v>10079.236000000001</v>
      </c>
      <c r="T92" s="67">
        <f t="shared" si="50"/>
        <v>32158</v>
      </c>
      <c r="U92" s="16">
        <f t="shared" si="51"/>
        <v>2082.3672654232428</v>
      </c>
      <c r="V92" s="18">
        <f>(T92*3.6)/(AL$8*AP$6)</f>
        <v>6643.8335724533717</v>
      </c>
      <c r="W92" s="29" t="s">
        <v>105</v>
      </c>
      <c r="X92" s="13" t="s">
        <v>328</v>
      </c>
      <c r="Y92" t="s">
        <v>231</v>
      </c>
      <c r="Z92">
        <v>172</v>
      </c>
      <c r="AA92" s="6" t="s">
        <v>213</v>
      </c>
      <c r="AB92" s="4">
        <f>AP$14*V92/1000</f>
        <v>20.688897744619801</v>
      </c>
      <c r="AC92" s="32">
        <f t="shared" si="55"/>
        <v>1.3287667144906744E-2</v>
      </c>
      <c r="AD92" s="73">
        <f>(V92/1000)*AN$26/1000</f>
        <v>0.42168411684361545</v>
      </c>
      <c r="AE92" s="67">
        <f>V92*AL$8/3600</f>
        <v>75.665882352941182</v>
      </c>
      <c r="AF92" s="40"/>
      <c r="AG92" s="4">
        <f t="shared" si="52"/>
        <v>1609.2410341951627</v>
      </c>
      <c r="AH92" s="4">
        <f t="shared" si="53"/>
        <v>1931.0892410341951</v>
      </c>
      <c r="AI92" s="4">
        <f t="shared" si="54"/>
        <v>12448.258064516129</v>
      </c>
      <c r="AJ92" s="75"/>
    </row>
    <row r="93" spans="1:36">
      <c r="A93">
        <v>89</v>
      </c>
      <c r="B93" t="s">
        <v>329</v>
      </c>
      <c r="C93" s="5" t="s">
        <v>330</v>
      </c>
      <c r="D93">
        <v>238</v>
      </c>
      <c r="E93" s="50" t="s">
        <v>180</v>
      </c>
      <c r="F93" s="5">
        <v>109</v>
      </c>
      <c r="G93" s="4">
        <v>11.54</v>
      </c>
      <c r="H93" s="99">
        <v>25</v>
      </c>
      <c r="I93" s="4">
        <f t="shared" si="48"/>
        <v>9.4454072790294639</v>
      </c>
      <c r="J93" s="104">
        <v>26.73</v>
      </c>
      <c r="K93" s="105">
        <f t="shared" si="44"/>
        <v>102643.2</v>
      </c>
      <c r="L93" s="106">
        <f t="shared" si="42"/>
        <v>21206.055667144905</v>
      </c>
      <c r="M93" s="105">
        <f t="shared" si="40"/>
        <v>66.035657347489234</v>
      </c>
      <c r="N93" s="105">
        <f t="shared" si="43"/>
        <v>42.412111334289811</v>
      </c>
      <c r="O93" s="105">
        <f t="shared" si="45"/>
        <v>1345.9483531936869</v>
      </c>
      <c r="P93" s="105">
        <f t="shared" si="46"/>
        <v>5136.4403669724779</v>
      </c>
      <c r="Q93" s="105">
        <f t="shared" si="47"/>
        <v>39732.851612903221</v>
      </c>
      <c r="R93" s="102">
        <v>57600</v>
      </c>
      <c r="S93" s="4">
        <f t="shared" si="49"/>
        <v>17999.120793599999</v>
      </c>
      <c r="T93" s="67">
        <f t="shared" si="50"/>
        <v>170009.02656</v>
      </c>
      <c r="U93" s="16">
        <f t="shared" si="51"/>
        <v>3718.6131912172164</v>
      </c>
      <c r="V93" s="18">
        <f>(T93*3.6)/(AL$8*AP$6)</f>
        <v>35123.81610421808</v>
      </c>
      <c r="W93" s="29" t="s">
        <v>105</v>
      </c>
      <c r="X93" s="12" t="s">
        <v>331</v>
      </c>
      <c r="Y93">
        <v>500</v>
      </c>
      <c r="Z93" s="26" t="s">
        <v>50</v>
      </c>
      <c r="AA93" s="27" t="s">
        <v>50</v>
      </c>
      <c r="AB93" s="4">
        <f>AP$14*V93/1000</f>
        <v>109.3755633485351</v>
      </c>
      <c r="AC93" s="32">
        <f t="shared" si="55"/>
        <v>7.0247632208436162E-2</v>
      </c>
      <c r="AD93" s="73">
        <f>(V93/1000)*AN$26/1000</f>
        <v>2.2293086081347213</v>
      </c>
      <c r="AE93" s="67">
        <f>V93*AL$8/3600</f>
        <v>400.0212389647059</v>
      </c>
      <c r="AF93" s="39"/>
      <c r="AG93" s="4">
        <f t="shared" si="52"/>
        <v>8507.5409454545461</v>
      </c>
      <c r="AH93" s="4">
        <f t="shared" si="53"/>
        <v>10209.049134545454</v>
      </c>
      <c r="AI93" s="4">
        <f t="shared" si="54"/>
        <v>65809.94576516129</v>
      </c>
      <c r="AJ93" s="75"/>
    </row>
    <row r="94" spans="1:36">
      <c r="A94">
        <v>90</v>
      </c>
      <c r="B94" t="s">
        <v>332</v>
      </c>
      <c r="C94" s="5" t="s">
        <v>333</v>
      </c>
      <c r="D94">
        <v>239.2</v>
      </c>
      <c r="E94" s="50" t="s">
        <v>180</v>
      </c>
      <c r="F94" s="5">
        <v>39</v>
      </c>
      <c r="G94" s="4">
        <v>14.63</v>
      </c>
      <c r="H94" s="99">
        <v>22</v>
      </c>
      <c r="I94" s="4">
        <f t="shared" si="48"/>
        <v>2.6657552973342447</v>
      </c>
      <c r="J94" s="104">
        <v>10.199999999999999</v>
      </c>
      <c r="K94" s="105">
        <f t="shared" si="44"/>
        <v>28559.999999999996</v>
      </c>
      <c r="L94" s="106">
        <f t="shared" si="42"/>
        <v>5808.4033613445381</v>
      </c>
      <c r="M94" s="105">
        <f t="shared" si="40"/>
        <v>18.25000336134454</v>
      </c>
      <c r="N94" s="105">
        <f t="shared" si="43"/>
        <v>11.616806722689077</v>
      </c>
      <c r="O94" s="105">
        <f t="shared" si="45"/>
        <v>367.00396638655462</v>
      </c>
      <c r="P94" s="105">
        <f t="shared" si="46"/>
        <v>1429.1909924937447</v>
      </c>
      <c r="Q94" s="105">
        <f t="shared" si="47"/>
        <v>11055.483870967739</v>
      </c>
      <c r="R94" s="102">
        <v>42000</v>
      </c>
      <c r="S94" s="4">
        <f t="shared" si="49"/>
        <v>22316.070000000003</v>
      </c>
      <c r="T94" s="67">
        <f t="shared" si="50"/>
        <v>59489.181818181823</v>
      </c>
      <c r="U94" s="16">
        <f t="shared" si="51"/>
        <v>4538.5411764705887</v>
      </c>
      <c r="V94" s="18">
        <f>(T94*3.6)/(AL$7*AP$6)</f>
        <v>12098.640183346068</v>
      </c>
      <c r="W94" s="29" t="s">
        <v>250</v>
      </c>
      <c r="X94" s="12" t="s">
        <v>334</v>
      </c>
      <c r="Y94">
        <v>600</v>
      </c>
      <c r="Z94">
        <v>175.5</v>
      </c>
      <c r="AA94" s="6" t="s">
        <v>213</v>
      </c>
      <c r="AB94" s="4">
        <f>AP$13*V94/1000</f>
        <v>38.013927456073347</v>
      </c>
      <c r="AC94" s="32">
        <f t="shared" si="55"/>
        <v>2.4197280366692133E-2</v>
      </c>
      <c r="AD94" s="73">
        <f>(V94/1000)*AN$25/1000</f>
        <v>0.76445257998472127</v>
      </c>
      <c r="AE94" s="67">
        <f>V94*AL$7/3600</f>
        <v>139.97454545454548</v>
      </c>
      <c r="AF94" s="41"/>
      <c r="AG94" s="4">
        <f t="shared" si="52"/>
        <v>2976.9398741375394</v>
      </c>
      <c r="AH94" s="4">
        <f t="shared" si="53"/>
        <v>3572.327848965047</v>
      </c>
      <c r="AI94" s="4">
        <f t="shared" si="54"/>
        <v>23028.070381231671</v>
      </c>
      <c r="AJ94" s="75"/>
    </row>
    <row r="95" spans="1:36">
      <c r="A95">
        <v>91</v>
      </c>
      <c r="B95" t="s">
        <v>335</v>
      </c>
      <c r="C95" s="5" t="s">
        <v>336</v>
      </c>
      <c r="D95">
        <v>245.6</v>
      </c>
      <c r="E95" s="50" t="s">
        <v>180</v>
      </c>
      <c r="F95" s="5">
        <v>35</v>
      </c>
      <c r="G95" s="4">
        <v>11.99</v>
      </c>
      <c r="H95" s="99">
        <v>21.5</v>
      </c>
      <c r="I95" s="4">
        <f t="shared" si="48"/>
        <v>2.9190992493744785</v>
      </c>
      <c r="J95" s="104">
        <v>6.5</v>
      </c>
      <c r="K95" s="105">
        <f t="shared" si="44"/>
        <v>16900</v>
      </c>
      <c r="L95" s="106">
        <f t="shared" si="42"/>
        <v>3491.5351506456241</v>
      </c>
      <c r="M95" s="105">
        <f t="shared" si="40"/>
        <v>10.872640459110471</v>
      </c>
      <c r="N95" s="105">
        <f t="shared" si="43"/>
        <v>6.9830703012912485</v>
      </c>
      <c r="O95" s="105">
        <f t="shared" si="45"/>
        <v>221.60773601147775</v>
      </c>
      <c r="P95" s="105">
        <f t="shared" si="46"/>
        <v>845.70475396163476</v>
      </c>
      <c r="Q95" s="105">
        <f t="shared" si="47"/>
        <v>6541.9354838709669</v>
      </c>
      <c r="R95" s="102">
        <v>39000</v>
      </c>
      <c r="S95" s="4">
        <f t="shared" si="49"/>
        <v>15977.138647917793</v>
      </c>
      <c r="T95" s="67">
        <f t="shared" si="50"/>
        <v>46638.853434288802</v>
      </c>
      <c r="U95" s="16">
        <f t="shared" si="51"/>
        <v>3300.8722601150107</v>
      </c>
      <c r="V95" s="18">
        <f>(T95*3.6)/(AL$8*AP$6)</f>
        <v>9635.573736782766</v>
      </c>
      <c r="W95" s="29" t="s">
        <v>105</v>
      </c>
      <c r="X95" s="11" t="s">
        <v>337</v>
      </c>
      <c r="Y95">
        <v>400</v>
      </c>
      <c r="Z95" s="26" t="s">
        <v>50</v>
      </c>
      <c r="AA95" s="6" t="s">
        <v>54</v>
      </c>
      <c r="AB95" s="4">
        <f>AP$14*V95/1000</f>
        <v>30.005176616341529</v>
      </c>
      <c r="AC95" s="32">
        <f t="shared" si="55"/>
        <v>1.9271147473565529E-2</v>
      </c>
      <c r="AD95" s="73">
        <f>(V95/1000)*AN$26/1000</f>
        <v>0.61156986507360211</v>
      </c>
      <c r="AE95" s="67">
        <f>V95*AL$8/3600</f>
        <v>109.73847866891484</v>
      </c>
      <c r="AF95" s="41"/>
      <c r="AG95" s="4">
        <f t="shared" si="52"/>
        <v>2333.8875780294647</v>
      </c>
      <c r="AH95" s="4">
        <f t="shared" si="53"/>
        <v>2800.6650936353576</v>
      </c>
      <c r="AI95" s="4">
        <f t="shared" si="54"/>
        <v>18053.749716498893</v>
      </c>
      <c r="AJ95" s="75"/>
    </row>
    <row r="96" spans="1:36">
      <c r="A96">
        <v>92</v>
      </c>
      <c r="B96" t="s">
        <v>338</v>
      </c>
      <c r="C96" s="5" t="s">
        <v>339</v>
      </c>
      <c r="D96">
        <v>250</v>
      </c>
      <c r="E96" s="50" t="s">
        <v>180</v>
      </c>
      <c r="F96" s="5">
        <v>39</v>
      </c>
      <c r="G96" s="4">
        <v>14.42</v>
      </c>
      <c r="H96" s="99">
        <v>23</v>
      </c>
      <c r="I96" s="4">
        <f t="shared" si="48"/>
        <v>2.7045769764216367</v>
      </c>
      <c r="J96" s="104">
        <v>8.77</v>
      </c>
      <c r="K96" s="105">
        <f t="shared" si="44"/>
        <v>30518.430666666667</v>
      </c>
      <c r="L96" s="106">
        <f t="shared" si="42"/>
        <v>6206.7001143987018</v>
      </c>
      <c r="M96" s="105">
        <f t="shared" si="40"/>
        <v>19.50145175944072</v>
      </c>
      <c r="N96" s="105">
        <f t="shared" si="43"/>
        <v>12.413400228797403</v>
      </c>
      <c r="O96" s="105">
        <f t="shared" si="45"/>
        <v>487.22595898029812</v>
      </c>
      <c r="P96" s="105">
        <f t="shared" si="46"/>
        <v>1527.1941951626357</v>
      </c>
      <c r="Q96" s="105">
        <f t="shared" si="47"/>
        <v>11813.58606451613</v>
      </c>
      <c r="R96" s="102">
        <v>52198</v>
      </c>
      <c r="S96" s="4">
        <f t="shared" si="49"/>
        <v>25400.971637655952</v>
      </c>
      <c r="T96" s="67">
        <f t="shared" si="50"/>
        <v>68698.883069943287</v>
      </c>
      <c r="U96" s="16">
        <f t="shared" si="51"/>
        <v>5165.9344902513349</v>
      </c>
      <c r="V96" s="18">
        <f>(T96*3.6)/(AL$7*AP$6)</f>
        <v>13971.667484036205</v>
      </c>
      <c r="W96" s="29" t="s">
        <v>73</v>
      </c>
      <c r="X96" s="11" t="s">
        <v>340</v>
      </c>
      <c r="Y96">
        <v>600</v>
      </c>
      <c r="Z96">
        <v>176</v>
      </c>
      <c r="AA96" s="6" t="s">
        <v>121</v>
      </c>
      <c r="AB96" s="4">
        <f>AP$13*V96/1000</f>
        <v>43.898979234841754</v>
      </c>
      <c r="AC96" s="32">
        <f t="shared" si="55"/>
        <v>2.7943334968072411E-2</v>
      </c>
      <c r="AD96" s="73">
        <f>(V96/1000)*AN$20/1000</f>
        <v>1.0967758974968422</v>
      </c>
      <c r="AE96" s="67">
        <f>V96*AL$7/3600</f>
        <v>161.64443075280775</v>
      </c>
      <c r="AF96" s="41"/>
      <c r="AG96" s="4">
        <f t="shared" si="52"/>
        <v>3437.8089943257696</v>
      </c>
      <c r="AH96" s="4">
        <f t="shared" si="53"/>
        <v>4125.370793190923</v>
      </c>
      <c r="AI96" s="4">
        <f t="shared" si="54"/>
        <v>26593.116027074819</v>
      </c>
      <c r="AJ96" s="75"/>
    </row>
    <row r="97" spans="1:36">
      <c r="A97">
        <v>93</v>
      </c>
      <c r="B97" t="s">
        <v>341</v>
      </c>
      <c r="C97" s="5" t="s">
        <v>342</v>
      </c>
      <c r="D97">
        <v>251.9</v>
      </c>
      <c r="E97" s="50" t="s">
        <v>180</v>
      </c>
      <c r="F97" s="5">
        <v>275</v>
      </c>
      <c r="G97" s="4">
        <v>11.19</v>
      </c>
      <c r="H97" s="99">
        <v>22</v>
      </c>
      <c r="I97" s="4">
        <f t="shared" si="48"/>
        <v>24.575513851653263</v>
      </c>
      <c r="J97" s="104">
        <v>51.55</v>
      </c>
      <c r="K97" s="105">
        <f t="shared" si="44"/>
        <v>123720</v>
      </c>
      <c r="L97" s="106">
        <f t="shared" si="42"/>
        <v>25161.612880446301</v>
      </c>
      <c r="M97" s="105">
        <f t="shared" si="40"/>
        <v>79.057787670362259</v>
      </c>
      <c r="N97" s="105">
        <f t="shared" si="43"/>
        <v>50.323225760892598</v>
      </c>
      <c r="O97" s="105">
        <f t="shared" si="45"/>
        <v>1589.8365098509994</v>
      </c>
      <c r="P97" s="105">
        <f t="shared" si="46"/>
        <v>6191.1592994161801</v>
      </c>
      <c r="Q97" s="105">
        <f t="shared" si="47"/>
        <v>47891.612903225803</v>
      </c>
      <c r="R97" s="102">
        <v>36000</v>
      </c>
      <c r="S97" s="4">
        <f t="shared" si="49"/>
        <v>12912.520165289256</v>
      </c>
      <c r="T97" s="67">
        <f t="shared" si="50"/>
        <v>317331.81818181818</v>
      </c>
      <c r="U97" s="16">
        <f t="shared" si="51"/>
        <v>2626.0898295341472</v>
      </c>
      <c r="V97" s="18">
        <f>(T97*3.6)/(AL$7*AP$6)</f>
        <v>64537.506981402192</v>
      </c>
      <c r="W97" s="29" t="s">
        <v>73</v>
      </c>
      <c r="X97" s="11" t="s">
        <v>343</v>
      </c>
      <c r="Y97">
        <v>500</v>
      </c>
      <c r="Z97">
        <v>177</v>
      </c>
      <c r="AA97" s="6" t="s">
        <v>54</v>
      </c>
      <c r="AB97" s="4">
        <f>AP$13*V97/1000</f>
        <v>202.77684693556566</v>
      </c>
      <c r="AC97" s="32">
        <f t="shared" si="55"/>
        <v>0.12907501396280438</v>
      </c>
      <c r="AD97" s="73">
        <f>(V97/1000)*AN$25/1000</f>
        <v>4.0778023786198974</v>
      </c>
      <c r="AE97" s="67">
        <f>V97*AL$7/3600</f>
        <v>746.66310160427804</v>
      </c>
      <c r="AF97" s="40"/>
      <c r="AG97" s="4">
        <f t="shared" si="52"/>
        <v>15879.824095837441</v>
      </c>
      <c r="AH97" s="4">
        <f t="shared" si="53"/>
        <v>19055.788915004927</v>
      </c>
      <c r="AI97" s="4">
        <f t="shared" si="54"/>
        <v>122838.12316715541</v>
      </c>
      <c r="AJ97" s="75"/>
    </row>
    <row r="98" spans="1:36">
      <c r="A98">
        <v>94</v>
      </c>
      <c r="B98" t="s">
        <v>344</v>
      </c>
      <c r="C98" s="5" t="s">
        <v>345</v>
      </c>
      <c r="D98">
        <v>251.9</v>
      </c>
      <c r="E98" s="50" t="s">
        <v>180</v>
      </c>
      <c r="F98" s="5">
        <v>195</v>
      </c>
      <c r="G98" s="4">
        <v>14.78</v>
      </c>
      <c r="H98" s="99">
        <v>22</v>
      </c>
      <c r="I98" s="4">
        <f t="shared" si="48"/>
        <v>13.193504736129906</v>
      </c>
      <c r="J98" s="104">
        <v>49.2</v>
      </c>
      <c r="K98" s="105">
        <f t="shared" si="44"/>
        <v>118080</v>
      </c>
      <c r="L98" s="106">
        <f t="shared" si="42"/>
        <v>24014.575241861454</v>
      </c>
      <c r="M98" s="105">
        <f t="shared" si="40"/>
        <v>75.453795409928688</v>
      </c>
      <c r="N98" s="105">
        <f t="shared" si="43"/>
        <v>48.029150483722908</v>
      </c>
      <c r="O98" s="105">
        <f t="shared" si="45"/>
        <v>1517.3609366570161</v>
      </c>
      <c r="P98" s="105">
        <f t="shared" si="46"/>
        <v>5908.9241034195165</v>
      </c>
      <c r="Q98" s="105">
        <f t="shared" si="47"/>
        <v>45708.38709677419</v>
      </c>
      <c r="R98" s="102">
        <v>36000</v>
      </c>
      <c r="S98" s="4">
        <f t="shared" si="49"/>
        <v>19423.118677685947</v>
      </c>
      <c r="T98" s="67">
        <f t="shared" si="50"/>
        <v>256259.00826446278</v>
      </c>
      <c r="U98" s="16">
        <f t="shared" si="51"/>
        <v>3950.1858478734221</v>
      </c>
      <c r="V98" s="18">
        <f>(T98*3.6)/(AL$7*AP$6)</f>
        <v>52116.795692511325</v>
      </c>
      <c r="W98" s="29" t="s">
        <v>73</v>
      </c>
      <c r="X98" s="11" t="s">
        <v>346</v>
      </c>
      <c r="Y98">
        <v>500</v>
      </c>
      <c r="Z98">
        <v>177</v>
      </c>
      <c r="AA98" s="6" t="s">
        <v>54</v>
      </c>
      <c r="AB98" s="4">
        <f>AP$13*V98/1000</f>
        <v>163.7509720658706</v>
      </c>
      <c r="AC98" s="32">
        <f t="shared" si="55"/>
        <v>0.10423359138502265</v>
      </c>
      <c r="AD98" s="73">
        <f>(V98/1000)*AN$25/1000</f>
        <v>3.2929997358313279</v>
      </c>
      <c r="AE98" s="67">
        <f>V98*AL$7/3600</f>
        <v>602.96237238697131</v>
      </c>
      <c r="AF98" s="40"/>
      <c r="AG98" s="4">
        <f t="shared" si="52"/>
        <v>12823.636777204143</v>
      </c>
      <c r="AH98" s="4">
        <f t="shared" si="53"/>
        <v>15388.364132644971</v>
      </c>
      <c r="AI98" s="4">
        <f t="shared" si="54"/>
        <v>99197.035457211401</v>
      </c>
      <c r="AJ98" s="75"/>
    </row>
    <row r="99" spans="1:36">
      <c r="A99">
        <v>95</v>
      </c>
      <c r="B99" t="s">
        <v>347</v>
      </c>
      <c r="C99" s="5" t="s">
        <v>348</v>
      </c>
      <c r="D99">
        <v>253.2</v>
      </c>
      <c r="E99" s="50" t="s">
        <v>180</v>
      </c>
      <c r="F99" s="5">
        <v>663</v>
      </c>
      <c r="G99" s="4">
        <v>10.95</v>
      </c>
      <c r="H99" s="99">
        <v>23</v>
      </c>
      <c r="I99" s="4">
        <f t="shared" si="48"/>
        <v>60.547945205479458</v>
      </c>
      <c r="J99" s="104">
        <v>166.15</v>
      </c>
      <c r="K99" s="105">
        <f t="shared" si="44"/>
        <v>398760</v>
      </c>
      <c r="L99" s="106">
        <f t="shared" si="42"/>
        <v>81098.001553562615</v>
      </c>
      <c r="M99" s="105">
        <f t="shared" si="40"/>
        <v>254.80992088129372</v>
      </c>
      <c r="N99" s="105">
        <f t="shared" si="43"/>
        <v>162.19600310712522</v>
      </c>
      <c r="O99" s="105">
        <f t="shared" si="45"/>
        <v>5124.1772281618532</v>
      </c>
      <c r="P99" s="105">
        <f t="shared" si="46"/>
        <v>19954.628857381151</v>
      </c>
      <c r="Q99" s="105">
        <f t="shared" si="47"/>
        <v>154358.70967741933</v>
      </c>
      <c r="R99" s="102">
        <v>36000</v>
      </c>
      <c r="S99" s="4">
        <f t="shared" si="49"/>
        <v>11751.4820415879</v>
      </c>
      <c r="T99" s="67">
        <f t="shared" si="50"/>
        <v>711528.09073724004</v>
      </c>
      <c r="U99" s="16">
        <f t="shared" si="51"/>
        <v>2389.963157953051</v>
      </c>
      <c r="V99" s="18">
        <f>(T99*3.6)/(AL$7*AP$6)</f>
        <v>144707.35833085599</v>
      </c>
      <c r="W99" s="29" t="s">
        <v>73</v>
      </c>
      <c r="X99" s="11" t="s">
        <v>349</v>
      </c>
      <c r="Y99">
        <v>500</v>
      </c>
      <c r="Z99">
        <v>177</v>
      </c>
      <c r="AA99" s="6" t="s">
        <v>54</v>
      </c>
      <c r="AB99" s="4">
        <f>AP$13*V99/1000</f>
        <v>454.67051987554947</v>
      </c>
      <c r="AC99" s="32">
        <f t="shared" si="55"/>
        <v>0.28941471666171198</v>
      </c>
      <c r="AD99" s="73">
        <f>(V99/1000)*AN$25/1000</f>
        <v>9.1433344361351363</v>
      </c>
      <c r="AE99" s="67">
        <f>V99*AL$7/3600</f>
        <v>1674.1837429111533</v>
      </c>
      <c r="AF99" s="40"/>
      <c r="AG99" s="4">
        <f t="shared" si="52"/>
        <v>35606.076267084572</v>
      </c>
      <c r="AH99" s="4">
        <f t="shared" si="53"/>
        <v>42727.291520501487</v>
      </c>
      <c r="AI99" s="4">
        <f t="shared" si="54"/>
        <v>275430.22867248004</v>
      </c>
      <c r="AJ99" s="75"/>
    </row>
    <row r="100" spans="1:36">
      <c r="A100">
        <v>96</v>
      </c>
      <c r="B100" t="s">
        <v>350</v>
      </c>
      <c r="C100" s="5" t="s">
        <v>351</v>
      </c>
      <c r="D100">
        <v>263.89999999999998</v>
      </c>
      <c r="E100" s="50" t="s">
        <v>180</v>
      </c>
      <c r="F100" s="5">
        <v>190</v>
      </c>
      <c r="G100" s="4">
        <v>11.14</v>
      </c>
      <c r="H100" s="99">
        <v>21.5</v>
      </c>
      <c r="I100" s="4">
        <f t="shared" si="48"/>
        <v>17.055655296229801</v>
      </c>
      <c r="J100" s="104">
        <v>48.5</v>
      </c>
      <c r="K100" s="105">
        <f t="shared" si="44"/>
        <v>120053.66666666667</v>
      </c>
      <c r="L100" s="106">
        <f t="shared" si="42"/>
        <v>24803.053084648494</v>
      </c>
      <c r="M100" s="105">
        <f t="shared" si="40"/>
        <v>77.236707305595417</v>
      </c>
      <c r="N100" s="105">
        <f t="shared" si="43"/>
        <v>49.606106169296986</v>
      </c>
      <c r="O100" s="105">
        <f t="shared" si="45"/>
        <v>1574.24977928264</v>
      </c>
      <c r="P100" s="105">
        <f t="shared" si="46"/>
        <v>6007.6897414512096</v>
      </c>
      <c r="Q100" s="105">
        <f t="shared" si="47"/>
        <v>46472.38709677419</v>
      </c>
      <c r="R100" s="102">
        <v>37130</v>
      </c>
      <c r="S100" s="4">
        <f t="shared" si="49"/>
        <v>13676.351344077882</v>
      </c>
      <c r="T100" s="67">
        <f t="shared" si="50"/>
        <v>233259.13423472151</v>
      </c>
      <c r="U100" s="16">
        <f t="shared" si="51"/>
        <v>2825.5302633389028</v>
      </c>
      <c r="V100" s="18">
        <f>(T100*3.6)/(AL$8*AP$6)</f>
        <v>48191.270200573745</v>
      </c>
      <c r="W100" s="29" t="s">
        <v>105</v>
      </c>
      <c r="X100" t="s">
        <v>352</v>
      </c>
      <c r="Y100" t="s">
        <v>301</v>
      </c>
      <c r="Z100">
        <v>174</v>
      </c>
      <c r="AA100" s="6" t="s">
        <v>54</v>
      </c>
      <c r="AB100" s="4">
        <f>AP$14*V100/1000</f>
        <v>150.06761540458663</v>
      </c>
      <c r="AC100" s="32">
        <f t="shared" si="55"/>
        <v>9.6382540401147493E-2</v>
      </c>
      <c r="AD100" s="73">
        <f>(V100/1000)*AN$26/1000</f>
        <v>3.0586999196304157</v>
      </c>
      <c r="AE100" s="67">
        <f>V100*AL$8/3600</f>
        <v>548.84502172875648</v>
      </c>
      <c r="AF100" s="41"/>
      <c r="AG100" s="4">
        <f t="shared" si="52"/>
        <v>11672.683948359709</v>
      </c>
      <c r="AH100" s="4">
        <f t="shared" si="53"/>
        <v>14007.22073803165</v>
      </c>
      <c r="AI100" s="4">
        <f t="shared" si="54"/>
        <v>90293.858413440583</v>
      </c>
      <c r="AJ100" s="75"/>
    </row>
    <row r="101" spans="1:36">
      <c r="A101">
        <v>97</v>
      </c>
      <c r="B101" t="s">
        <v>353</v>
      </c>
      <c r="C101" s="5" t="s">
        <v>354</v>
      </c>
      <c r="D101">
        <v>268.60000000000002</v>
      </c>
      <c r="E101" s="50" t="s">
        <v>180</v>
      </c>
      <c r="F101" s="5">
        <v>198</v>
      </c>
      <c r="G101" s="4">
        <v>15.03</v>
      </c>
      <c r="H101" s="99">
        <v>24</v>
      </c>
      <c r="I101" s="4">
        <f t="shared" ref="I101:I122" si="56">F101/G101</f>
        <v>13.173652694610778</v>
      </c>
      <c r="J101" s="104">
        <v>53.68</v>
      </c>
      <c r="K101" s="105">
        <f t="shared" si="44"/>
        <v>210425.60000000001</v>
      </c>
      <c r="L101" s="106">
        <f t="shared" si="42"/>
        <v>43473.868579626971</v>
      </c>
      <c r="M101" s="105">
        <f t="shared" si="40"/>
        <v>135.37762675695839</v>
      </c>
      <c r="N101" s="105">
        <f t="shared" si="43"/>
        <v>86.947737159253947</v>
      </c>
      <c r="O101" s="105">
        <f t="shared" si="45"/>
        <v>2759.2864387489235</v>
      </c>
      <c r="P101" s="105">
        <f t="shared" si="46"/>
        <v>10530.055045871561</v>
      </c>
      <c r="Q101" s="105">
        <f t="shared" si="47"/>
        <v>81455.070967741936</v>
      </c>
      <c r="R101" s="102">
        <v>58800</v>
      </c>
      <c r="S101" s="4">
        <f t="shared" ref="S101:S122" si="57">((0.6*(G101/H101)*(G101/H101))+(0.4*(G101/H101)))*R101</f>
        <v>28565.830124999997</v>
      </c>
      <c r="T101" s="67">
        <f t="shared" ref="T101:T122" si="58">(F101/G101)*S101</f>
        <v>376316.32499999995</v>
      </c>
      <c r="U101" s="16">
        <f t="shared" ref="U101:U122" si="59">V101/I101</f>
        <v>5901.6923070301282</v>
      </c>
      <c r="V101" s="18">
        <f>(T101*3.6)/(AL$8*AP$6)</f>
        <v>77746.844763271147</v>
      </c>
      <c r="W101" s="29" t="s">
        <v>105</v>
      </c>
      <c r="X101" s="12" t="s">
        <v>355</v>
      </c>
      <c r="Y101" t="s">
        <v>301</v>
      </c>
      <c r="Z101">
        <v>174</v>
      </c>
      <c r="AA101" s="6" t="s">
        <v>54</v>
      </c>
      <c r="AB101" s="4">
        <f>AP$14*V101/1000</f>
        <v>242.10367459282634</v>
      </c>
      <c r="AC101" s="32">
        <f t="shared" si="55"/>
        <v>0.15549368952654227</v>
      </c>
      <c r="AD101" s="73">
        <f>(V101/1000)*AN$26/1000</f>
        <v>4.9345922371248188</v>
      </c>
      <c r="AE101" s="67">
        <f>V101*AL$8/3600</f>
        <v>885.45017647058808</v>
      </c>
      <c r="AF101" s="41"/>
      <c r="AG101" s="4">
        <f t="shared" ref="AG101:AG122" si="60">(3.6*T101)/(0.6*AL$9)</f>
        <v>18831.509174311923</v>
      </c>
      <c r="AH101" s="4">
        <f t="shared" ref="AH101:AH122" si="61">(3.6*T101)/(0.5*AL$9)</f>
        <v>22597.811009174307</v>
      </c>
      <c r="AI101" s="4">
        <f t="shared" si="54"/>
        <v>145670.83548387093</v>
      </c>
      <c r="AJ101" s="75"/>
    </row>
    <row r="102" spans="1:36">
      <c r="A102">
        <v>98</v>
      </c>
      <c r="B102" t="s">
        <v>356</v>
      </c>
      <c r="C102" s="5" t="s">
        <v>357</v>
      </c>
      <c r="D102">
        <v>270</v>
      </c>
      <c r="E102" s="50" t="s">
        <v>180</v>
      </c>
      <c r="F102" s="5">
        <v>39</v>
      </c>
      <c r="G102" s="4">
        <v>10.35</v>
      </c>
      <c r="H102" s="99">
        <v>24</v>
      </c>
      <c r="I102" s="4">
        <f t="shared" si="56"/>
        <v>3.7681159420289858</v>
      </c>
      <c r="J102" s="104">
        <v>21.48</v>
      </c>
      <c r="K102" s="105">
        <f t="shared" si="44"/>
        <v>114416.8</v>
      </c>
      <c r="L102" s="106">
        <f t="shared" si="42"/>
        <v>23638.478048780486</v>
      </c>
      <c r="M102" s="105">
        <f t="shared" si="40"/>
        <v>73.610220643902423</v>
      </c>
      <c r="N102" s="105">
        <f t="shared" si="43"/>
        <v>47.276956097560969</v>
      </c>
      <c r="O102" s="105">
        <f t="shared" si="45"/>
        <v>1500.3342017560974</v>
      </c>
      <c r="P102" s="105">
        <f t="shared" si="46"/>
        <v>5725.6113427856553</v>
      </c>
      <c r="Q102" s="105">
        <f t="shared" si="47"/>
        <v>44290.374193548385</v>
      </c>
      <c r="R102" s="102">
        <v>79900</v>
      </c>
      <c r="S102" s="4">
        <f t="shared" si="57"/>
        <v>22698.466406250001</v>
      </c>
      <c r="T102" s="67">
        <f t="shared" si="58"/>
        <v>85530.453125000015</v>
      </c>
      <c r="U102" s="16">
        <f t="shared" si="59"/>
        <v>4689.496646341463</v>
      </c>
      <c r="V102" s="18">
        <f>(T102*3.6)/(AL$8*AP$6)</f>
        <v>17670.567073170732</v>
      </c>
      <c r="W102" s="29" t="s">
        <v>105</v>
      </c>
      <c r="X102" s="12" t="s">
        <v>355</v>
      </c>
      <c r="Y102" t="s">
        <v>301</v>
      </c>
      <c r="Z102">
        <v>174</v>
      </c>
      <c r="AA102" s="6" t="s">
        <v>54</v>
      </c>
      <c r="AB102" s="4">
        <f>AP$14*V102/1000</f>
        <v>55.026145865853657</v>
      </c>
      <c r="AC102" s="32">
        <f t="shared" si="55"/>
        <v>3.534113414634147E-2</v>
      </c>
      <c r="AD102" s="73">
        <f>(V102/1000)*AN$26/1000</f>
        <v>1.1215508921341464</v>
      </c>
      <c r="AE102" s="67">
        <f>V102*AL$8/3600</f>
        <v>201.24812499999999</v>
      </c>
      <c r="AF102" s="41"/>
      <c r="AG102" s="4">
        <f t="shared" si="60"/>
        <v>4280.0893974145129</v>
      </c>
      <c r="AH102" s="4">
        <f t="shared" si="61"/>
        <v>5136.1072768974145</v>
      </c>
      <c r="AI102" s="4">
        <f t="shared" si="54"/>
        <v>33108.5625</v>
      </c>
      <c r="AJ102" s="75"/>
    </row>
    <row r="103" spans="1:36">
      <c r="A103">
        <v>99</v>
      </c>
      <c r="B103" t="s">
        <v>358</v>
      </c>
      <c r="C103" s="5" t="s">
        <v>359</v>
      </c>
      <c r="D103">
        <v>285.10000000000002</v>
      </c>
      <c r="E103" s="50" t="s">
        <v>180</v>
      </c>
      <c r="F103" s="5">
        <v>110</v>
      </c>
      <c r="G103" s="4">
        <v>10.75</v>
      </c>
      <c r="H103" s="99">
        <v>24</v>
      </c>
      <c r="I103" s="4">
        <f t="shared" si="56"/>
        <v>10.232558139534884</v>
      </c>
      <c r="J103" s="104">
        <v>45</v>
      </c>
      <c r="K103" s="105">
        <f t="shared" si="44"/>
        <v>190134</v>
      </c>
      <c r="L103" s="106">
        <f t="shared" si="42"/>
        <v>39281.629842180773</v>
      </c>
      <c r="M103" s="105">
        <f t="shared" si="40"/>
        <v>122.32299532855093</v>
      </c>
      <c r="N103" s="105">
        <f t="shared" si="43"/>
        <v>78.56325968436154</v>
      </c>
      <c r="O103" s="105">
        <f t="shared" si="45"/>
        <v>2493.2050460832143</v>
      </c>
      <c r="P103" s="105">
        <f t="shared" si="46"/>
        <v>9514.6288573811507</v>
      </c>
      <c r="Q103" s="105">
        <f t="shared" si="47"/>
        <v>73600.258064516122</v>
      </c>
      <c r="R103" s="102">
        <v>63378</v>
      </c>
      <c r="S103" s="4">
        <f t="shared" si="57"/>
        <v>18984.516796874999</v>
      </c>
      <c r="T103" s="67">
        <f t="shared" si="58"/>
        <v>194260.171875</v>
      </c>
      <c r="U103" s="16">
        <f t="shared" si="59"/>
        <v>3922.1957227403154</v>
      </c>
      <c r="V103" s="18">
        <f>(T103*3.6)/(AL$8*AP$6)</f>
        <v>40134.095767575323</v>
      </c>
      <c r="W103" s="29" t="s">
        <v>105</v>
      </c>
      <c r="X103" t="s">
        <v>360</v>
      </c>
      <c r="Y103" t="s">
        <v>361</v>
      </c>
      <c r="Z103">
        <v>185</v>
      </c>
      <c r="AA103" s="27" t="s">
        <v>50</v>
      </c>
      <c r="AB103" s="4">
        <f>AP$14*V103/1000</f>
        <v>124.97757422022956</v>
      </c>
      <c r="AC103" s="32">
        <f t="shared" ref="AC103:AC122" si="62">(V103/1000)*AL$15/1000</f>
        <v>8.0268191535150649E-2</v>
      </c>
      <c r="AD103" s="73">
        <f>(V103/1000)*AN$26/1000</f>
        <v>2.5473110583680061</v>
      </c>
      <c r="AE103" s="67">
        <f>V103*AL$8/3600</f>
        <v>457.08275735294114</v>
      </c>
      <c r="AF103" s="41"/>
      <c r="AG103" s="4">
        <f t="shared" si="60"/>
        <v>9721.109518348625</v>
      </c>
      <c r="AH103" s="4">
        <f t="shared" si="61"/>
        <v>11665.331422018349</v>
      </c>
      <c r="AI103" s="4">
        <f t="shared" si="54"/>
        <v>75197.485887096773</v>
      </c>
      <c r="AJ103" s="75"/>
    </row>
    <row r="104" spans="1:36">
      <c r="A104">
        <v>100</v>
      </c>
      <c r="B104" t="s">
        <v>362</v>
      </c>
      <c r="C104" s="5" t="s">
        <v>363</v>
      </c>
      <c r="D104">
        <v>289.60000000000002</v>
      </c>
      <c r="E104" s="50" t="s">
        <v>180</v>
      </c>
      <c r="F104" s="5">
        <v>195</v>
      </c>
      <c r="G104" s="4">
        <v>11.89</v>
      </c>
      <c r="H104" s="99">
        <v>23</v>
      </c>
      <c r="I104" s="4">
        <f t="shared" si="56"/>
        <v>16.400336417157273</v>
      </c>
      <c r="J104" s="104">
        <v>41.5</v>
      </c>
      <c r="K104" s="105">
        <f t="shared" si="44"/>
        <v>209160</v>
      </c>
      <c r="L104" s="106">
        <f t="shared" si="42"/>
        <v>42538.01285219971</v>
      </c>
      <c r="M104" s="105">
        <f t="shared" si="40"/>
        <v>133.6544363816115</v>
      </c>
      <c r="N104" s="105">
        <f t="shared" si="43"/>
        <v>85.076025704399427</v>
      </c>
      <c r="O104" s="105">
        <f t="shared" si="45"/>
        <v>2687.7643420662384</v>
      </c>
      <c r="P104" s="105">
        <f t="shared" si="46"/>
        <v>10466.722268557131</v>
      </c>
      <c r="Q104" s="105">
        <f t="shared" si="47"/>
        <v>80965.161290322576</v>
      </c>
      <c r="R104" s="102">
        <v>75600</v>
      </c>
      <c r="S104" s="4">
        <f t="shared" si="57"/>
        <v>27754.95511531191</v>
      </c>
      <c r="T104" s="67">
        <f t="shared" si="58"/>
        <v>455190.60113421548</v>
      </c>
      <c r="U104" s="16">
        <f t="shared" si="59"/>
        <v>5644.6769812935745</v>
      </c>
      <c r="V104" s="18">
        <f t="shared" ref="V104:V109" si="63">(T104*3.6)/(AL$7*AP$6)</f>
        <v>92574.6014593984</v>
      </c>
      <c r="W104" s="29" t="s">
        <v>250</v>
      </c>
      <c r="X104" s="12" t="s">
        <v>364</v>
      </c>
      <c r="Y104">
        <v>600</v>
      </c>
      <c r="Z104">
        <v>176</v>
      </c>
      <c r="AA104" s="6" t="s">
        <v>213</v>
      </c>
      <c r="AB104" s="4">
        <f t="shared" ref="AB104:AB109" si="64">AP$13*V104/1000</f>
        <v>290.86939778542978</v>
      </c>
      <c r="AC104" s="32">
        <f t="shared" si="62"/>
        <v>0.1851492029187968</v>
      </c>
      <c r="AD104" s="73">
        <f t="shared" ref="AD104:AD109" si="65">(V104/1000)*AN$25/1000</f>
        <v>5.8493261932120877</v>
      </c>
      <c r="AE104" s="67">
        <f t="shared" ref="AE104:AE109" si="66">V104*AL$7/3600</f>
        <v>1071.0367085510952</v>
      </c>
      <c r="AF104" s="41"/>
      <c r="AG104" s="4">
        <f t="shared" si="60"/>
        <v>22778.512150169252</v>
      </c>
      <c r="AH104" s="4">
        <f t="shared" si="61"/>
        <v>27334.214580203097</v>
      </c>
      <c r="AI104" s="4">
        <f t="shared" si="54"/>
        <v>176202.81334227696</v>
      </c>
      <c r="AJ104" s="75"/>
    </row>
    <row r="105" spans="1:36">
      <c r="A105">
        <v>101</v>
      </c>
      <c r="B105" t="s">
        <v>365</v>
      </c>
      <c r="C105" s="5" t="s">
        <v>366</v>
      </c>
      <c r="D105">
        <v>289.7</v>
      </c>
      <c r="E105" s="50" t="s">
        <v>180</v>
      </c>
      <c r="F105" s="5">
        <v>507</v>
      </c>
      <c r="G105" s="4">
        <v>12.32</v>
      </c>
      <c r="H105" s="99">
        <v>22</v>
      </c>
      <c r="I105" s="4">
        <f t="shared" si="56"/>
        <v>41.152597402597401</v>
      </c>
      <c r="J105" s="104">
        <v>104.3</v>
      </c>
      <c r="K105" s="105">
        <f t="shared" si="44"/>
        <v>525672</v>
      </c>
      <c r="L105" s="106">
        <f t="shared" si="42"/>
        <v>106908.78892733564</v>
      </c>
      <c r="M105" s="105">
        <f t="shared" si="40"/>
        <v>335.90741480968859</v>
      </c>
      <c r="N105" s="105">
        <f t="shared" si="43"/>
        <v>213.81757785467127</v>
      </c>
      <c r="O105" s="105">
        <f t="shared" si="45"/>
        <v>6755.0318283737033</v>
      </c>
      <c r="P105" s="105">
        <f t="shared" si="46"/>
        <v>26305.521267723103</v>
      </c>
      <c r="Q105" s="105">
        <f t="shared" si="47"/>
        <v>203485.93548387094</v>
      </c>
      <c r="R105" s="102">
        <v>75600</v>
      </c>
      <c r="S105" s="4">
        <f t="shared" si="57"/>
        <v>31159.296000000006</v>
      </c>
      <c r="T105" s="67">
        <f t="shared" si="58"/>
        <v>1282285.9636363639</v>
      </c>
      <c r="U105" s="16">
        <f t="shared" si="59"/>
        <v>6337.0364013840845</v>
      </c>
      <c r="V105" s="18">
        <f t="shared" si="63"/>
        <v>260785.50775176386</v>
      </c>
      <c r="W105" s="29" t="s">
        <v>250</v>
      </c>
      <c r="X105" t="s">
        <v>367</v>
      </c>
      <c r="Y105">
        <v>600</v>
      </c>
      <c r="Z105">
        <v>175</v>
      </c>
      <c r="AA105" s="6" t="s">
        <v>213</v>
      </c>
      <c r="AB105" s="4">
        <f t="shared" si="64"/>
        <v>819.38806535604203</v>
      </c>
      <c r="AC105" s="32">
        <f t="shared" si="62"/>
        <v>0.5215710155035278</v>
      </c>
      <c r="AD105" s="73">
        <f t="shared" si="65"/>
        <v>16.477732307295202</v>
      </c>
      <c r="AE105" s="67">
        <f t="shared" si="66"/>
        <v>3017.1434438502679</v>
      </c>
      <c r="AF105" s="41"/>
      <c r="AG105" s="4">
        <f t="shared" si="60"/>
        <v>64167.771324588684</v>
      </c>
      <c r="AH105" s="4">
        <f t="shared" si="61"/>
        <v>77001.325589506407</v>
      </c>
      <c r="AI105" s="4">
        <f t="shared" si="54"/>
        <v>496368.76011730207</v>
      </c>
      <c r="AJ105" s="75"/>
    </row>
    <row r="106" spans="1:36">
      <c r="A106">
        <v>102</v>
      </c>
      <c r="B106" t="s">
        <v>368</v>
      </c>
      <c r="C106" s="5" t="s">
        <v>369</v>
      </c>
      <c r="D106">
        <v>290</v>
      </c>
      <c r="E106" s="50" t="s">
        <v>180</v>
      </c>
      <c r="F106" s="5">
        <v>191</v>
      </c>
      <c r="G106" s="4">
        <v>11.33</v>
      </c>
      <c r="H106" s="99">
        <v>23</v>
      </c>
      <c r="I106" s="4">
        <f t="shared" si="56"/>
        <v>16.857899382171226</v>
      </c>
      <c r="J106" s="104">
        <v>40.5</v>
      </c>
      <c r="K106" s="105">
        <f t="shared" si="44"/>
        <v>163890</v>
      </c>
      <c r="L106" s="106">
        <f t="shared" si="42"/>
        <v>33331.205423345811</v>
      </c>
      <c r="M106" s="105">
        <f t="shared" si="40"/>
        <v>104.72664744015253</v>
      </c>
      <c r="N106" s="105">
        <f t="shared" si="43"/>
        <v>66.662410846691628</v>
      </c>
      <c r="O106" s="105">
        <f t="shared" si="45"/>
        <v>2106.0322146741055</v>
      </c>
      <c r="P106" s="105">
        <f t="shared" si="46"/>
        <v>8201.3344453711434</v>
      </c>
      <c r="Q106" s="105">
        <f t="shared" si="47"/>
        <v>63441.290322580637</v>
      </c>
      <c r="R106" s="102">
        <v>60700</v>
      </c>
      <c r="S106" s="4">
        <f t="shared" si="57"/>
        <v>20798.337500945181</v>
      </c>
      <c r="T106" s="67">
        <f t="shared" si="58"/>
        <v>350616.28090737242</v>
      </c>
      <c r="U106" s="16">
        <f t="shared" si="59"/>
        <v>4229.8716194281569</v>
      </c>
      <c r="V106" s="18">
        <f t="shared" si="63"/>
        <v>71306.750159821531</v>
      </c>
      <c r="W106" s="29" t="s">
        <v>250</v>
      </c>
      <c r="X106" t="s">
        <v>370</v>
      </c>
      <c r="Y106">
        <v>600</v>
      </c>
      <c r="Z106">
        <v>176</v>
      </c>
      <c r="AA106" s="6" t="s">
        <v>213</v>
      </c>
      <c r="AB106" s="4">
        <f t="shared" si="64"/>
        <v>224.04580900215925</v>
      </c>
      <c r="AC106" s="32">
        <f t="shared" si="62"/>
        <v>0.14261350031964307</v>
      </c>
      <c r="AD106" s="73">
        <f t="shared" si="65"/>
        <v>4.5055170088483241</v>
      </c>
      <c r="AE106" s="67">
        <f t="shared" si="66"/>
        <v>824.97948448793522</v>
      </c>
      <c r="AF106" s="41"/>
      <c r="AG106" s="4">
        <f t="shared" si="60"/>
        <v>17545.435241403127</v>
      </c>
      <c r="AH106" s="4">
        <f t="shared" si="61"/>
        <v>21054.522289683748</v>
      </c>
      <c r="AI106" s="4">
        <f t="shared" si="54"/>
        <v>135722.43131898288</v>
      </c>
      <c r="AJ106" s="75"/>
    </row>
    <row r="107" spans="1:36">
      <c r="A107">
        <v>103</v>
      </c>
      <c r="B107" t="s">
        <v>371</v>
      </c>
      <c r="C107" s="5" t="s">
        <v>372</v>
      </c>
      <c r="D107">
        <v>292.5</v>
      </c>
      <c r="E107" s="50" t="s">
        <v>180</v>
      </c>
      <c r="F107" s="5">
        <v>273</v>
      </c>
      <c r="G107" s="4">
        <v>12.95</v>
      </c>
      <c r="H107" s="99">
        <v>24</v>
      </c>
      <c r="I107" s="4">
        <f t="shared" si="56"/>
        <v>21.081081081081081</v>
      </c>
      <c r="J107" s="104">
        <v>56</v>
      </c>
      <c r="K107" s="105">
        <f t="shared" si="44"/>
        <v>232848</v>
      </c>
      <c r="L107" s="106">
        <f t="shared" si="42"/>
        <v>47355.570934256059</v>
      </c>
      <c r="M107" s="105">
        <f t="shared" si="40"/>
        <v>148.79120387543253</v>
      </c>
      <c r="N107" s="105">
        <f t="shared" si="43"/>
        <v>94.711141868512115</v>
      </c>
      <c r="O107" s="105">
        <f t="shared" si="45"/>
        <v>2992.1617494809693</v>
      </c>
      <c r="P107" s="105">
        <f t="shared" si="46"/>
        <v>11652.110091743119</v>
      </c>
      <c r="Q107" s="105">
        <f t="shared" si="47"/>
        <v>90134.709677419349</v>
      </c>
      <c r="R107" s="102">
        <v>62370</v>
      </c>
      <c r="S107" s="4">
        <f t="shared" si="57"/>
        <v>24356.946796874996</v>
      </c>
      <c r="T107" s="67">
        <f t="shared" si="58"/>
        <v>513470.7703124999</v>
      </c>
      <c r="U107" s="16">
        <f t="shared" si="59"/>
        <v>4953.6054498269896</v>
      </c>
      <c r="V107" s="18">
        <f t="shared" si="63"/>
        <v>104427.35813148788</v>
      </c>
      <c r="W107" s="29" t="s">
        <v>250</v>
      </c>
      <c r="X107" t="s">
        <v>373</v>
      </c>
      <c r="Y107">
        <v>600</v>
      </c>
      <c r="Z107">
        <v>176</v>
      </c>
      <c r="AA107" s="6" t="s">
        <v>213</v>
      </c>
      <c r="AB107" s="4">
        <f t="shared" si="64"/>
        <v>328.1107592491349</v>
      </c>
      <c r="AC107" s="32">
        <f t="shared" si="62"/>
        <v>0.20885471626297575</v>
      </c>
      <c r="AD107" s="73">
        <f t="shared" si="65"/>
        <v>6.598242623538062</v>
      </c>
      <c r="AE107" s="67">
        <f t="shared" si="66"/>
        <v>1208.1665183823527</v>
      </c>
      <c r="AF107" s="41"/>
      <c r="AG107" s="4">
        <f t="shared" si="60"/>
        <v>25694.950974770636</v>
      </c>
      <c r="AH107" s="4">
        <f t="shared" si="61"/>
        <v>30833.941169724763</v>
      </c>
      <c r="AI107" s="4">
        <f t="shared" si="54"/>
        <v>198762.87883064512</v>
      </c>
      <c r="AJ107" s="75"/>
    </row>
    <row r="108" spans="1:36">
      <c r="A108">
        <v>104</v>
      </c>
      <c r="B108" t="s">
        <v>374</v>
      </c>
      <c r="C108" s="5" t="s">
        <v>375</v>
      </c>
      <c r="D108">
        <v>293.2</v>
      </c>
      <c r="E108" s="50" t="s">
        <v>180</v>
      </c>
      <c r="F108" s="5">
        <v>273</v>
      </c>
      <c r="G108" s="4">
        <v>11.91</v>
      </c>
      <c r="H108" s="99">
        <v>21.7</v>
      </c>
      <c r="I108" s="4">
        <f t="shared" si="56"/>
        <v>22.921914357682621</v>
      </c>
      <c r="J108" s="104">
        <v>76.39</v>
      </c>
      <c r="K108" s="105">
        <f t="shared" si="44"/>
        <v>244448</v>
      </c>
      <c r="L108" s="106">
        <f t="shared" si="42"/>
        <v>49714.726361132693</v>
      </c>
      <c r="M108" s="105">
        <f t="shared" si="40"/>
        <v>156.20367022667892</v>
      </c>
      <c r="N108" s="105">
        <f t="shared" si="43"/>
        <v>99.429452722265381</v>
      </c>
      <c r="O108" s="105">
        <f t="shared" si="45"/>
        <v>3141.224985128169</v>
      </c>
      <c r="P108" s="105">
        <f t="shared" si="46"/>
        <v>12232.59382819016</v>
      </c>
      <c r="Q108" s="105">
        <f t="shared" si="47"/>
        <v>94625.032258064515</v>
      </c>
      <c r="R108" s="102">
        <v>48000</v>
      </c>
      <c r="S108" s="4">
        <f t="shared" si="57"/>
        <v>19213.420713967174</v>
      </c>
      <c r="T108" s="67">
        <f t="shared" si="58"/>
        <v>440408.38412368082</v>
      </c>
      <c r="U108" s="16">
        <f t="shared" si="59"/>
        <v>3907.5384263982392</v>
      </c>
      <c r="V108" s="18">
        <f t="shared" si="63"/>
        <v>89568.261159254354</v>
      </c>
      <c r="W108" s="29" t="s">
        <v>250</v>
      </c>
      <c r="X108" t="s">
        <v>376</v>
      </c>
      <c r="Y108">
        <v>600</v>
      </c>
      <c r="Z108">
        <v>175.5</v>
      </c>
      <c r="AA108" s="6" t="s">
        <v>213</v>
      </c>
      <c r="AB108" s="4">
        <f t="shared" si="64"/>
        <v>281.42347656237718</v>
      </c>
      <c r="AC108" s="32">
        <f t="shared" si="62"/>
        <v>0.17913652231850868</v>
      </c>
      <c r="AD108" s="73">
        <f t="shared" si="65"/>
        <v>5.6593705813474866</v>
      </c>
      <c r="AE108" s="67">
        <f t="shared" si="66"/>
        <v>1036.2550214674843</v>
      </c>
      <c r="AF108" s="41"/>
      <c r="AG108" s="4">
        <f t="shared" si="60"/>
        <v>22038.784860234238</v>
      </c>
      <c r="AH108" s="4">
        <f t="shared" si="61"/>
        <v>26446.54183228108</v>
      </c>
      <c r="AI108" s="4">
        <f t="shared" si="54"/>
        <v>170480.66482206999</v>
      </c>
      <c r="AJ108" s="75"/>
    </row>
    <row r="109" spans="1:36">
      <c r="A109">
        <v>105</v>
      </c>
      <c r="B109" t="s">
        <v>377</v>
      </c>
      <c r="C109" s="5" t="s">
        <v>378</v>
      </c>
      <c r="D109">
        <v>293.2</v>
      </c>
      <c r="E109" s="50" t="s">
        <v>180</v>
      </c>
      <c r="F109" s="5">
        <v>156</v>
      </c>
      <c r="G109" s="4">
        <v>12.92</v>
      </c>
      <c r="H109" s="99">
        <v>21.7</v>
      </c>
      <c r="I109" s="4">
        <f t="shared" si="56"/>
        <v>12.074303405572756</v>
      </c>
      <c r="J109" s="104">
        <v>43.77</v>
      </c>
      <c r="K109" s="105">
        <f t="shared" si="44"/>
        <v>140064</v>
      </c>
      <c r="L109" s="106">
        <f t="shared" si="42"/>
        <v>28485.581526728343</v>
      </c>
      <c r="M109" s="105">
        <f t="shared" si="40"/>
        <v>89.501697156980455</v>
      </c>
      <c r="N109" s="105">
        <f t="shared" si="43"/>
        <v>56.971163053456685</v>
      </c>
      <c r="O109" s="105">
        <f t="shared" si="45"/>
        <v>1799.8614687663303</v>
      </c>
      <c r="P109" s="105">
        <f t="shared" si="46"/>
        <v>7009.0408673894917</v>
      </c>
      <c r="Q109" s="105">
        <f t="shared" si="47"/>
        <v>54218.322580645159</v>
      </c>
      <c r="R109" s="102">
        <v>48000</v>
      </c>
      <c r="S109" s="4">
        <f t="shared" si="57"/>
        <v>21640.869672322624</v>
      </c>
      <c r="T109" s="67">
        <f t="shared" si="58"/>
        <v>261298.42638408125</v>
      </c>
      <c r="U109" s="16">
        <f t="shared" si="59"/>
        <v>4401.2219939474026</v>
      </c>
      <c r="V109" s="18">
        <f t="shared" si="63"/>
        <v>53141.689710200837</v>
      </c>
      <c r="W109" s="29" t="s">
        <v>250</v>
      </c>
      <c r="X109" t="s">
        <v>379</v>
      </c>
      <c r="Y109">
        <v>600</v>
      </c>
      <c r="Z109">
        <v>175.5</v>
      </c>
      <c r="AA109" s="6" t="s">
        <v>213</v>
      </c>
      <c r="AB109" s="4">
        <f t="shared" si="64"/>
        <v>166.97118906945104</v>
      </c>
      <c r="AC109" s="32">
        <f t="shared" si="62"/>
        <v>0.10628337942040167</v>
      </c>
      <c r="AD109" s="73">
        <f t="shared" si="65"/>
        <v>3.3577576643390397</v>
      </c>
      <c r="AE109" s="67">
        <f t="shared" si="66"/>
        <v>614.81982678607346</v>
      </c>
      <c r="AF109" s="41"/>
      <c r="AG109" s="4">
        <f t="shared" si="60"/>
        <v>13075.817834065785</v>
      </c>
      <c r="AH109" s="4">
        <f t="shared" si="61"/>
        <v>15690.98140087894</v>
      </c>
      <c r="AI109" s="4">
        <f t="shared" si="54"/>
        <v>101147.77795512821</v>
      </c>
      <c r="AJ109" s="75"/>
    </row>
    <row r="110" spans="1:36">
      <c r="A110">
        <v>106</v>
      </c>
      <c r="B110" t="s">
        <v>380</v>
      </c>
      <c r="C110" s="5" t="s">
        <v>381</v>
      </c>
      <c r="D110">
        <v>293.2</v>
      </c>
      <c r="E110" s="50" t="s">
        <v>180</v>
      </c>
      <c r="F110" s="5">
        <v>70</v>
      </c>
      <c r="G110" s="4">
        <v>12.5</v>
      </c>
      <c r="H110" s="99">
        <v>24</v>
      </c>
      <c r="I110" s="4">
        <f t="shared" si="56"/>
        <v>5.6</v>
      </c>
      <c r="J110" s="104">
        <v>19</v>
      </c>
      <c r="K110" s="105">
        <f t="shared" si="44"/>
        <v>73233.600000000006</v>
      </c>
      <c r="L110" s="106">
        <f t="shared" si="42"/>
        <v>16464.696955503514</v>
      </c>
      <c r="M110" s="105">
        <f t="shared" si="40"/>
        <v>52.193089348946138</v>
      </c>
      <c r="N110" s="105">
        <f t="shared" si="43"/>
        <v>32.929393911007026</v>
      </c>
      <c r="O110" s="105">
        <f t="shared" si="45"/>
        <v>314.47571185011719</v>
      </c>
      <c r="P110" s="105">
        <f t="shared" si="46"/>
        <v>3664.7339449541287</v>
      </c>
      <c r="Q110" s="105">
        <f t="shared" si="47"/>
        <v>28348.490322580645</v>
      </c>
      <c r="R110" s="102">
        <v>57816</v>
      </c>
      <c r="S110" s="4">
        <f t="shared" si="57"/>
        <v>21455.156250000004</v>
      </c>
      <c r="T110" s="67">
        <f t="shared" si="58"/>
        <v>120148.87500000001</v>
      </c>
      <c r="U110" s="16">
        <f t="shared" si="59"/>
        <v>4823.6416861826701</v>
      </c>
      <c r="V110" s="119">
        <f>(T110*3.6)/(AP$5*AL$5)</f>
        <v>27012.39344262295</v>
      </c>
      <c r="W110" s="29" t="s">
        <v>55</v>
      </c>
      <c r="X110" t="s">
        <v>382</v>
      </c>
      <c r="Y110">
        <v>3600</v>
      </c>
      <c r="Z110">
        <v>227</v>
      </c>
      <c r="AA110" s="6" t="s">
        <v>121</v>
      </c>
      <c r="AB110" s="4">
        <f>AP$11*V110/1000</f>
        <v>85.62928721311475</v>
      </c>
      <c r="AC110" s="32">
        <f t="shared" si="62"/>
        <v>5.4024786885245903E-2</v>
      </c>
      <c r="AD110" s="73">
        <f>(V110/1000)*AN$30/1000</f>
        <v>0.51593671475409841</v>
      </c>
      <c r="AE110" s="67">
        <f>V110*AL$5/3600</f>
        <v>320.39699999999999</v>
      </c>
      <c r="AF110" s="41"/>
      <c r="AG110" s="4">
        <f t="shared" si="60"/>
        <v>6012.4541284403685</v>
      </c>
      <c r="AH110" s="4">
        <f t="shared" si="61"/>
        <v>7214.9449541284412</v>
      </c>
      <c r="AI110" s="4">
        <f t="shared" si="54"/>
        <v>46509.241935483878</v>
      </c>
      <c r="AJ110" s="75"/>
    </row>
    <row r="111" spans="1:36">
      <c r="A111">
        <v>107</v>
      </c>
      <c r="B111" t="s">
        <v>383</v>
      </c>
      <c r="C111" s="5" t="s">
        <v>384</v>
      </c>
      <c r="D111">
        <v>293.60000000000002</v>
      </c>
      <c r="E111" s="50" t="s">
        <v>180</v>
      </c>
      <c r="F111" s="5">
        <v>156</v>
      </c>
      <c r="G111" s="4">
        <v>11</v>
      </c>
      <c r="H111" s="99">
        <v>21.7</v>
      </c>
      <c r="I111" s="4">
        <f t="shared" si="56"/>
        <v>14.181818181818182</v>
      </c>
      <c r="J111" s="104">
        <v>44.64</v>
      </c>
      <c r="K111" s="105">
        <f t="shared" si="44"/>
        <v>142848</v>
      </c>
      <c r="L111" s="106">
        <f t="shared" si="42"/>
        <v>29051.778829178733</v>
      </c>
      <c r="M111" s="105">
        <f t="shared" si="40"/>
        <v>91.280689081279576</v>
      </c>
      <c r="N111" s="105">
        <f t="shared" si="43"/>
        <v>58.103557658357467</v>
      </c>
      <c r="O111" s="105">
        <f t="shared" si="45"/>
        <v>1835.6366453216581</v>
      </c>
      <c r="P111" s="105">
        <f t="shared" si="46"/>
        <v>7148.3569641367803</v>
      </c>
      <c r="Q111" s="105">
        <f t="shared" si="47"/>
        <v>55295.999999999993</v>
      </c>
      <c r="R111" s="102">
        <v>48000</v>
      </c>
      <c r="S111" s="4">
        <f t="shared" si="57"/>
        <v>17133.173352587655</v>
      </c>
      <c r="T111" s="67">
        <f t="shared" si="58"/>
        <v>242979.54936397038</v>
      </c>
      <c r="U111" s="16">
        <f t="shared" si="59"/>
        <v>3484.4671460668351</v>
      </c>
      <c r="V111" s="18">
        <f>(T111*3.6)/(AL$7*AP$6)</f>
        <v>49416.079526038753</v>
      </c>
      <c r="W111" s="29" t="s">
        <v>250</v>
      </c>
      <c r="X111" t="s">
        <v>385</v>
      </c>
      <c r="Y111">
        <v>600</v>
      </c>
      <c r="Z111">
        <v>175.5</v>
      </c>
      <c r="AA111" s="6" t="s">
        <v>213</v>
      </c>
      <c r="AB111" s="4">
        <f>AP$13*V111/1000</f>
        <v>155.26532187081375</v>
      </c>
      <c r="AC111" s="32">
        <f t="shared" si="62"/>
        <v>9.8832159052077498E-2</v>
      </c>
      <c r="AD111" s="73">
        <f>(V111/1000)*AN$25/1000</f>
        <v>3.1223549848527585</v>
      </c>
      <c r="AE111" s="67">
        <f>V111*AL$7/3600</f>
        <v>571.7165867387539</v>
      </c>
      <c r="AF111" s="41"/>
      <c r="AG111" s="4">
        <f t="shared" si="60"/>
        <v>12159.110059915116</v>
      </c>
      <c r="AH111" s="4">
        <f t="shared" si="61"/>
        <v>14590.932071898138</v>
      </c>
      <c r="AI111" s="4">
        <f t="shared" si="54"/>
        <v>94056.599753794988</v>
      </c>
      <c r="AJ111" s="75"/>
    </row>
    <row r="112" spans="1:36">
      <c r="A112">
        <v>108</v>
      </c>
      <c r="B112" t="s">
        <v>386</v>
      </c>
      <c r="C112" s="5" t="s">
        <v>387</v>
      </c>
      <c r="D112">
        <v>293.8</v>
      </c>
      <c r="E112" s="50" t="s">
        <v>180</v>
      </c>
      <c r="F112" s="5">
        <v>212</v>
      </c>
      <c r="G112" s="4">
        <v>15.09</v>
      </c>
      <c r="H112" s="99">
        <v>23</v>
      </c>
      <c r="I112" s="4">
        <f t="shared" si="56"/>
        <v>14.049039098740888</v>
      </c>
      <c r="J112" s="104">
        <v>85</v>
      </c>
      <c r="K112" s="105">
        <f t="shared" si="44"/>
        <v>328666.66666666663</v>
      </c>
      <c r="L112" s="106">
        <f t="shared" si="42"/>
        <v>66842.737094837939</v>
      </c>
      <c r="M112" s="105">
        <f t="shared" si="40"/>
        <v>210.01987995198081</v>
      </c>
      <c r="N112" s="105">
        <f t="shared" si="43"/>
        <v>133.68547418967589</v>
      </c>
      <c r="O112" s="105">
        <f t="shared" si="45"/>
        <v>4242.5085234093631</v>
      </c>
      <c r="P112" s="105">
        <f t="shared" si="46"/>
        <v>16447.039199332779</v>
      </c>
      <c r="Q112" s="105">
        <f t="shared" si="47"/>
        <v>127225.80645161289</v>
      </c>
      <c r="R112" s="102">
        <v>58000</v>
      </c>
      <c r="S112" s="4">
        <f t="shared" si="57"/>
        <v>30200.880680529299</v>
      </c>
      <c r="T112" s="67">
        <f t="shared" si="58"/>
        <v>424293.35349716444</v>
      </c>
      <c r="U112" s="16">
        <f t="shared" si="59"/>
        <v>6142.1182374072732</v>
      </c>
      <c r="V112" s="18">
        <f>(T112*3.6)/(AL$7*AP$6)</f>
        <v>86290.859266424246</v>
      </c>
      <c r="W112" s="29" t="s">
        <v>73</v>
      </c>
      <c r="X112" t="s">
        <v>388</v>
      </c>
      <c r="Y112">
        <v>600</v>
      </c>
      <c r="Z112">
        <v>178</v>
      </c>
      <c r="AA112" s="6" t="s">
        <v>121</v>
      </c>
      <c r="AB112" s="4">
        <f>AP$13*V112/1000</f>
        <v>271.12587981510501</v>
      </c>
      <c r="AC112" s="32">
        <f t="shared" si="62"/>
        <v>0.17258171853284851</v>
      </c>
      <c r="AD112" s="73">
        <f>(V112/1000)*AN$26/1000</f>
        <v>5.4768808376399463</v>
      </c>
      <c r="AE112" s="67">
        <f>V112*AL$7/3600</f>
        <v>998.33730234626944</v>
      </c>
      <c r="AF112" s="41"/>
      <c r="AG112" s="4">
        <f t="shared" si="60"/>
        <v>21232.361309282627</v>
      </c>
      <c r="AH112" s="4">
        <f t="shared" si="61"/>
        <v>25478.833571139148</v>
      </c>
      <c r="AI112" s="4">
        <f t="shared" si="54"/>
        <v>164242.58845051526</v>
      </c>
      <c r="AJ112" s="75"/>
    </row>
    <row r="113" spans="1:36">
      <c r="A113">
        <v>109</v>
      </c>
      <c r="B113" t="s">
        <v>389</v>
      </c>
      <c r="C113" s="5" t="s">
        <v>390</v>
      </c>
      <c r="D113">
        <v>294</v>
      </c>
      <c r="E113" s="50" t="s">
        <v>180</v>
      </c>
      <c r="F113" s="5">
        <v>35</v>
      </c>
      <c r="G113" s="4">
        <v>10.06</v>
      </c>
      <c r="H113" s="99">
        <v>23</v>
      </c>
      <c r="I113" s="4">
        <f t="shared" si="56"/>
        <v>3.4791252485089461</v>
      </c>
      <c r="J113" s="104">
        <v>10</v>
      </c>
      <c r="K113" s="105">
        <f t="shared" si="44"/>
        <v>38442</v>
      </c>
      <c r="L113" s="106">
        <f t="shared" si="42"/>
        <v>7942.106169296987</v>
      </c>
      <c r="M113" s="105">
        <f t="shared" si="40"/>
        <v>24.731718611190818</v>
      </c>
      <c r="N113" s="105">
        <f t="shared" si="43"/>
        <v>15.884212338593974</v>
      </c>
      <c r="O113" s="105">
        <f t="shared" si="45"/>
        <v>504.08547856527974</v>
      </c>
      <c r="P113" s="105">
        <f t="shared" si="46"/>
        <v>1923.703085904921</v>
      </c>
      <c r="Q113" s="105">
        <f t="shared" si="47"/>
        <v>14880.774193548386</v>
      </c>
      <c r="R113" s="102">
        <v>57663</v>
      </c>
      <c r="S113" s="4">
        <f t="shared" si="57"/>
        <v>16707.462926427223</v>
      </c>
      <c r="T113" s="67">
        <f t="shared" si="58"/>
        <v>58127.356105860112</v>
      </c>
      <c r="U113" s="16">
        <f t="shared" si="59"/>
        <v>3451.7570464928549</v>
      </c>
      <c r="V113" s="18">
        <f>(T113*3.6)/(AL$8*AP$6)</f>
        <v>12009.09509217196</v>
      </c>
      <c r="W113" s="29" t="s">
        <v>105</v>
      </c>
      <c r="X113" t="s">
        <v>391</v>
      </c>
      <c r="Y113">
        <v>500</v>
      </c>
      <c r="Z113" s="26" t="s">
        <v>50</v>
      </c>
      <c r="AA113" s="27" t="s">
        <v>50</v>
      </c>
      <c r="AB113" s="4">
        <f>AP$14*V113/1000</f>
        <v>37.39632211702348</v>
      </c>
      <c r="AC113" s="32">
        <f t="shared" si="62"/>
        <v>2.4018190184343917E-2</v>
      </c>
      <c r="AD113" s="73">
        <f>(V113/1000)*AN$26/1000</f>
        <v>0.76221726550015423</v>
      </c>
      <c r="AE113" s="67">
        <f>V113*AL$8/3600</f>
        <v>136.77024966084733</v>
      </c>
      <c r="AF113" s="41"/>
      <c r="AG113" s="4">
        <f t="shared" si="60"/>
        <v>2908.7917984583878</v>
      </c>
      <c r="AH113" s="4">
        <f t="shared" si="61"/>
        <v>3490.5501581500653</v>
      </c>
      <c r="AI113" s="4">
        <f t="shared" si="54"/>
        <v>22500.912040978106</v>
      </c>
      <c r="AJ113" s="75"/>
    </row>
    <row r="114" spans="1:36">
      <c r="A114">
        <v>110</v>
      </c>
      <c r="B114" s="3" t="s">
        <v>392</v>
      </c>
      <c r="C114" s="5" t="s">
        <v>393</v>
      </c>
      <c r="D114">
        <v>294.14999999999998</v>
      </c>
      <c r="E114" s="50" t="s">
        <v>180</v>
      </c>
      <c r="F114" s="5">
        <v>78</v>
      </c>
      <c r="G114" s="4">
        <v>11.06</v>
      </c>
      <c r="H114" s="99">
        <v>25.6</v>
      </c>
      <c r="I114" s="4">
        <f t="shared" si="56"/>
        <v>7.0524412296564192</v>
      </c>
      <c r="J114" s="104">
        <v>15</v>
      </c>
      <c r="K114" s="105">
        <f t="shared" si="44"/>
        <v>72080</v>
      </c>
      <c r="L114" s="106">
        <f t="shared" si="42"/>
        <v>14891.707317073171</v>
      </c>
      <c r="M114" s="105">
        <f t="shared" si="40"/>
        <v>46.372776585365855</v>
      </c>
      <c r="N114" s="105">
        <f t="shared" si="43"/>
        <v>29.783414634146343</v>
      </c>
      <c r="O114" s="105">
        <f t="shared" si="45"/>
        <v>945.17666341463416</v>
      </c>
      <c r="P114" s="105">
        <f t="shared" si="46"/>
        <v>3607.0058381984991</v>
      </c>
      <c r="Q114" s="105">
        <f t="shared" si="47"/>
        <v>27901.935483870966</v>
      </c>
      <c r="R114" s="102">
        <v>72080</v>
      </c>
      <c r="S114" s="4">
        <f t="shared" si="57"/>
        <v>20528.607490234375</v>
      </c>
      <c r="T114" s="67">
        <f t="shared" si="58"/>
        <v>144776.7978515625</v>
      </c>
      <c r="U114" s="16">
        <f t="shared" si="59"/>
        <v>4241.204416920732</v>
      </c>
      <c r="V114" s="18">
        <f>(T114*3.6)/(AL$8*AP$6)</f>
        <v>29910.844893292684</v>
      </c>
      <c r="W114" s="29" t="s">
        <v>105</v>
      </c>
      <c r="X114" t="s">
        <v>394</v>
      </c>
      <c r="Y114" t="s">
        <v>301</v>
      </c>
      <c r="Z114">
        <v>174</v>
      </c>
      <c r="AA114" s="6" t="s">
        <v>54</v>
      </c>
      <c r="AB114" s="4">
        <f>AP$14*V114/1000</f>
        <v>93.142370997713414</v>
      </c>
      <c r="AC114" s="32">
        <f t="shared" si="62"/>
        <v>5.9821689786585364E-2</v>
      </c>
      <c r="AD114" s="73">
        <f>(V114/1000)*AN$26/1000</f>
        <v>1.8984413253772865</v>
      </c>
      <c r="AE114" s="67">
        <f>V114*AL$8/3600</f>
        <v>340.65128906249998</v>
      </c>
      <c r="AF114" s="41"/>
      <c r="AG114" s="4">
        <f t="shared" si="60"/>
        <v>7244.8772903200588</v>
      </c>
      <c r="AH114" s="4">
        <f t="shared" si="61"/>
        <v>8693.8527483840699</v>
      </c>
      <c r="AI114" s="4">
        <f t="shared" si="54"/>
        <v>56042.631426411288</v>
      </c>
      <c r="AJ114" s="75"/>
    </row>
    <row r="115" spans="1:36">
      <c r="A115">
        <v>111</v>
      </c>
      <c r="B115" t="s">
        <v>395</v>
      </c>
      <c r="C115" s="5" t="s">
        <v>396</v>
      </c>
      <c r="D115">
        <v>299.75</v>
      </c>
      <c r="E115" s="50" t="s">
        <v>180</v>
      </c>
      <c r="F115" s="5">
        <v>58</v>
      </c>
      <c r="G115" s="4">
        <v>10.7</v>
      </c>
      <c r="H115" s="99">
        <v>22.2</v>
      </c>
      <c r="I115" s="4">
        <f t="shared" si="56"/>
        <v>5.4205607476635516</v>
      </c>
      <c r="J115" s="104">
        <v>19</v>
      </c>
      <c r="K115" s="105">
        <f t="shared" si="44"/>
        <v>63840</v>
      </c>
      <c r="L115" s="106">
        <f t="shared" si="42"/>
        <v>12875.294117647061</v>
      </c>
      <c r="M115" s="105">
        <f t="shared" si="40"/>
        <v>40.454174117647057</v>
      </c>
      <c r="N115" s="105">
        <f t="shared" si="43"/>
        <v>25.750588235294124</v>
      </c>
      <c r="O115" s="105">
        <f t="shared" si="45"/>
        <v>813.52545882352956</v>
      </c>
      <c r="P115" s="105">
        <f t="shared" si="46"/>
        <v>3194.6622185154297</v>
      </c>
      <c r="Q115" s="105">
        <f t="shared" si="47"/>
        <v>24712.258064516129</v>
      </c>
      <c r="R115" s="102">
        <v>50400</v>
      </c>
      <c r="S115" s="4">
        <f t="shared" si="57"/>
        <v>16741.709276844413</v>
      </c>
      <c r="T115" s="67">
        <f t="shared" si="58"/>
        <v>90749.452154857572</v>
      </c>
      <c r="U115" s="16">
        <f t="shared" si="59"/>
        <v>3376.4791818845883</v>
      </c>
      <c r="V115" s="18">
        <f>(T115*3.6)/(AL$10*AP$6)</f>
        <v>18302.410518626741</v>
      </c>
      <c r="W115" s="29" t="s">
        <v>397</v>
      </c>
      <c r="X115" s="11" t="s">
        <v>398</v>
      </c>
      <c r="Y115" t="s">
        <v>301</v>
      </c>
      <c r="Z115">
        <v>176</v>
      </c>
      <c r="AA115" s="6" t="s">
        <v>54</v>
      </c>
      <c r="AB115" s="4">
        <f>AP$13*V115/1000</f>
        <v>57.506173849525211</v>
      </c>
      <c r="AC115" s="32">
        <f t="shared" si="62"/>
        <v>3.6604821037253481E-2</v>
      </c>
      <c r="AD115" s="73">
        <f>(V115/1000)*AN$25/1000</f>
        <v>1.1564378086194307</v>
      </c>
      <c r="AE115" s="67">
        <f>V115*AL$10/3600</f>
        <v>213.52812271731199</v>
      </c>
      <c r="AF115" s="41"/>
      <c r="AG115" s="4">
        <f t="shared" si="60"/>
        <v>4541.2569885666844</v>
      </c>
      <c r="AH115" s="4">
        <f t="shared" si="61"/>
        <v>5449.5083862800211</v>
      </c>
      <c r="AI115" s="4">
        <f t="shared" si="54"/>
        <v>35128.820188977123</v>
      </c>
      <c r="AJ115" s="75"/>
    </row>
    <row r="116" spans="1:36">
      <c r="A116">
        <v>112</v>
      </c>
      <c r="B116" t="s">
        <v>399</v>
      </c>
      <c r="C116" s="5" t="s">
        <v>400</v>
      </c>
      <c r="D116">
        <v>311.12</v>
      </c>
      <c r="E116" s="50" t="s">
        <v>180</v>
      </c>
      <c r="F116" s="5">
        <v>35</v>
      </c>
      <c r="G116" s="4">
        <v>13.02</v>
      </c>
      <c r="H116" s="99">
        <v>23</v>
      </c>
      <c r="I116" s="4">
        <f t="shared" si="56"/>
        <v>2.688172043010753</v>
      </c>
      <c r="J116" s="104">
        <v>9.8699999999999992</v>
      </c>
      <c r="K116" s="105">
        <f t="shared" si="44"/>
        <v>49707.95199999999</v>
      </c>
      <c r="L116" s="106">
        <f t="shared" si="42"/>
        <v>10109.377993079584</v>
      </c>
      <c r="M116" s="105">
        <f t="shared" si="40"/>
        <v>31.763665654256052</v>
      </c>
      <c r="N116" s="105">
        <f t="shared" si="43"/>
        <v>20.21875598615917</v>
      </c>
      <c r="O116" s="105">
        <f t="shared" si="45"/>
        <v>638.76104849273349</v>
      </c>
      <c r="P116" s="105">
        <f t="shared" si="46"/>
        <v>2487.4704920767299</v>
      </c>
      <c r="Q116" s="105">
        <f t="shared" si="47"/>
        <v>19241.787870967735</v>
      </c>
      <c r="R116" s="102">
        <v>75544</v>
      </c>
      <c r="S116" s="4">
        <f t="shared" si="57"/>
        <v>31630.835452854441</v>
      </c>
      <c r="T116" s="67">
        <f t="shared" si="58"/>
        <v>85029.127561436675</v>
      </c>
      <c r="U116" s="16">
        <f t="shared" si="59"/>
        <v>6432.9359582106354</v>
      </c>
      <c r="V116" s="18">
        <f>(T116*3.6)/(AL$7*AP$6)</f>
        <v>17292.838597340418</v>
      </c>
      <c r="W116" s="29" t="s">
        <v>250</v>
      </c>
      <c r="X116" s="10" t="s">
        <v>401</v>
      </c>
      <c r="Y116">
        <v>600</v>
      </c>
      <c r="Z116">
        <v>175</v>
      </c>
      <c r="AA116" s="6" t="s">
        <v>213</v>
      </c>
      <c r="AB116" s="4">
        <f>AP$13*V116/1000</f>
        <v>54.33409887284359</v>
      </c>
      <c r="AC116" s="32">
        <f t="shared" si="62"/>
        <v>3.4585677194680836E-2</v>
      </c>
      <c r="AD116" s="73">
        <f>(V116/1000)*AN$25/1000</f>
        <v>1.0926480067729543</v>
      </c>
      <c r="AE116" s="67">
        <f>V116*AL$7/3600</f>
        <v>200.06853543867453</v>
      </c>
      <c r="AF116" s="41"/>
      <c r="AG116" s="4">
        <f t="shared" si="60"/>
        <v>4255.0022132495424</v>
      </c>
      <c r="AH116" s="4">
        <f t="shared" si="61"/>
        <v>5106.0026558994505</v>
      </c>
      <c r="AI116" s="4">
        <f t="shared" si="54"/>
        <v>32914.500991523877</v>
      </c>
      <c r="AJ116" s="75"/>
    </row>
    <row r="117" spans="1:36">
      <c r="A117">
        <v>113</v>
      </c>
      <c r="B117" t="s">
        <v>402</v>
      </c>
      <c r="C117" s="5" t="s">
        <v>403</v>
      </c>
      <c r="D117">
        <v>315</v>
      </c>
      <c r="E117" s="50" t="s">
        <v>180</v>
      </c>
      <c r="F117" s="5">
        <v>35</v>
      </c>
      <c r="G117" s="4">
        <v>11.79</v>
      </c>
      <c r="H117" s="99">
        <v>24</v>
      </c>
      <c r="I117" s="4">
        <f t="shared" si="56"/>
        <v>2.9686174724342664</v>
      </c>
      <c r="J117" s="104">
        <v>9</v>
      </c>
      <c r="K117" s="105">
        <f t="shared" si="44"/>
        <v>40320</v>
      </c>
      <c r="L117" s="106">
        <f t="shared" si="42"/>
        <v>8330.1004304160688</v>
      </c>
      <c r="M117" s="105">
        <f t="shared" si="40"/>
        <v>25.939932740315637</v>
      </c>
      <c r="N117" s="105">
        <f t="shared" si="43"/>
        <v>16.660200860832138</v>
      </c>
      <c r="O117" s="105">
        <f t="shared" si="45"/>
        <v>528.71147431850784</v>
      </c>
      <c r="P117" s="105">
        <f t="shared" si="46"/>
        <v>2017.6814011676397</v>
      </c>
      <c r="Q117" s="105">
        <f t="shared" si="47"/>
        <v>15607.741935483869</v>
      </c>
      <c r="R117" s="102">
        <v>67200</v>
      </c>
      <c r="S117" s="4">
        <f t="shared" si="57"/>
        <v>22935.087</v>
      </c>
      <c r="T117" s="67">
        <f t="shared" si="58"/>
        <v>68085.5</v>
      </c>
      <c r="U117" s="16">
        <f t="shared" si="59"/>
        <v>4738.3823931133429</v>
      </c>
      <c r="V117" s="18">
        <f>(T117*3.6)/(AL$8*AP$6)</f>
        <v>14066.444763271162</v>
      </c>
      <c r="W117" s="29" t="s">
        <v>105</v>
      </c>
      <c r="X117" t="s">
        <v>404</v>
      </c>
      <c r="Y117" t="s">
        <v>301</v>
      </c>
      <c r="Z117">
        <v>174</v>
      </c>
      <c r="AA117" s="6" t="s">
        <v>54</v>
      </c>
      <c r="AB117" s="4">
        <f>AP$14*V117/1000</f>
        <v>43.802908992826396</v>
      </c>
      <c r="AC117" s="32">
        <f t="shared" si="62"/>
        <v>2.8132889526542325E-2</v>
      </c>
      <c r="AD117" s="73">
        <f>(V117/1000)*AN$26/1000</f>
        <v>0.89279724912482061</v>
      </c>
      <c r="AE117" s="67">
        <f>V117*AL$8/3600</f>
        <v>160.20117647058822</v>
      </c>
      <c r="AF117" s="41"/>
      <c r="AG117" s="4">
        <f t="shared" si="60"/>
        <v>3407.1142618849044</v>
      </c>
      <c r="AH117" s="4">
        <f t="shared" si="61"/>
        <v>4088.5371142618851</v>
      </c>
      <c r="AI117" s="4">
        <f t="shared" si="54"/>
        <v>26355.677419354837</v>
      </c>
      <c r="AJ117" s="75"/>
    </row>
    <row r="118" spans="1:36" ht="17">
      <c r="A118">
        <v>114</v>
      </c>
      <c r="B118" t="s">
        <v>405</v>
      </c>
      <c r="C118" s="25" t="s">
        <v>406</v>
      </c>
      <c r="D118" s="2">
        <v>315.7</v>
      </c>
      <c r="E118" s="50" t="s">
        <v>180</v>
      </c>
      <c r="F118" s="5">
        <v>78</v>
      </c>
      <c r="G118" s="4">
        <v>12.79</v>
      </c>
      <c r="H118" s="99">
        <v>22</v>
      </c>
      <c r="I118" s="4">
        <f t="shared" si="56"/>
        <v>6.0985144644253326</v>
      </c>
      <c r="J118" s="104">
        <v>22.29</v>
      </c>
      <c r="K118" s="105">
        <f t="shared" si="44"/>
        <v>71328</v>
      </c>
      <c r="L118" s="106">
        <f t="shared" si="42"/>
        <v>14506.365369677287</v>
      </c>
      <c r="M118" s="105">
        <f t="shared" si="40"/>
        <v>45.578999991526032</v>
      </c>
      <c r="N118" s="105">
        <f t="shared" si="43"/>
        <v>29.012730739354573</v>
      </c>
      <c r="O118" s="105">
        <f t="shared" si="45"/>
        <v>916.58469588305934</v>
      </c>
      <c r="P118" s="105">
        <f t="shared" si="46"/>
        <v>3569.3744787322771</v>
      </c>
      <c r="Q118" s="105">
        <f t="shared" si="47"/>
        <v>27610.83870967742</v>
      </c>
      <c r="R118" s="102">
        <v>48000</v>
      </c>
      <c r="S118" s="4">
        <f t="shared" si="57"/>
        <v>20896.111735537186</v>
      </c>
      <c r="T118" s="67">
        <f t="shared" si="58"/>
        <v>127435.23966942147</v>
      </c>
      <c r="U118" s="16">
        <f t="shared" si="59"/>
        <v>4249.7565001304365</v>
      </c>
      <c r="V118" s="18">
        <f>(T118*3.6)/(AL$7*AP$6)</f>
        <v>25917.201486331043</v>
      </c>
      <c r="W118" s="29" t="s">
        <v>250</v>
      </c>
      <c r="X118" t="s">
        <v>407</v>
      </c>
      <c r="Y118">
        <v>600</v>
      </c>
      <c r="Z118">
        <v>175.5</v>
      </c>
      <c r="AA118" s="6" t="s">
        <v>213</v>
      </c>
      <c r="AB118" s="4">
        <f>AP$13*V118/1000</f>
        <v>81.431847070052129</v>
      </c>
      <c r="AC118" s="32">
        <f t="shared" si="62"/>
        <v>5.1834402972662084E-2</v>
      </c>
      <c r="AD118" s="73">
        <f>(V118/1000)*AN$25/1000</f>
        <v>1.6375783759138269</v>
      </c>
      <c r="AE118" s="67">
        <f>V118*AL$7/3600</f>
        <v>299.84762275157999</v>
      </c>
      <c r="AF118" s="41"/>
      <c r="AG118" s="4">
        <f t="shared" si="60"/>
        <v>6377.0762136491148</v>
      </c>
      <c r="AH118" s="4">
        <f t="shared" si="61"/>
        <v>7652.4914563789371</v>
      </c>
      <c r="AI118" s="4">
        <f t="shared" si="54"/>
        <v>49329.770194614757</v>
      </c>
      <c r="AJ118" s="75"/>
    </row>
    <row r="119" spans="1:36">
      <c r="A119">
        <v>115</v>
      </c>
      <c r="B119" t="s">
        <v>408</v>
      </c>
      <c r="C119" s="5" t="s">
        <v>409</v>
      </c>
      <c r="D119">
        <v>315.83</v>
      </c>
      <c r="E119" s="50" t="s">
        <v>180</v>
      </c>
      <c r="F119" s="5">
        <v>343</v>
      </c>
      <c r="G119" s="4">
        <v>11.84</v>
      </c>
      <c r="H119" s="99">
        <v>21.6</v>
      </c>
      <c r="I119" s="4">
        <f t="shared" si="56"/>
        <v>28.969594594594597</v>
      </c>
      <c r="J119" s="104">
        <v>68.5</v>
      </c>
      <c r="K119" s="105">
        <f t="shared" si="44"/>
        <v>268520</v>
      </c>
      <c r="L119" s="106">
        <f t="shared" si="42"/>
        <v>54610.380622837387</v>
      </c>
      <c r="M119" s="105">
        <f t="shared" si="40"/>
        <v>171.58581591695503</v>
      </c>
      <c r="N119" s="105">
        <f t="shared" si="43"/>
        <v>109.22076124567478</v>
      </c>
      <c r="O119" s="105">
        <f t="shared" si="45"/>
        <v>3450.5568996539805</v>
      </c>
      <c r="P119" s="105">
        <f t="shared" si="46"/>
        <v>13437.197664720601</v>
      </c>
      <c r="Q119" s="105">
        <f t="shared" si="47"/>
        <v>103943.22580645161</v>
      </c>
      <c r="R119" s="102">
        <v>58800</v>
      </c>
      <c r="S119" s="4">
        <f t="shared" si="57"/>
        <v>23492.898765432092</v>
      </c>
      <c r="T119" s="67">
        <f t="shared" si="58"/>
        <v>680579.75308641954</v>
      </c>
      <c r="U119" s="16">
        <f t="shared" si="59"/>
        <v>4777.8792772010756</v>
      </c>
      <c r="V119" s="18">
        <f>(T119*3.6)/(AL$7*AP$6)</f>
        <v>138413.22568242982</v>
      </c>
      <c r="W119" s="29" t="s">
        <v>250</v>
      </c>
      <c r="X119" t="s">
        <v>410</v>
      </c>
      <c r="Y119">
        <v>600</v>
      </c>
      <c r="Z119">
        <v>175</v>
      </c>
      <c r="AA119" s="6" t="s">
        <v>213</v>
      </c>
      <c r="AB119" s="4">
        <f>AP$13*V119/1000</f>
        <v>434.89435509419445</v>
      </c>
      <c r="AC119" s="32">
        <f t="shared" si="62"/>
        <v>0.27682645136485962</v>
      </c>
      <c r="AD119" s="73">
        <f>(V119/1000)*AN$25/1000</f>
        <v>8.7456396647443277</v>
      </c>
      <c r="AE119" s="67">
        <f>V119*AL$7/3600</f>
        <v>1601.3641249092229</v>
      </c>
      <c r="AF119" s="41"/>
      <c r="AG119" s="4">
        <f t="shared" si="60"/>
        <v>34057.368794983464</v>
      </c>
      <c r="AH119" s="4">
        <f t="shared" si="61"/>
        <v>40868.842553980154</v>
      </c>
      <c r="AI119" s="4">
        <f t="shared" si="54"/>
        <v>263450.22700119467</v>
      </c>
      <c r="AJ119" s="75"/>
    </row>
    <row r="120" spans="1:36">
      <c r="A120">
        <v>116</v>
      </c>
      <c r="B120" t="s">
        <v>411</v>
      </c>
      <c r="C120" s="5" t="s">
        <v>412</v>
      </c>
      <c r="D120">
        <v>319</v>
      </c>
      <c r="E120" s="50" t="s">
        <v>180</v>
      </c>
      <c r="F120" s="5">
        <v>35</v>
      </c>
      <c r="G120" s="4">
        <v>11.32</v>
      </c>
      <c r="H120" s="99">
        <v>21</v>
      </c>
      <c r="I120" s="4">
        <f t="shared" si="56"/>
        <v>3.0918727915194344</v>
      </c>
      <c r="J120" s="104">
        <v>9</v>
      </c>
      <c r="K120" s="105">
        <f t="shared" si="44"/>
        <v>40320</v>
      </c>
      <c r="L120" s="106">
        <f t="shared" si="42"/>
        <v>8330.1004304160688</v>
      </c>
      <c r="M120" s="105">
        <f t="shared" si="40"/>
        <v>25.939932740315633</v>
      </c>
      <c r="N120" s="105">
        <f t="shared" si="43"/>
        <v>16.660200860832138</v>
      </c>
      <c r="O120" s="105">
        <f t="shared" si="45"/>
        <v>526.33739569583929</v>
      </c>
      <c r="P120" s="105">
        <f t="shared" si="46"/>
        <v>2017.6814011676397</v>
      </c>
      <c r="Q120" s="105">
        <f t="shared" si="47"/>
        <v>15607.741935483869</v>
      </c>
      <c r="R120" s="102">
        <v>67200</v>
      </c>
      <c r="S120" s="4">
        <f t="shared" si="57"/>
        <v>26205.476571428575</v>
      </c>
      <c r="T120" s="67">
        <f t="shared" si="58"/>
        <v>81024</v>
      </c>
      <c r="U120" s="16">
        <f t="shared" si="59"/>
        <v>5414.0439401516705</v>
      </c>
      <c r="V120" s="18">
        <f>(T120*3.6)/(AL$8*AP$6)</f>
        <v>16739.535150645625</v>
      </c>
      <c r="W120" s="29" t="s">
        <v>105</v>
      </c>
      <c r="X120" t="s">
        <v>413</v>
      </c>
      <c r="Y120" t="s">
        <v>301</v>
      </c>
      <c r="Z120">
        <v>174</v>
      </c>
      <c r="AA120" s="6" t="s">
        <v>54</v>
      </c>
      <c r="AB120" s="4">
        <f>AP$14*V120/1000</f>
        <v>52.126912459110471</v>
      </c>
      <c r="AC120" s="32">
        <f t="shared" si="62"/>
        <v>3.3479070301291249E-2</v>
      </c>
      <c r="AD120" s="73">
        <f>(V120/1000)*AN$25/1000</f>
        <v>1.0576875284935439</v>
      </c>
      <c r="AE120" s="67">
        <f>V120*AL$8/3600</f>
        <v>190.64470588235295</v>
      </c>
      <c r="AF120" s="41"/>
      <c r="AG120" s="4">
        <f t="shared" si="60"/>
        <v>4054.5788156797335</v>
      </c>
      <c r="AH120" s="4">
        <f t="shared" si="61"/>
        <v>4865.4945788156801</v>
      </c>
      <c r="AI120" s="4">
        <f t="shared" si="54"/>
        <v>31364.129032258064</v>
      </c>
      <c r="AJ120" s="75"/>
    </row>
    <row r="121" spans="1:36">
      <c r="A121">
        <v>117</v>
      </c>
      <c r="B121" t="s">
        <v>414</v>
      </c>
      <c r="C121" s="5" t="s">
        <v>415</v>
      </c>
      <c r="D121">
        <v>325.64999999999998</v>
      </c>
      <c r="E121" s="50" t="s">
        <v>180</v>
      </c>
      <c r="F121" s="5">
        <v>39</v>
      </c>
      <c r="G121" s="4">
        <v>12.71</v>
      </c>
      <c r="H121" s="99">
        <v>21</v>
      </c>
      <c r="I121" s="4">
        <f t="shared" si="56"/>
        <v>3.068450039339103</v>
      </c>
      <c r="J121" s="104">
        <v>7.5</v>
      </c>
      <c r="K121" s="105">
        <f t="shared" si="44"/>
        <v>33600</v>
      </c>
      <c r="L121" s="106">
        <f t="shared" si="42"/>
        <v>6941.7503586800567</v>
      </c>
      <c r="M121" s="105">
        <f t="shared" si="40"/>
        <v>21.616610616929698</v>
      </c>
      <c r="N121" s="105">
        <f t="shared" si="43"/>
        <v>13.883500717360114</v>
      </c>
      <c r="O121" s="105">
        <f t="shared" si="45"/>
        <v>440.59289526542329</v>
      </c>
      <c r="P121" s="105">
        <f t="shared" si="46"/>
        <v>1681.4011676396999</v>
      </c>
      <c r="Q121" s="105">
        <f t="shared" si="47"/>
        <v>13006.451612903225</v>
      </c>
      <c r="R121" s="102">
        <v>67200</v>
      </c>
      <c r="S121" s="4">
        <f t="shared" si="57"/>
        <v>31038.546285714288</v>
      </c>
      <c r="T121" s="67">
        <f t="shared" si="58"/>
        <v>95240.228571428583</v>
      </c>
      <c r="U121" s="16">
        <f t="shared" si="59"/>
        <v>6412.5547563025211</v>
      </c>
      <c r="V121" s="18">
        <f>(T121*3.6)/(AL$8*AP$6)</f>
        <v>19676.603894240623</v>
      </c>
      <c r="W121" s="29" t="s">
        <v>105</v>
      </c>
      <c r="X121" t="s">
        <v>416</v>
      </c>
      <c r="Y121" t="s">
        <v>301</v>
      </c>
      <c r="Z121">
        <v>174</v>
      </c>
      <c r="AA121" s="6" t="s">
        <v>54</v>
      </c>
      <c r="AB121" s="4">
        <f>AP$14*V121/1000</f>
        <v>61.272944526665299</v>
      </c>
      <c r="AC121" s="32">
        <f t="shared" si="62"/>
        <v>3.9353207788481247E-2</v>
      </c>
      <c r="AD121" s="73">
        <f>(V121/1000)*AN$26/1000</f>
        <v>1.2488740491674526</v>
      </c>
      <c r="AE121" s="67">
        <f>V121*AL$8/3600</f>
        <v>224.09465546218487</v>
      </c>
      <c r="AF121" s="41"/>
      <c r="AG121" s="4">
        <f t="shared" si="60"/>
        <v>4765.9830811390448</v>
      </c>
      <c r="AH121" s="4">
        <f t="shared" si="61"/>
        <v>5719.1796973668534</v>
      </c>
      <c r="AI121" s="4">
        <f t="shared" si="54"/>
        <v>36867.18525345622</v>
      </c>
      <c r="AJ121" s="75"/>
    </row>
    <row r="122" spans="1:36">
      <c r="A122" s="8">
        <v>118</v>
      </c>
      <c r="B122" s="8" t="s">
        <v>417</v>
      </c>
      <c r="C122" s="7" t="s">
        <v>418</v>
      </c>
      <c r="D122" s="8">
        <v>333.33</v>
      </c>
      <c r="E122" s="83" t="s">
        <v>180</v>
      </c>
      <c r="F122" s="7">
        <v>78</v>
      </c>
      <c r="G122" s="22">
        <v>11.97</v>
      </c>
      <c r="H122" s="100">
        <v>23.7</v>
      </c>
      <c r="I122" s="22">
        <f t="shared" si="56"/>
        <v>6.5162907268170427</v>
      </c>
      <c r="J122" s="111">
        <v>16.57</v>
      </c>
      <c r="K122" s="112">
        <f t="shared" si="44"/>
        <v>78873.2</v>
      </c>
      <c r="L122" s="113">
        <f t="shared" si="42"/>
        <v>16040.873949579833</v>
      </c>
      <c r="M122" s="112">
        <f t="shared" si="40"/>
        <v>50.400425949579834</v>
      </c>
      <c r="N122" s="112">
        <f t="shared" si="43"/>
        <v>32.081747899159666</v>
      </c>
      <c r="O122" s="112">
        <f t="shared" si="45"/>
        <v>1013.5426205042018</v>
      </c>
      <c r="P122" s="112">
        <f t="shared" si="46"/>
        <v>3946.9491242702256</v>
      </c>
      <c r="Q122" s="112">
        <f t="shared" si="47"/>
        <v>30531.561290322581</v>
      </c>
      <c r="R122" s="103">
        <v>71400</v>
      </c>
      <c r="S122" s="22">
        <f t="shared" si="57"/>
        <v>25352.61727287294</v>
      </c>
      <c r="T122" s="84">
        <f t="shared" si="58"/>
        <v>165205.02483576353</v>
      </c>
      <c r="U122" s="85">
        <f t="shared" si="59"/>
        <v>5156.100398691764</v>
      </c>
      <c r="V122" s="86">
        <f>(T122*3.6)/(AL$7*AP$6)</f>
        <v>33598.649214532801</v>
      </c>
      <c r="W122" s="87" t="s">
        <v>250</v>
      </c>
      <c r="X122" s="8" t="s">
        <v>419</v>
      </c>
      <c r="Y122" s="8">
        <v>600</v>
      </c>
      <c r="Z122" s="8">
        <v>175</v>
      </c>
      <c r="AA122" s="9" t="s">
        <v>213</v>
      </c>
      <c r="AB122" s="22">
        <f>AP$13*V122/1000</f>
        <v>105.56695583206205</v>
      </c>
      <c r="AC122" s="88">
        <f t="shared" si="62"/>
        <v>6.7197298429065591E-2</v>
      </c>
      <c r="AD122" s="89">
        <f>(V122/1000)*AN$25/1000</f>
        <v>2.1229306506202552</v>
      </c>
      <c r="AE122" s="114">
        <f>V122*AL$7/3600</f>
        <v>388.71770549591417</v>
      </c>
      <c r="AF122" s="41"/>
      <c r="AG122" s="4">
        <f t="shared" si="60"/>
        <v>8267.1405255594764</v>
      </c>
      <c r="AH122" s="4">
        <f t="shared" si="61"/>
        <v>9920.5686306713706</v>
      </c>
      <c r="AI122" s="4">
        <f t="shared" si="54"/>
        <v>63950.332194489099</v>
      </c>
      <c r="AJ122" s="75"/>
    </row>
    <row r="123" spans="1:36" ht="29" customHeight="1">
      <c r="A123" s="5"/>
      <c r="C123" s="17" t="s">
        <v>420</v>
      </c>
      <c r="D123" s="66" t="s">
        <v>50</v>
      </c>
      <c r="E123" s="66" t="s">
        <v>50</v>
      </c>
      <c r="F123" s="5">
        <f>SUM(F5:F122)</f>
        <v>58187.9</v>
      </c>
      <c r="G123" s="66" t="s">
        <v>50</v>
      </c>
      <c r="H123" s="66" t="s">
        <v>50</v>
      </c>
      <c r="I123" s="4">
        <f>SUM(I5:I122)</f>
        <v>4877.074417431013</v>
      </c>
      <c r="J123" s="36">
        <f>SUM(J42:J122)</f>
        <v>1861.93</v>
      </c>
      <c r="K123" s="4">
        <f>SUM(K41:K122)</f>
        <v>5101923.3279999997</v>
      </c>
      <c r="L123" s="4">
        <f t="shared" ref="L123:Q123" si="67">SUM(L41:L122)</f>
        <v>1041599.6349864581</v>
      </c>
      <c r="M123" s="4">
        <f t="shared" si="67"/>
        <v>3238.1595622754739</v>
      </c>
      <c r="N123" s="4">
        <f t="shared" si="67"/>
        <v>2083.1992699729162</v>
      </c>
      <c r="O123" s="4">
        <f t="shared" si="67"/>
        <v>65529.70282862382</v>
      </c>
      <c r="P123" s="4">
        <f t="shared" si="67"/>
        <v>255308.92383653045</v>
      </c>
      <c r="Q123" s="93">
        <f t="shared" si="67"/>
        <v>1974938.0624516127</v>
      </c>
      <c r="R123" s="66" t="s">
        <v>50</v>
      </c>
      <c r="S123" s="66" t="s">
        <v>50</v>
      </c>
      <c r="T123" s="116">
        <f>SUM(T5:T122)</f>
        <v>15192858.774980891</v>
      </c>
      <c r="U123" s="66" t="s">
        <v>50</v>
      </c>
      <c r="V123" s="18">
        <f>SUM(V5:V122)</f>
        <v>3100257.827724128</v>
      </c>
      <c r="W123" s="91" t="s">
        <v>50</v>
      </c>
      <c r="X123" s="66" t="s">
        <v>50</v>
      </c>
      <c r="Y123" s="66" t="s">
        <v>50</v>
      </c>
      <c r="Z123" s="66" t="s">
        <v>50</v>
      </c>
      <c r="AA123" s="91" t="s">
        <v>50</v>
      </c>
      <c r="AB123" s="4">
        <f>SUM(AB5:AB122)</f>
        <v>9590.5442181182989</v>
      </c>
      <c r="AC123" s="32">
        <f>SUM(AC5:AC122)</f>
        <v>5.7960917573712267</v>
      </c>
      <c r="AD123" s="73">
        <f>SUM(AD5:AD122)</f>
        <v>205.10339840993606</v>
      </c>
      <c r="AE123" s="67">
        <f>SUM(AE5:AE122)</f>
        <v>36019.547392292909</v>
      </c>
      <c r="AF123" s="14"/>
      <c r="AG123" s="20">
        <f>SUM(AG5:AG122)</f>
        <v>760276.50250112871</v>
      </c>
      <c r="AH123" s="20">
        <f>SUM(AH5:AH122)</f>
        <v>912331.80300135445</v>
      </c>
      <c r="AI123" s="20">
        <f>SUM(AI5:AI122)</f>
        <v>5881106.6225732462</v>
      </c>
      <c r="AJ123" s="76"/>
    </row>
    <row r="124" spans="1:36">
      <c r="C124" s="5" t="s">
        <v>421</v>
      </c>
      <c r="D124" s="66" t="s">
        <v>50</v>
      </c>
      <c r="E124" t="s">
        <v>422</v>
      </c>
      <c r="F124" s="5">
        <v>7000</v>
      </c>
      <c r="G124" s="4">
        <v>8.1</v>
      </c>
      <c r="H124" s="4">
        <v>12.1</v>
      </c>
      <c r="I124" s="4">
        <f>F124/G124</f>
        <v>864.19753086419757</v>
      </c>
      <c r="J124" s="69" t="s">
        <v>50</v>
      </c>
      <c r="K124" s="66" t="s">
        <v>50</v>
      </c>
      <c r="L124" s="66" t="s">
        <v>50</v>
      </c>
      <c r="M124" s="66" t="s">
        <v>50</v>
      </c>
      <c r="N124" s="66" t="s">
        <v>50</v>
      </c>
      <c r="O124" s="66" t="s">
        <v>50</v>
      </c>
      <c r="P124" s="66" t="s">
        <v>50</v>
      </c>
      <c r="Q124" s="94" t="s">
        <v>50</v>
      </c>
      <c r="R124">
        <v>169.7</v>
      </c>
      <c r="S124" s="4">
        <f>((0.6*(G124/H124)*(G124/H124))+(0.4*(G124/H124)))*R124</f>
        <v>91.068431118093017</v>
      </c>
      <c r="T124" s="117">
        <f>(F124/G124)*S124</f>
        <v>78701.113311932248</v>
      </c>
      <c r="U124" s="18">
        <f t="shared" ref="U124" si="68">V124/I124</f>
        <v>18.236481825900981</v>
      </c>
      <c r="V124" s="4">
        <f>(T124*3.6)/(AL$6*AP$6)</f>
        <v>15759.922565593441</v>
      </c>
      <c r="W124" s="29" t="s">
        <v>64</v>
      </c>
      <c r="X124" t="s">
        <v>423</v>
      </c>
      <c r="Y124" t="s">
        <v>423</v>
      </c>
      <c r="Z124" t="s">
        <v>423</v>
      </c>
      <c r="AA124" s="6" t="s">
        <v>423</v>
      </c>
      <c r="AB124" s="4">
        <f>AP$11*V124/1000</f>
        <v>49.958954532931202</v>
      </c>
      <c r="AC124" s="32">
        <f>(V124/1000)*AL$15/1000</f>
        <v>3.1519845131186879E-2</v>
      </c>
      <c r="AD124" s="73">
        <f>(V124/1000)*AN24/1000</f>
        <v>0.99129912937582731</v>
      </c>
      <c r="AE124" s="67">
        <f>V124*AL$6/3600</f>
        <v>185.17909014572294</v>
      </c>
      <c r="AF124" s="39"/>
      <c r="AG124" s="4">
        <f>(3.6*T124)/(0.6*AL$9)</f>
        <v>3938.3376136079523</v>
      </c>
      <c r="AH124" s="4">
        <f>(3.6*T124)/(0.5*AL$9)</f>
        <v>4726.0051363295424</v>
      </c>
      <c r="AI124" s="4">
        <f>(3.6*T124)/(0.5*AL$12)</f>
        <v>30464.947088489898</v>
      </c>
      <c r="AJ124" s="77"/>
    </row>
    <row r="125" spans="1:36">
      <c r="A125" s="8"/>
      <c r="B125" s="8"/>
      <c r="C125" s="21" t="s">
        <v>424</v>
      </c>
      <c r="D125" s="82" t="s">
        <v>50</v>
      </c>
      <c r="E125" s="82" t="s">
        <v>50</v>
      </c>
      <c r="F125" s="21">
        <f>F123+F124</f>
        <v>65187.9</v>
      </c>
      <c r="G125" s="82" t="s">
        <v>50</v>
      </c>
      <c r="H125" s="82" t="s">
        <v>50</v>
      </c>
      <c r="I125" s="23">
        <f>I123+I124</f>
        <v>5741.2719482952107</v>
      </c>
      <c r="J125" s="71">
        <f>J123</f>
        <v>1861.93</v>
      </c>
      <c r="K125" s="23">
        <f>K123</f>
        <v>5101923.3279999997</v>
      </c>
      <c r="L125" s="23">
        <f t="shared" ref="L125:Q125" si="69">L123</f>
        <v>1041599.6349864581</v>
      </c>
      <c r="M125" s="23">
        <f t="shared" si="69"/>
        <v>3238.1595622754739</v>
      </c>
      <c r="N125" s="23">
        <f t="shared" si="69"/>
        <v>2083.1992699729162</v>
      </c>
      <c r="O125" s="23">
        <f t="shared" si="69"/>
        <v>65529.70282862382</v>
      </c>
      <c r="P125" s="23">
        <f t="shared" si="69"/>
        <v>255308.92383653045</v>
      </c>
      <c r="Q125" s="80">
        <f t="shared" si="69"/>
        <v>1974938.0624516127</v>
      </c>
      <c r="R125" s="82" t="s">
        <v>50</v>
      </c>
      <c r="S125" s="82" t="s">
        <v>50</v>
      </c>
      <c r="T125" s="115">
        <f>T123+T124</f>
        <v>15271559.888292823</v>
      </c>
      <c r="U125" s="82" t="s">
        <v>50</v>
      </c>
      <c r="V125" s="24">
        <f>V123+V124</f>
        <v>3116017.7502897214</v>
      </c>
      <c r="W125" s="92" t="s">
        <v>50</v>
      </c>
      <c r="X125" s="82" t="s">
        <v>50</v>
      </c>
      <c r="Y125" s="82" t="s">
        <v>50</v>
      </c>
      <c r="Z125" s="82" t="s">
        <v>50</v>
      </c>
      <c r="AA125" s="92" t="s">
        <v>50</v>
      </c>
      <c r="AB125" s="23">
        <f>AB124+AB123</f>
        <v>9640.5031726512298</v>
      </c>
      <c r="AC125" s="33">
        <f>AC123+AC124</f>
        <v>5.8276116025024134</v>
      </c>
      <c r="AD125" s="74">
        <f>AD123+AD124</f>
        <v>206.09469753931188</v>
      </c>
      <c r="AE125" s="115">
        <f>AE123+AE124</f>
        <v>36204.726482438629</v>
      </c>
      <c r="AF125" s="7"/>
      <c r="AG125" s="23">
        <f>AG124+AG123</f>
        <v>764214.8401147367</v>
      </c>
      <c r="AH125" s="23">
        <f>AH124+AH123</f>
        <v>917057.80813768401</v>
      </c>
      <c r="AI125" s="23">
        <f>AI124+AI123</f>
        <v>5911571.5696617365</v>
      </c>
      <c r="AJ125" s="78"/>
    </row>
    <row r="127" spans="1:36">
      <c r="AF127" s="121" t="s">
        <v>425</v>
      </c>
      <c r="AG127" s="121"/>
      <c r="AH127" s="121"/>
      <c r="AI127" s="121"/>
    </row>
    <row r="128" spans="1:36">
      <c r="M128" s="120"/>
      <c r="N128" s="120"/>
      <c r="O128" s="120"/>
      <c r="AF128" s="8" t="s">
        <v>39</v>
      </c>
      <c r="AG128" s="8" t="s">
        <v>40</v>
      </c>
      <c r="AH128" s="8" t="s">
        <v>41</v>
      </c>
      <c r="AI128" s="8" t="s">
        <v>42</v>
      </c>
    </row>
    <row r="129" spans="3:35">
      <c r="AF129" s="37"/>
      <c r="AG129" s="4">
        <f>(AG5+AG6+AG10+AG18+AG32+AG35+AG38+AG87+AG88+AG89+AG90)</f>
        <v>189967.55146741527</v>
      </c>
      <c r="AH129" s="4">
        <f>AH5+AH6+AH10+AH18+AH32+AH35+AH38+AH87+AH88+AH89+AH90</f>
        <v>227961.0617608983</v>
      </c>
      <c r="AI129" s="4">
        <f>AI5+AI6+AI10+AI18+AI32+AI35+AI38+AI87+AI88+AI89+AI90</f>
        <v>1469490.930383425</v>
      </c>
    </row>
    <row r="130" spans="3:35"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42"/>
      <c r="AG130" s="4">
        <f>(AG7+AG14+AG16+AG21+AG33+AG41+AG45+AG47+AG48+AG49+AG50+AG51+AG52+AG53+AG54+AG57+AG58+AG59+AG62+AG63+AG64+AG65+AG67+AG69+AG70+AG73+AG77+AG80)</f>
        <v>98189.578836999688</v>
      </c>
      <c r="AH130" s="4">
        <f>AH7+AH14+AH16+AH21+AH33+AH41+AH45+AH47+AH48+AH49+AH50+AH51+AH52+AH53+AH54+AH57+AH58+AH59+AH62+AH63+AH64+AH65+AH67+AH69+AH70+AH73+AH77+AH80</f>
        <v>117827.4946043996</v>
      </c>
      <c r="AI130" s="4">
        <f>AI7+AI14+AI16+AI21+AI33+AI41+AI45+AI47+AI48+AI49+AI50+AI51+AI52+AI53+AI54+AI57+AI58+AI59+AI62+AI63+AI64+AI65+AI67+AI69+AI70+AI73+AI77+AI80</f>
        <v>759543.90339072642</v>
      </c>
    </row>
    <row r="131" spans="3:35">
      <c r="V131" s="18"/>
      <c r="W131" s="18"/>
      <c r="X131" s="18"/>
      <c r="Y131" s="18"/>
      <c r="Z131" s="18"/>
      <c r="AA131" s="18"/>
      <c r="AB131" s="18"/>
      <c r="AC131" s="18"/>
      <c r="AD131" s="18"/>
      <c r="AF131" s="39"/>
      <c r="AG131" s="4">
        <f>AG125-(AG129+AG130+AG132+AG133)</f>
        <v>55421.642521596747</v>
      </c>
      <c r="AH131" s="4">
        <f>AH125-(AH129+AH130+AH132+AH133)</f>
        <v>66505.971025916049</v>
      </c>
      <c r="AI131" s="4">
        <f>AI125-(AI129+AI130+AI132+AI133)</f>
        <v>428713.22182835266</v>
      </c>
    </row>
    <row r="132" spans="3:35">
      <c r="AF132" s="40"/>
      <c r="AG132" s="4">
        <f>(AG99+AG98+AG97+AG92+AG91+AG86+AG85+AG46+AG39+AG37+AG36+AG34+AG31+AG29+AG28+AG27+AG26+AG25+AG24+AG20+AG19+AG15+AG9+AG8)</f>
        <v>81981.710925154781</v>
      </c>
      <c r="AH132" s="4">
        <f>AH99+AH98+AH97+AH92+AH91+AH86+AH85+AH46+AH39+AH37+AH36+AH34+AH31+AH29+AH28+AH27+AH26+AH25+AH24+AH20+AH19+AH15+AH9+AH8</f>
        <v>98378.053110185749</v>
      </c>
      <c r="AI132" s="4">
        <f>AI99+AI98+AI97+AI92+AI91+AI86+AI85+AI46+AI39+AI37+AI36+AI34+AI31+AI29+AI28+AI27+AI26+AI25+AI24+AI20+AI19+AI15+AI9+AI8</f>
        <v>634168.20257587475</v>
      </c>
    </row>
    <row r="133" spans="3:35">
      <c r="U133" s="72"/>
      <c r="AF133" s="41"/>
      <c r="AG133" s="81">
        <f>(SUM(AG100:AG122)+AG96+AG95+AG94+AG40+AG23+AG22+AG11)</f>
        <v>338654.35636357026</v>
      </c>
      <c r="AH133" s="22">
        <f>SUM(AH100:AH122)+AH96+AH95+AH94+AH40+AH23+AH22+AH11</f>
        <v>406385.22763628431</v>
      </c>
      <c r="AI133" s="22">
        <f>SUM(AI100:AI122)+AI96+AI95+AI94+AI40+AI23+AI22+AI11</f>
        <v>2619655.3114833585</v>
      </c>
    </row>
    <row r="134" spans="3:35">
      <c r="AF134" s="95" t="s">
        <v>449</v>
      </c>
      <c r="AG134" s="63">
        <f>SUM(AG129:AG133)</f>
        <v>764214.8401147367</v>
      </c>
      <c r="AH134" s="63">
        <f>SUM(AH129:AH133)</f>
        <v>917057.80813768401</v>
      </c>
      <c r="AI134" s="63">
        <f>SUM(AI129:AI133)</f>
        <v>5911571.5696617365</v>
      </c>
    </row>
    <row r="135" spans="3:35">
      <c r="C135" s="125" t="s">
        <v>426</v>
      </c>
      <c r="D135" s="126"/>
      <c r="E135" s="126"/>
      <c r="F135" s="127"/>
      <c r="G135" s="95"/>
    </row>
    <row r="136" spans="3:35">
      <c r="C136" s="7" t="s">
        <v>11</v>
      </c>
      <c r="D136" s="8" t="s">
        <v>427</v>
      </c>
      <c r="E136" s="8" t="s">
        <v>428</v>
      </c>
      <c r="F136" s="9" t="s">
        <v>429</v>
      </c>
    </row>
    <row r="137" spans="3:35">
      <c r="C137" s="5" t="s">
        <v>430</v>
      </c>
      <c r="D137">
        <v>37</v>
      </c>
      <c r="E137">
        <v>736</v>
      </c>
      <c r="F137" s="79">
        <v>8.1</v>
      </c>
      <c r="AF137" s="121" t="s">
        <v>431</v>
      </c>
      <c r="AG137" s="121"/>
      <c r="AH137" s="121"/>
      <c r="AI137" s="121"/>
    </row>
    <row r="138" spans="3:35">
      <c r="C138" s="5" t="s">
        <v>432</v>
      </c>
      <c r="D138">
        <v>10</v>
      </c>
      <c r="E138">
        <v>60</v>
      </c>
      <c r="F138" s="79">
        <v>8.1</v>
      </c>
      <c r="AF138" s="8" t="s">
        <v>433</v>
      </c>
      <c r="AG138" s="8" t="s">
        <v>40</v>
      </c>
      <c r="AH138" s="8" t="s">
        <v>41</v>
      </c>
      <c r="AI138" s="8" t="s">
        <v>42</v>
      </c>
    </row>
    <row r="139" spans="3:35">
      <c r="C139" s="5" t="s">
        <v>434</v>
      </c>
      <c r="D139">
        <v>10</v>
      </c>
      <c r="E139">
        <v>60</v>
      </c>
      <c r="F139" s="79">
        <v>8.1</v>
      </c>
      <c r="AF139" s="64" t="s">
        <v>435</v>
      </c>
      <c r="AG139" s="4">
        <f>AG6+AG10+AG18</f>
        <v>24005.702049775111</v>
      </c>
      <c r="AH139" s="4">
        <f>AH6+AH10+AH18</f>
        <v>28806.842459730135</v>
      </c>
      <c r="AI139" s="4">
        <f>AI6+AI10+AI18</f>
        <v>185695.72101729264</v>
      </c>
    </row>
    <row r="140" spans="3:35">
      <c r="C140" s="5" t="s">
        <v>436</v>
      </c>
      <c r="D140">
        <v>8</v>
      </c>
      <c r="E140">
        <v>441</v>
      </c>
      <c r="F140" s="79">
        <v>8.1</v>
      </c>
      <c r="AF140" s="37" t="s">
        <v>437</v>
      </c>
      <c r="AG140" s="4">
        <f>AG5+AG6+AG32+AG35+AG38</f>
        <v>174628.76123599405</v>
      </c>
      <c r="AH140" s="4">
        <f>AH5+AH6+AH32+AH35+AH38</f>
        <v>209554.51348319283</v>
      </c>
      <c r="AI140" s="4">
        <f>AI5+AI6+AI32+AI35+AI38</f>
        <v>1350837.9659481086</v>
      </c>
    </row>
    <row r="141" spans="3:35">
      <c r="C141" s="5" t="s">
        <v>438</v>
      </c>
      <c r="D141">
        <v>10</v>
      </c>
      <c r="E141">
        <v>261</v>
      </c>
      <c r="F141" s="79">
        <v>8.1</v>
      </c>
      <c r="AF141" s="42" t="s">
        <v>437</v>
      </c>
      <c r="AG141" s="4">
        <f>AG14+AG16+AG21+AG33</f>
        <v>545.97668847637453</v>
      </c>
      <c r="AH141" s="4">
        <f>AH14+AH16+AH21+AH33</f>
        <v>655.17202617164935</v>
      </c>
      <c r="AI141" s="4">
        <f>AI14+AI16+AI21+AI33</f>
        <v>4223.3938676333746</v>
      </c>
    </row>
    <row r="142" spans="3:35">
      <c r="C142" s="5" t="s">
        <v>439</v>
      </c>
      <c r="D142">
        <v>10</v>
      </c>
      <c r="E142">
        <v>20</v>
      </c>
      <c r="F142" s="79">
        <v>8.1</v>
      </c>
      <c r="AF142" s="42" t="s">
        <v>440</v>
      </c>
      <c r="AG142" s="4">
        <f>AG41+AG45+AG47+AG48+AG49+AG50+AG51+AG52+AG57+AG58+AG59+AG62</f>
        <v>59815.558938737966</v>
      </c>
      <c r="AH142" s="4">
        <f>AH41+AH45+AH47+AH48+AH49+AH50+AH51+AH52+AH57+AH58+AH59+AH62</f>
        <v>71778.67072648555</v>
      </c>
      <c r="AI142" s="4">
        <f>AI41+AI45+AI47+AI48+AI49+AI50+AI51+AI52+AI57+AI58+AI59+AI62</f>
        <v>462702.29140352778</v>
      </c>
    </row>
    <row r="143" spans="3:35">
      <c r="C143" s="5" t="s">
        <v>441</v>
      </c>
      <c r="D143">
        <v>9</v>
      </c>
      <c r="E143">
        <v>29</v>
      </c>
      <c r="F143" s="79">
        <v>8.1</v>
      </c>
      <c r="AF143" s="37" t="s">
        <v>442</v>
      </c>
      <c r="AG143" s="4">
        <f>AG87+AG88+AG89+AG90</f>
        <v>14389.38495412844</v>
      </c>
      <c r="AH143" s="4">
        <f>AH87+AH88+AH89+AH90</f>
        <v>17267.261944954127</v>
      </c>
      <c r="AI143" s="4">
        <f>AI87+AI88+AI89+AI90</f>
        <v>111308.85522580643</v>
      </c>
    </row>
    <row r="144" spans="3:35">
      <c r="C144" s="5" t="s">
        <v>443</v>
      </c>
      <c r="D144">
        <v>9</v>
      </c>
      <c r="E144">
        <v>30</v>
      </c>
      <c r="F144" s="79">
        <v>8.1</v>
      </c>
      <c r="AF144" s="42" t="s">
        <v>442</v>
      </c>
      <c r="AG144" s="4">
        <f>(AG53+AG54+AG63+AG64+AG65+AG67+AG69+AG70+AG73+AG77+AG80)</f>
        <v>37663.717635443092</v>
      </c>
      <c r="AH144" s="4">
        <f>AH53+AH54+AH63+AH64+AH65+AH67+AH69+AH70+AH73+AH77+AH80</f>
        <v>45196.461162531705</v>
      </c>
      <c r="AI144" s="4">
        <f>AI53+AI54+AI63+AI64+AI65+AI67+AI69+AI70+AI73+AI77+AI80</f>
        <v>291347.08028965333</v>
      </c>
    </row>
    <row r="145" spans="2:35">
      <c r="C145" s="5" t="s">
        <v>444</v>
      </c>
      <c r="D145">
        <v>9</v>
      </c>
      <c r="E145">
        <v>30</v>
      </c>
      <c r="F145" s="79">
        <v>8.1</v>
      </c>
      <c r="AF145" s="39" t="s">
        <v>442</v>
      </c>
      <c r="AG145" s="4">
        <f>(AG42+AG43+AG44+AG55+AG56+AG60+AG61+AG66+AG68+AG71+AG72+AG74+AG75+AG76+AG78+AG79+AG81+AG82+AG83+AG84+AG93)</f>
        <v>51251.451280804831</v>
      </c>
      <c r="AH145" s="4">
        <f>AH42+AH43+AH44+AH55+AH56+AH60+AH61+AH66+AH68+AH71+AH72+AH74+AH75+AH76+AH78+AH79+AH81+AH82+AH83+AH84+AH93</f>
        <v>61501.741536965797</v>
      </c>
      <c r="AI145" s="4">
        <f>AI42+AI43+AI44+AI55+AI56+AI60+AI61+AI66+AI68+AI71+AI72+AI74+AI75+AI76+AI78+AI79+AI81+AI82+AI83+AI84+AI93</f>
        <v>396454.77474635479</v>
      </c>
    </row>
    <row r="146" spans="2:35">
      <c r="C146" s="7" t="s">
        <v>445</v>
      </c>
      <c r="D146" s="8">
        <v>9</v>
      </c>
      <c r="E146" s="8">
        <v>30</v>
      </c>
      <c r="F146" s="90">
        <v>8.1</v>
      </c>
      <c r="AF146" s="40" t="s">
        <v>442</v>
      </c>
      <c r="AG146" s="4">
        <f>AG85+AG86+AG91+AG92+AG97+AG98+AG99</f>
        <v>77141.19470996267</v>
      </c>
      <c r="AH146" s="4">
        <f>AH85+AH86+AH91+AH92+AH97+AH98+AH99</f>
        <v>92569.433651955202</v>
      </c>
      <c r="AI146" s="4">
        <f>AI85+AI86+AI91+AI92+AI97+AI98+AI99</f>
        <v>596724.46746609826</v>
      </c>
    </row>
    <row r="147" spans="2:35">
      <c r="C147" s="7"/>
      <c r="D147" s="96">
        <f>AVERAGE(D137:D146)</f>
        <v>12.1</v>
      </c>
      <c r="E147" s="96">
        <f>AVERAGE(E137:E146)</f>
        <v>169.7</v>
      </c>
      <c r="F147" s="97">
        <v>8.1</v>
      </c>
      <c r="AF147" s="41" t="s">
        <v>442</v>
      </c>
      <c r="AG147" s="4">
        <f>SUM(AG100:AG122)+AG96+AG95+AG94</f>
        <v>337838.4163512878</v>
      </c>
      <c r="AH147" s="4">
        <f>SUM(AH100:AH122)+AH96+AH95+AH94</f>
        <v>405406.09962154535</v>
      </c>
      <c r="AI147" s="4">
        <f>SUM(AI100:AI122)+AI96+AI95+AI94</f>
        <v>2613343.6206786707</v>
      </c>
    </row>
    <row r="148" spans="2:35">
      <c r="AG148" s="4">
        <f>SUM(AG143:AG147)</f>
        <v>518284.16493162682</v>
      </c>
      <c r="AI148" s="4">
        <f>SUM(AI143:AI147)</f>
        <v>4009178.7984065833</v>
      </c>
    </row>
    <row r="149" spans="2:35">
      <c r="B149" t="s">
        <v>446</v>
      </c>
      <c r="C149">
        <v>0.74570000000000003</v>
      </c>
      <c r="D149" t="s">
        <v>447</v>
      </c>
    </row>
    <row r="150" spans="2:35">
      <c r="AF150" s="121" t="s">
        <v>448</v>
      </c>
      <c r="AG150" s="121"/>
      <c r="AH150" s="121"/>
      <c r="AI150" s="98"/>
    </row>
    <row r="151" spans="2:35">
      <c r="AF151" s="8" t="s">
        <v>433</v>
      </c>
      <c r="AG151" s="8" t="s">
        <v>40</v>
      </c>
      <c r="AH151" s="8" t="s">
        <v>42</v>
      </c>
    </row>
    <row r="152" spans="2:35">
      <c r="AF152" s="37" t="s">
        <v>442</v>
      </c>
      <c r="AG152" s="4">
        <f>P87+P88+P89+P90+AG143</f>
        <v>21614.477864887405</v>
      </c>
      <c r="AH152" s="4">
        <f>Q87+Q88+Q89+Q90+AI143</f>
        <v>167198.44490322578</v>
      </c>
    </row>
    <row r="153" spans="2:35">
      <c r="AF153" s="42" t="s">
        <v>442</v>
      </c>
      <c r="AG153" s="4">
        <f>(P53+P54+P63+P64+P65+P67+P69+P70+P73+P77+P80)+AG144</f>
        <v>51659.536751373038</v>
      </c>
      <c r="AH153" s="4">
        <f>(Q53+Q54+Q63+Q64+Q65+Q67+Q69+Q70+Q73+Q77+Q80)+AI144</f>
        <v>399611.51332191139</v>
      </c>
    </row>
    <row r="154" spans="2:35">
      <c r="AF154" s="39" t="s">
        <v>442</v>
      </c>
      <c r="AG154" s="4">
        <f>(P42+P43+P44+P55+P56+P60+P61+P66+P68+P71+P72+P74+P75+P76+P78+P79+P81+P82+P83+P84+P93)+AG145</f>
        <v>71799.896318336105</v>
      </c>
      <c r="AH154" s="4">
        <f>(Q42+Q43+Q44+Q55+Q56+Q60+Q61+Q66+Q68+Q71+Q72+Q74+Q75+Q76+Q78+Q79+Q81+Q82+Q83+Q84+Q93)+AI145</f>
        <v>555406.93990764511</v>
      </c>
    </row>
    <row r="155" spans="2:35">
      <c r="S155" s="30"/>
      <c r="T155" s="30"/>
      <c r="U155" s="30"/>
      <c r="AF155" s="40" t="s">
        <v>442</v>
      </c>
      <c r="AG155" s="4">
        <f>P85+P86+P91+P92+P97+P98+P99+AG146</f>
        <v>114090.10680337384</v>
      </c>
      <c r="AH155" s="4">
        <f>Q85+Q86+Q91+Q92+Q97+Q98+Q99+AI146</f>
        <v>882542.18101448531</v>
      </c>
    </row>
    <row r="156" spans="2:35">
      <c r="S156" s="30"/>
      <c r="T156" s="30"/>
      <c r="U156" s="30"/>
      <c r="AF156" s="41" t="s">
        <v>442</v>
      </c>
      <c r="AG156" s="4">
        <f>SUM(AG100:AG122)+SUM(P100:P122)+P96+P95+P94+AG96+AG95+AG94</f>
        <v>514429.07103018695</v>
      </c>
      <c r="AH156" s="4">
        <f>SUM(AI100:AI122)+SUM(Q100:Q122)+Q96+Q95+Q94+AI96+AI95+AI94</f>
        <v>3979357.7817109288</v>
      </c>
    </row>
    <row r="157" spans="2:35">
      <c r="S157" s="31"/>
      <c r="T157" s="30"/>
      <c r="U157" s="30"/>
      <c r="AF157" s="95" t="s">
        <v>449</v>
      </c>
      <c r="AG157" s="63">
        <f>SUM(AG152:AG156)</f>
        <v>773593.08876815741</v>
      </c>
      <c r="AH157" s="63">
        <f>SUM(AH152:AH156)</f>
        <v>5984116.8608581964</v>
      </c>
    </row>
    <row r="158" spans="2:35">
      <c r="S158" s="30"/>
      <c r="T158" s="30"/>
      <c r="U158" s="30"/>
    </row>
    <row r="159" spans="2:35">
      <c r="S159" s="30"/>
      <c r="T159" s="30"/>
      <c r="U159" s="30"/>
    </row>
    <row r="160" spans="2:35">
      <c r="AG160" s="4"/>
      <c r="AH160" s="4"/>
    </row>
  </sheetData>
  <mergeCells count="26">
    <mergeCell ref="AK18:AO18"/>
    <mergeCell ref="AK21:AK30"/>
    <mergeCell ref="AO10:AQ10"/>
    <mergeCell ref="AK14:AM14"/>
    <mergeCell ref="AQ4:AR4"/>
    <mergeCell ref="AL21:AL23"/>
    <mergeCell ref="AO4:AP4"/>
    <mergeCell ref="AK4:AM4"/>
    <mergeCell ref="AL24:AL26"/>
    <mergeCell ref="AL27:AL29"/>
    <mergeCell ref="AK19:AM19"/>
    <mergeCell ref="AK20:AM20"/>
    <mergeCell ref="AF150:AH150"/>
    <mergeCell ref="A1:AJ2"/>
    <mergeCell ref="J3:Q3"/>
    <mergeCell ref="F3:I3"/>
    <mergeCell ref="A3:E3"/>
    <mergeCell ref="R3:T3"/>
    <mergeCell ref="U3:W3"/>
    <mergeCell ref="X3:AA3"/>
    <mergeCell ref="C135:F135"/>
    <mergeCell ref="AF137:AI137"/>
    <mergeCell ref="AB3:AD3"/>
    <mergeCell ref="AE3:AI3"/>
    <mergeCell ref="AJ3:AJ4"/>
    <mergeCell ref="AF127:AI127"/>
  </mergeCells>
  <pageMargins left="0.7" right="0.7" top="0.75" bottom="0.75" header="0.3" footer="0.3"/>
  <pageSetup paperSize="9"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347F6F4A2ABAF42A93EF9107C395B27" ma:contentTypeVersion="9" ma:contentTypeDescription="Opprett et nytt dokument." ma:contentTypeScope="" ma:versionID="d4082f7b4999d31920fb68887a94f765">
  <xsd:schema xmlns:xsd="http://www.w3.org/2001/XMLSchema" xmlns:xs="http://www.w3.org/2001/XMLSchema" xmlns:p="http://schemas.microsoft.com/office/2006/metadata/properties" xmlns:ns2="c0e5553c-ccb3-434c-b9bd-b56b7df078dd" targetNamespace="http://schemas.microsoft.com/office/2006/metadata/properties" ma:root="true" ma:fieldsID="71f22dea29e45eb937b47d6d78ab8557" ns2:_="">
    <xsd:import namespace="c0e5553c-ccb3-434c-b9bd-b56b7df07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5553c-ccb3-434c-b9bd-b56b7df078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F0D61B-3602-4512-8D31-23E1E91CB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5553c-ccb3-434c-b9bd-b56b7df078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9A1292-2A52-4FCE-B16A-0741BCEEFBAA}">
  <ds:schemaRefs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c0e5553c-ccb3-434c-b9bd-b56b7df078dd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167DEA23-8D90-4315-AB24-6C2EA6F242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Træland Hella</dc:creator>
  <cp:keywords/>
  <dc:description/>
  <cp:lastModifiedBy>Håkon Søderholm Eikefet</cp:lastModifiedBy>
  <cp:revision/>
  <cp:lastPrinted>2021-05-06T13:36:37Z</cp:lastPrinted>
  <dcterms:created xsi:type="dcterms:W3CDTF">2021-01-26T14:38:35Z</dcterms:created>
  <dcterms:modified xsi:type="dcterms:W3CDTF">2021-05-23T13:12:15Z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0x0101007347F6F4A2ABAF42A93EF9107C395B27</vt:lpwstr>
  </property>
</Properties>
</file>